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Articulos\Artículos\"/>
    </mc:Choice>
  </mc:AlternateContent>
  <xr:revisionPtr revIDLastSave="0" documentId="8_{CE9FB715-B1DE-4B18-9409-33CB5BC8C1EF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A2019-C2022" sheetId="1" r:id="rId1"/>
    <sheet name="C2022" sheetId="6" r:id="rId2"/>
    <sheet name="C2022_Tabla" sheetId="5" r:id="rId3"/>
    <sheet name="DifG_C2022" sheetId="7" r:id="rId4"/>
    <sheet name="DifG_A2021_C2022" sheetId="9" r:id="rId5"/>
    <sheet name="DifG_A2021_C2022_PAC_ATS" sheetId="8" r:id="rId6"/>
    <sheet name="Resumen" sheetId="4" r:id="rId7"/>
    <sheet name="Final" sheetId="10" r:id="rId8"/>
    <sheet name="Test_Cesar_Ramos" sheetId="3" r:id="rId9"/>
    <sheet name="Metron" sheetId="2" r:id="rId10"/>
  </sheets>
  <definedNames>
    <definedName name="_xlnm._FilterDatabase" localSheetId="2" hidden="1">'C2022_Tabla'!$A$1:$AQ$19</definedName>
    <definedName name="Clausura2022" localSheetId="4">Table2[]</definedName>
    <definedName name="Clausura2022" localSheetId="5">Table2[]</definedName>
    <definedName name="Clausura2022">Table2[]</definedName>
    <definedName name="metron">Metron!$A$1:$Z$45</definedName>
    <definedName name="Torneos" localSheetId="4">Table1[]</definedName>
    <definedName name="Torneos" localSheetId="5">Table1[]</definedName>
    <definedName name="Torneos">Table1[]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86" i="1" l="1"/>
  <c r="S686" i="1"/>
  <c r="D686" i="1"/>
  <c r="D19" i="10" l="1"/>
  <c r="D20" i="10"/>
  <c r="D18" i="10"/>
  <c r="C26" i="10"/>
  <c r="B26" i="10"/>
  <c r="G26" i="10"/>
  <c r="F26" i="10"/>
  <c r="F22" i="10"/>
  <c r="F18" i="10"/>
  <c r="F19" i="10"/>
  <c r="F20" i="10"/>
  <c r="C20" i="10"/>
  <c r="C19" i="10"/>
  <c r="C18" i="10"/>
  <c r="G11" i="10"/>
  <c r="G12" i="10"/>
  <c r="G13" i="10"/>
  <c r="G14" i="10"/>
  <c r="G15" i="10"/>
  <c r="G10" i="10"/>
  <c r="F11" i="10"/>
  <c r="H11" i="10" s="1"/>
  <c r="I11" i="10" s="1"/>
  <c r="C11" i="10" s="1"/>
  <c r="F12" i="10"/>
  <c r="F13" i="10"/>
  <c r="H13" i="10" s="1"/>
  <c r="I13" i="10" s="1"/>
  <c r="B13" i="10" s="1"/>
  <c r="F14" i="10"/>
  <c r="H14" i="10" s="1"/>
  <c r="I14" i="10" s="1"/>
  <c r="C14" i="10" s="1"/>
  <c r="F15" i="10"/>
  <c r="H15" i="10" s="1"/>
  <c r="I15" i="10" s="1"/>
  <c r="F10" i="10"/>
  <c r="E2" i="10"/>
  <c r="F2" i="10" s="1"/>
  <c r="B3" i="10"/>
  <c r="C3" i="10"/>
  <c r="A3" i="10"/>
  <c r="AH3" i="3"/>
  <c r="AG3" i="3" s="1"/>
  <c r="AI3" i="3"/>
  <c r="AD3" i="3"/>
  <c r="AA3" i="3"/>
  <c r="U3" i="3"/>
  <c r="X3" i="3"/>
  <c r="L3" i="3"/>
  <c r="O3" i="3"/>
  <c r="R3" i="3"/>
  <c r="I3" i="3"/>
  <c r="F3" i="3"/>
  <c r="B3" i="3"/>
  <c r="C3" i="3"/>
  <c r="B2" i="3"/>
  <c r="B15" i="10" l="1"/>
  <c r="C15" i="10"/>
  <c r="C13" i="10"/>
  <c r="C12" i="10"/>
  <c r="J13" i="10"/>
  <c r="B14" i="10"/>
  <c r="J14" i="10" s="1"/>
  <c r="H10" i="10"/>
  <c r="I10" i="10" s="1"/>
  <c r="B10" i="10" s="1"/>
  <c r="B11" i="10"/>
  <c r="J11" i="10" s="1"/>
  <c r="C6" i="10"/>
  <c r="H12" i="10"/>
  <c r="I12" i="10" s="1"/>
  <c r="B12" i="10"/>
  <c r="J12" i="10" s="1"/>
  <c r="B6" i="10"/>
  <c r="A6" i="10"/>
  <c r="AP3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" i="5"/>
  <c r="AN2" i="5"/>
  <c r="AC3" i="5"/>
  <c r="AC4" i="5"/>
  <c r="AC5" i="5"/>
  <c r="AC6" i="5"/>
  <c r="P6" i="5" s="1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" i="5"/>
  <c r="AD2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A2" i="5"/>
  <c r="AA17" i="5"/>
  <c r="S10" i="5"/>
  <c r="S19" i="5"/>
  <c r="S2" i="5"/>
  <c r="S7" i="5"/>
  <c r="S12" i="5"/>
  <c r="S8" i="5"/>
  <c r="S18" i="5"/>
  <c r="S9" i="5"/>
  <c r="S13" i="5"/>
  <c r="S6" i="5"/>
  <c r="S14" i="5"/>
  <c r="S5" i="5"/>
  <c r="S4" i="5"/>
  <c r="S16" i="5"/>
  <c r="S15" i="5"/>
  <c r="S11" i="5"/>
  <c r="S3" i="5"/>
  <c r="S17" i="5"/>
  <c r="T10" i="5"/>
  <c r="T19" i="5"/>
  <c r="T2" i="5"/>
  <c r="T7" i="5"/>
  <c r="T12" i="5"/>
  <c r="T8" i="5"/>
  <c r="T18" i="5"/>
  <c r="T9" i="5"/>
  <c r="T13" i="5"/>
  <c r="T6" i="5"/>
  <c r="T14" i="5"/>
  <c r="T5" i="5"/>
  <c r="T4" i="5"/>
  <c r="T16" i="5"/>
  <c r="T15" i="5"/>
  <c r="T11" i="5"/>
  <c r="T3" i="5"/>
  <c r="T17" i="5"/>
  <c r="U17" i="5"/>
  <c r="U10" i="5"/>
  <c r="U19" i="5"/>
  <c r="U2" i="5"/>
  <c r="U7" i="5"/>
  <c r="U12" i="5"/>
  <c r="U8" i="5"/>
  <c r="U18" i="5"/>
  <c r="U9" i="5"/>
  <c r="U13" i="5"/>
  <c r="U6" i="5"/>
  <c r="U14" i="5"/>
  <c r="U5" i="5"/>
  <c r="U4" i="5"/>
  <c r="U16" i="5"/>
  <c r="U15" i="5"/>
  <c r="U11" i="5"/>
  <c r="U3" i="5"/>
  <c r="AH17" i="5"/>
  <c r="Z10" i="5"/>
  <c r="Z19" i="5"/>
  <c r="Z2" i="5"/>
  <c r="Z7" i="5"/>
  <c r="Z12" i="5"/>
  <c r="Z8" i="5"/>
  <c r="Z18" i="5"/>
  <c r="Z9" i="5"/>
  <c r="Z13" i="5"/>
  <c r="Z6" i="5"/>
  <c r="Z14" i="5"/>
  <c r="Z5" i="5"/>
  <c r="Z4" i="5"/>
  <c r="Z16" i="5"/>
  <c r="Z15" i="5"/>
  <c r="Z11" i="5"/>
  <c r="Z3" i="5"/>
  <c r="Z17" i="5"/>
  <c r="AA10" i="5"/>
  <c r="AA19" i="5"/>
  <c r="AA7" i="5"/>
  <c r="AA12" i="5"/>
  <c r="AA8" i="5"/>
  <c r="AA18" i="5"/>
  <c r="AA9" i="5"/>
  <c r="AA13" i="5"/>
  <c r="AA6" i="5"/>
  <c r="AA14" i="5"/>
  <c r="AA5" i="5"/>
  <c r="AA4" i="5"/>
  <c r="AA16" i="5"/>
  <c r="AA15" i="5"/>
  <c r="AA11" i="5"/>
  <c r="AA3" i="5"/>
  <c r="AN17" i="5"/>
  <c r="AF10" i="5"/>
  <c r="AF19" i="5"/>
  <c r="AF2" i="5"/>
  <c r="AF7" i="5"/>
  <c r="AF12" i="5"/>
  <c r="AF8" i="5"/>
  <c r="AF18" i="5"/>
  <c r="AF9" i="5"/>
  <c r="AF13" i="5"/>
  <c r="AF6" i="5"/>
  <c r="AF14" i="5"/>
  <c r="AF5" i="5"/>
  <c r="AF4" i="5"/>
  <c r="AF16" i="5"/>
  <c r="AF15" i="5"/>
  <c r="AF11" i="5"/>
  <c r="AF3" i="5"/>
  <c r="AF17" i="5"/>
  <c r="AG10" i="5"/>
  <c r="AG19" i="5"/>
  <c r="AG2" i="5"/>
  <c r="AG7" i="5"/>
  <c r="AG12" i="5"/>
  <c r="AG8" i="5"/>
  <c r="AG18" i="5"/>
  <c r="AG9" i="5"/>
  <c r="AG13" i="5"/>
  <c r="AG6" i="5"/>
  <c r="AG14" i="5"/>
  <c r="AG5" i="5"/>
  <c r="AG4" i="5"/>
  <c r="AG16" i="5"/>
  <c r="AG15" i="5"/>
  <c r="AG11" i="5"/>
  <c r="AG3" i="5"/>
  <c r="AG17" i="5"/>
  <c r="AH10" i="5"/>
  <c r="AH19" i="5"/>
  <c r="AH2" i="5"/>
  <c r="AH7" i="5"/>
  <c r="AH12" i="5"/>
  <c r="AH8" i="5"/>
  <c r="AH18" i="5"/>
  <c r="AH9" i="5"/>
  <c r="AH13" i="5"/>
  <c r="AH6" i="5"/>
  <c r="AH14" i="5"/>
  <c r="AH5" i="5"/>
  <c r="AH4" i="5"/>
  <c r="AH16" i="5"/>
  <c r="AH15" i="5"/>
  <c r="AH11" i="5"/>
  <c r="AH3" i="5"/>
  <c r="AN10" i="5"/>
  <c r="AN19" i="5"/>
  <c r="AN7" i="5"/>
  <c r="AN12" i="5"/>
  <c r="AN8" i="5"/>
  <c r="AN18" i="5"/>
  <c r="AN9" i="5"/>
  <c r="AN13" i="5"/>
  <c r="AN6" i="5"/>
  <c r="AN14" i="5"/>
  <c r="AN5" i="5"/>
  <c r="AN4" i="5"/>
  <c r="AN16" i="5"/>
  <c r="AN15" i="5"/>
  <c r="AN11" i="5"/>
  <c r="AN3" i="5"/>
  <c r="AM10" i="5"/>
  <c r="AM19" i="5"/>
  <c r="AL19" i="5" s="1"/>
  <c r="AM2" i="5"/>
  <c r="AM7" i="5"/>
  <c r="AM12" i="5"/>
  <c r="AM8" i="5"/>
  <c r="AM18" i="5"/>
  <c r="AM9" i="5"/>
  <c r="AM13" i="5"/>
  <c r="AM6" i="5"/>
  <c r="AM14" i="5"/>
  <c r="AM5" i="5"/>
  <c r="AM4" i="5"/>
  <c r="AM16" i="5"/>
  <c r="AM15" i="5"/>
  <c r="AM11" i="5"/>
  <c r="AM3" i="5"/>
  <c r="AM17" i="5"/>
  <c r="N17" i="5" s="1"/>
  <c r="J7" i="4"/>
  <c r="K7" i="4"/>
  <c r="M7" i="4"/>
  <c r="N7" i="4"/>
  <c r="P7" i="4"/>
  <c r="Q7" i="4"/>
  <c r="S7" i="4"/>
  <c r="T7" i="4"/>
  <c r="V7" i="4"/>
  <c r="W7" i="4"/>
  <c r="Y7" i="4"/>
  <c r="Z7" i="4"/>
  <c r="X7" i="4" s="1"/>
  <c r="AB7" i="4"/>
  <c r="AC7" i="4"/>
  <c r="AE7" i="4"/>
  <c r="AF7" i="4"/>
  <c r="AH7" i="4"/>
  <c r="AI7" i="4"/>
  <c r="AK7" i="4"/>
  <c r="AL7" i="4"/>
  <c r="H7" i="4"/>
  <c r="G7" i="4"/>
  <c r="F7" i="4" s="1"/>
  <c r="E7" i="4"/>
  <c r="D7" i="4"/>
  <c r="C7" i="4" s="1"/>
  <c r="B7" i="4"/>
  <c r="AA6" i="4"/>
  <c r="AD6" i="4"/>
  <c r="AG6" i="4"/>
  <c r="AJ6" i="4"/>
  <c r="X6" i="4"/>
  <c r="U6" i="4"/>
  <c r="R6" i="4"/>
  <c r="O6" i="4"/>
  <c r="L6" i="4"/>
  <c r="C6" i="4"/>
  <c r="F6" i="4"/>
  <c r="I6" i="4"/>
  <c r="AA5" i="4"/>
  <c r="AD5" i="4"/>
  <c r="AG5" i="4"/>
  <c r="AJ5" i="4"/>
  <c r="X5" i="4"/>
  <c r="U5" i="4"/>
  <c r="L5" i="4"/>
  <c r="O5" i="4"/>
  <c r="R5" i="4"/>
  <c r="I5" i="4"/>
  <c r="F5" i="4"/>
  <c r="C5" i="4"/>
  <c r="AJ3" i="4"/>
  <c r="AG3" i="4"/>
  <c r="AD3" i="4"/>
  <c r="AA3" i="4"/>
  <c r="X3" i="4"/>
  <c r="U3" i="4"/>
  <c r="R3" i="4"/>
  <c r="O3" i="4"/>
  <c r="L3" i="4"/>
  <c r="I3" i="4"/>
  <c r="F3" i="4"/>
  <c r="C3" i="4"/>
  <c r="X2" i="4"/>
  <c r="AA2" i="4"/>
  <c r="AD2" i="4"/>
  <c r="AG2" i="4"/>
  <c r="AJ2" i="4"/>
  <c r="U2" i="4"/>
  <c r="R2" i="4"/>
  <c r="O2" i="4"/>
  <c r="L2" i="4"/>
  <c r="I2" i="4"/>
  <c r="F2" i="4"/>
  <c r="C2" i="4"/>
  <c r="I2" i="3"/>
  <c r="F2" i="3"/>
  <c r="C2" i="3"/>
  <c r="R2" i="1" a="1"/>
  <c r="R2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AI2" i="3"/>
  <c r="AH2" i="3"/>
  <c r="AG2" i="3"/>
  <c r="AD2" i="3"/>
  <c r="AA2" i="3"/>
  <c r="X2" i="3"/>
  <c r="U2" i="3"/>
  <c r="R2" i="3"/>
  <c r="O2" i="3"/>
  <c r="L2" i="3"/>
  <c r="AF686" i="1"/>
  <c r="AE686" i="1"/>
  <c r="AD686" i="1"/>
  <c r="AC686" i="1"/>
  <c r="AR686" i="1"/>
  <c r="AQ686" i="1"/>
  <c r="U686" i="1"/>
  <c r="H686" i="1"/>
  <c r="T45" i="2"/>
  <c r="S45" i="2"/>
  <c r="J45" i="2"/>
  <c r="I45" i="2"/>
  <c r="H45" i="2"/>
  <c r="T44" i="2"/>
  <c r="S44" i="2"/>
  <c r="J44" i="2"/>
  <c r="I44" i="2"/>
  <c r="H44" i="2"/>
  <c r="T43" i="2"/>
  <c r="S43" i="2"/>
  <c r="J43" i="2"/>
  <c r="I43" i="2"/>
  <c r="H43" i="2"/>
  <c r="T42" i="2"/>
  <c r="S42" i="2"/>
  <c r="J42" i="2"/>
  <c r="I42" i="2"/>
  <c r="H42" i="2"/>
  <c r="T41" i="2"/>
  <c r="S41" i="2"/>
  <c r="J41" i="2"/>
  <c r="I41" i="2"/>
  <c r="H41" i="2"/>
  <c r="T40" i="2"/>
  <c r="S40" i="2"/>
  <c r="J40" i="2"/>
  <c r="I40" i="2"/>
  <c r="H40" i="2"/>
  <c r="T39" i="2"/>
  <c r="S39" i="2"/>
  <c r="J39" i="2"/>
  <c r="I39" i="2"/>
  <c r="H39" i="2"/>
  <c r="T38" i="2"/>
  <c r="S38" i="2"/>
  <c r="J38" i="2"/>
  <c r="I38" i="2"/>
  <c r="H38" i="2"/>
  <c r="T37" i="2"/>
  <c r="S37" i="2"/>
  <c r="J37" i="2"/>
  <c r="I37" i="2"/>
  <c r="H37" i="2"/>
  <c r="T36" i="2"/>
  <c r="S36" i="2"/>
  <c r="J36" i="2"/>
  <c r="I36" i="2"/>
  <c r="H36" i="2"/>
  <c r="T35" i="2"/>
  <c r="S35" i="2"/>
  <c r="J35" i="2"/>
  <c r="I35" i="2"/>
  <c r="H35" i="2"/>
  <c r="T34" i="2"/>
  <c r="S34" i="2"/>
  <c r="J34" i="2"/>
  <c r="I34" i="2"/>
  <c r="H34" i="2"/>
  <c r="T33" i="2"/>
  <c r="S33" i="2"/>
  <c r="J33" i="2"/>
  <c r="I33" i="2"/>
  <c r="H33" i="2"/>
  <c r="T32" i="2"/>
  <c r="S32" i="2"/>
  <c r="J32" i="2"/>
  <c r="I32" i="2"/>
  <c r="H32" i="2"/>
  <c r="T31" i="2"/>
  <c r="S31" i="2"/>
  <c r="J31" i="2"/>
  <c r="I31" i="2"/>
  <c r="H31" i="2"/>
  <c r="T30" i="2"/>
  <c r="S30" i="2"/>
  <c r="J30" i="2"/>
  <c r="I30" i="2"/>
  <c r="H30" i="2"/>
  <c r="T29" i="2"/>
  <c r="S29" i="2"/>
  <c r="J29" i="2"/>
  <c r="I29" i="2"/>
  <c r="H29" i="2"/>
  <c r="T28" i="2"/>
  <c r="S28" i="2"/>
  <c r="J28" i="2"/>
  <c r="I28" i="2"/>
  <c r="H28" i="2"/>
  <c r="T27" i="2"/>
  <c r="S27" i="2"/>
  <c r="J27" i="2"/>
  <c r="I27" i="2"/>
  <c r="H27" i="2"/>
  <c r="T26" i="2"/>
  <c r="S26" i="2"/>
  <c r="J26" i="2"/>
  <c r="I26" i="2"/>
  <c r="H26" i="2"/>
  <c r="T25" i="2"/>
  <c r="S25" i="2"/>
  <c r="J25" i="2"/>
  <c r="I25" i="2"/>
  <c r="H25" i="2"/>
  <c r="T24" i="2"/>
  <c r="S24" i="2"/>
  <c r="J24" i="2"/>
  <c r="I24" i="2"/>
  <c r="H24" i="2"/>
  <c r="T23" i="2"/>
  <c r="S23" i="2"/>
  <c r="J23" i="2"/>
  <c r="I23" i="2"/>
  <c r="H23" i="2"/>
  <c r="T22" i="2"/>
  <c r="S22" i="2"/>
  <c r="J22" i="2"/>
  <c r="I22" i="2"/>
  <c r="H22" i="2"/>
  <c r="T21" i="2"/>
  <c r="S21" i="2"/>
  <c r="J21" i="2"/>
  <c r="I21" i="2"/>
  <c r="H21" i="2"/>
  <c r="T20" i="2"/>
  <c r="S20" i="2"/>
  <c r="J20" i="2"/>
  <c r="I20" i="2"/>
  <c r="H20" i="2"/>
  <c r="T19" i="2"/>
  <c r="S19" i="2"/>
  <c r="J19" i="2"/>
  <c r="I19" i="2"/>
  <c r="H19" i="2"/>
  <c r="T18" i="2"/>
  <c r="S18" i="2"/>
  <c r="J18" i="2"/>
  <c r="I18" i="2"/>
  <c r="H18" i="2"/>
  <c r="T17" i="2"/>
  <c r="S17" i="2"/>
  <c r="J17" i="2"/>
  <c r="I17" i="2"/>
  <c r="H17" i="2"/>
  <c r="T16" i="2"/>
  <c r="S16" i="2"/>
  <c r="J16" i="2"/>
  <c r="I16" i="2"/>
  <c r="H16" i="2"/>
  <c r="T15" i="2"/>
  <c r="S15" i="2"/>
  <c r="J15" i="2"/>
  <c r="I15" i="2"/>
  <c r="H15" i="2"/>
  <c r="T14" i="2"/>
  <c r="S14" i="2"/>
  <c r="J14" i="2"/>
  <c r="I14" i="2"/>
  <c r="H14" i="2"/>
  <c r="T13" i="2"/>
  <c r="S13" i="2"/>
  <c r="J13" i="2"/>
  <c r="I13" i="2"/>
  <c r="H13" i="2"/>
  <c r="T12" i="2"/>
  <c r="S12" i="2"/>
  <c r="J12" i="2"/>
  <c r="I12" i="2"/>
  <c r="H12" i="2"/>
  <c r="T11" i="2"/>
  <c r="S11" i="2"/>
  <c r="J11" i="2"/>
  <c r="I11" i="2"/>
  <c r="H11" i="2"/>
  <c r="T10" i="2"/>
  <c r="S10" i="2"/>
  <c r="J10" i="2"/>
  <c r="I10" i="2"/>
  <c r="H10" i="2"/>
  <c r="T9" i="2"/>
  <c r="S9" i="2"/>
  <c r="J9" i="2"/>
  <c r="I9" i="2"/>
  <c r="H9" i="2"/>
  <c r="T8" i="2"/>
  <c r="S8" i="2"/>
  <c r="J8" i="2"/>
  <c r="I8" i="2"/>
  <c r="H8" i="2"/>
  <c r="T7" i="2"/>
  <c r="S7" i="2"/>
  <c r="J7" i="2"/>
  <c r="I7" i="2"/>
  <c r="H7" i="2"/>
  <c r="T6" i="2"/>
  <c r="S6" i="2"/>
  <c r="J6" i="2"/>
  <c r="I6" i="2"/>
  <c r="H6" i="2"/>
  <c r="T5" i="2"/>
  <c r="S5" i="2"/>
  <c r="J5" i="2"/>
  <c r="I5" i="2"/>
  <c r="H5" i="2"/>
  <c r="T4" i="2"/>
  <c r="S4" i="2"/>
  <c r="J4" i="2"/>
  <c r="I4" i="2"/>
  <c r="H4" i="2"/>
  <c r="T3" i="2"/>
  <c r="S3" i="2"/>
  <c r="J3" i="2"/>
  <c r="I3" i="2"/>
  <c r="H3" i="2"/>
  <c r="T2" i="2"/>
  <c r="S2" i="2"/>
  <c r="J2" i="2"/>
  <c r="I2" i="2"/>
  <c r="H2" i="2"/>
  <c r="BL2" i="1"/>
  <c r="BL3" i="1"/>
  <c r="J3" i="1" s="1"/>
  <c r="I3" i="1" s="1"/>
  <c r="BY3" i="1" s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J27" i="1" s="1"/>
  <c r="I27" i="1" s="1"/>
  <c r="BY27" i="1" s="1"/>
  <c r="BL28" i="1"/>
  <c r="K28" i="1" s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J43" i="1" s="1"/>
  <c r="I43" i="1" s="1"/>
  <c r="BY43" i="1" s="1"/>
  <c r="BL44" i="1"/>
  <c r="BL45" i="1"/>
  <c r="J45" i="1" s="1"/>
  <c r="I45" i="1" s="1"/>
  <c r="BY45" i="1" s="1"/>
  <c r="BL46" i="1"/>
  <c r="BL47" i="1"/>
  <c r="BL48" i="1"/>
  <c r="BL49" i="1"/>
  <c r="BL50" i="1"/>
  <c r="BL51" i="1"/>
  <c r="BL52" i="1"/>
  <c r="BL53" i="1"/>
  <c r="J53" i="1" s="1"/>
  <c r="I53" i="1" s="1"/>
  <c r="BY53" i="1" s="1"/>
  <c r="BL54" i="1"/>
  <c r="BL55" i="1"/>
  <c r="BL56" i="1"/>
  <c r="BL57" i="1"/>
  <c r="BL58" i="1"/>
  <c r="BL59" i="1"/>
  <c r="K59" i="1" s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K76" i="1" s="1"/>
  <c r="BL77" i="1"/>
  <c r="BL78" i="1"/>
  <c r="J78" i="1" s="1"/>
  <c r="I78" i="1" s="1"/>
  <c r="BL79" i="1"/>
  <c r="BL80" i="1"/>
  <c r="BL81" i="1"/>
  <c r="L81" i="1" s="1"/>
  <c r="BL82" i="1"/>
  <c r="BL83" i="1"/>
  <c r="J83" i="1" s="1"/>
  <c r="I83" i="1" s="1"/>
  <c r="BY83" i="1" s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J107" i="1" s="1"/>
  <c r="I107" i="1" s="1"/>
  <c r="BY107" i="1" s="1"/>
  <c r="BL108" i="1"/>
  <c r="BL109" i="1"/>
  <c r="J109" i="1" s="1"/>
  <c r="I109" i="1" s="1"/>
  <c r="BY109" i="1" s="1"/>
  <c r="BL110" i="1"/>
  <c r="BL111" i="1"/>
  <c r="BL112" i="1"/>
  <c r="BL113" i="1"/>
  <c r="BL114" i="1"/>
  <c r="BL115" i="1"/>
  <c r="BL116" i="1"/>
  <c r="BL117" i="1"/>
  <c r="J117" i="1" s="1"/>
  <c r="I117" i="1" s="1"/>
  <c r="BY117" i="1" s="1"/>
  <c r="BL118" i="1"/>
  <c r="BL119" i="1"/>
  <c r="J119" i="1" s="1"/>
  <c r="I119" i="1" s="1"/>
  <c r="BL120" i="1"/>
  <c r="BL121" i="1"/>
  <c r="L121" i="1" s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J134" i="1" s="1"/>
  <c r="I134" i="1" s="1"/>
  <c r="BL135" i="1"/>
  <c r="BL136" i="1"/>
  <c r="BL137" i="1"/>
  <c r="BL138" i="1"/>
  <c r="BL139" i="1"/>
  <c r="BL140" i="1"/>
  <c r="K140" i="1" s="1"/>
  <c r="BL141" i="1"/>
  <c r="BL142" i="1"/>
  <c r="J142" i="1" s="1"/>
  <c r="I142" i="1" s="1"/>
  <c r="BL143" i="1"/>
  <c r="BL144" i="1"/>
  <c r="BL145" i="1"/>
  <c r="J145" i="1" s="1"/>
  <c r="I145" i="1" s="1"/>
  <c r="BZ145" i="1" s="1"/>
  <c r="BL146" i="1"/>
  <c r="BL147" i="1"/>
  <c r="J147" i="1" s="1"/>
  <c r="I147" i="1" s="1"/>
  <c r="BY147" i="1" s="1"/>
  <c r="BL148" i="1"/>
  <c r="BL149" i="1"/>
  <c r="BL150" i="1"/>
  <c r="BL151" i="1"/>
  <c r="BL152" i="1"/>
  <c r="BL153" i="1"/>
  <c r="BL154" i="1"/>
  <c r="BL155" i="1"/>
  <c r="J155" i="1" s="1"/>
  <c r="I155" i="1" s="1"/>
  <c r="BY155" i="1" s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J171" i="1" s="1"/>
  <c r="I171" i="1" s="1"/>
  <c r="BY171" i="1" s="1"/>
  <c r="BL172" i="1"/>
  <c r="BL173" i="1"/>
  <c r="J173" i="1" s="1"/>
  <c r="BL174" i="1"/>
  <c r="BL175" i="1"/>
  <c r="BL176" i="1"/>
  <c r="BL177" i="1"/>
  <c r="BL178" i="1"/>
  <c r="BL179" i="1"/>
  <c r="K179" i="1" s="1"/>
  <c r="BL180" i="1"/>
  <c r="BL181" i="1"/>
  <c r="J181" i="1" s="1"/>
  <c r="I181" i="1" s="1"/>
  <c r="BY181" i="1" s="1"/>
  <c r="BL182" i="1"/>
  <c r="BL183" i="1"/>
  <c r="J183" i="1" s="1"/>
  <c r="I183" i="1" s="1"/>
  <c r="BZ183" i="1" s="1"/>
  <c r="BL184" i="1"/>
  <c r="BL185" i="1"/>
  <c r="BL186" i="1"/>
  <c r="BL187" i="1"/>
  <c r="K187" i="1" s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K201" i="1" s="1"/>
  <c r="BL202" i="1"/>
  <c r="BL203" i="1"/>
  <c r="J203" i="1" s="1"/>
  <c r="I203" i="1" s="1"/>
  <c r="BY203" i="1" s="1"/>
  <c r="BL204" i="1"/>
  <c r="BL205" i="1"/>
  <c r="BL206" i="1"/>
  <c r="BL207" i="1"/>
  <c r="BL208" i="1"/>
  <c r="BL209" i="1"/>
  <c r="BL210" i="1"/>
  <c r="BL211" i="1"/>
  <c r="BL212" i="1"/>
  <c r="BL213" i="1"/>
  <c r="BL214" i="1"/>
  <c r="J214" i="1" s="1"/>
  <c r="I214" i="1" s="1"/>
  <c r="BL215" i="1"/>
  <c r="BL216" i="1"/>
  <c r="BL217" i="1"/>
  <c r="J217" i="1" s="1"/>
  <c r="I217" i="1" s="1"/>
  <c r="BL218" i="1"/>
  <c r="BL219" i="1"/>
  <c r="BL220" i="1"/>
  <c r="BL221" i="1"/>
  <c r="BL222" i="1"/>
  <c r="BL223" i="1"/>
  <c r="BL224" i="1"/>
  <c r="BL225" i="1"/>
  <c r="BL226" i="1"/>
  <c r="BL227" i="1"/>
  <c r="J227" i="1" s="1"/>
  <c r="I227" i="1" s="1"/>
  <c r="BL228" i="1"/>
  <c r="K228" i="1" s="1"/>
  <c r="BL229" i="1"/>
  <c r="BL230" i="1"/>
  <c r="BL231" i="1"/>
  <c r="BL232" i="1"/>
  <c r="BL233" i="1"/>
  <c r="BL234" i="1"/>
  <c r="BL235" i="1"/>
  <c r="J235" i="1" s="1"/>
  <c r="I235" i="1" s="1"/>
  <c r="CB235" i="1" s="1"/>
  <c r="BL236" i="1"/>
  <c r="BL237" i="1"/>
  <c r="BL238" i="1"/>
  <c r="J238" i="1" s="1"/>
  <c r="I238" i="1" s="1"/>
  <c r="BL239" i="1"/>
  <c r="J239" i="1" s="1"/>
  <c r="I239" i="1" s="1"/>
  <c r="BL240" i="1"/>
  <c r="BL241" i="1"/>
  <c r="BL242" i="1"/>
  <c r="BL243" i="1"/>
  <c r="BL244" i="1"/>
  <c r="BL245" i="1"/>
  <c r="BL246" i="1"/>
  <c r="J246" i="1" s="1"/>
  <c r="I246" i="1" s="1"/>
  <c r="BL247" i="1"/>
  <c r="BL248" i="1"/>
  <c r="BL249" i="1"/>
  <c r="L249" i="1" s="1"/>
  <c r="BL250" i="1"/>
  <c r="J250" i="1" s="1"/>
  <c r="I250" i="1" s="1"/>
  <c r="BL251" i="1"/>
  <c r="BL252" i="1"/>
  <c r="BL253" i="1"/>
  <c r="BL254" i="1"/>
  <c r="BL255" i="1"/>
  <c r="BL256" i="1"/>
  <c r="BL257" i="1"/>
  <c r="BL258" i="1"/>
  <c r="J258" i="1" s="1"/>
  <c r="I258" i="1" s="1"/>
  <c r="BL259" i="1"/>
  <c r="J259" i="1" s="1"/>
  <c r="I259" i="1" s="1"/>
  <c r="BY259" i="1" s="1"/>
  <c r="BL260" i="1"/>
  <c r="BL261" i="1"/>
  <c r="BL262" i="1"/>
  <c r="BL263" i="1"/>
  <c r="BL264" i="1"/>
  <c r="BL265" i="1"/>
  <c r="J265" i="1" s="1"/>
  <c r="I265" i="1" s="1"/>
  <c r="BY265" i="1" s="1"/>
  <c r="BL266" i="1"/>
  <c r="BL267" i="1"/>
  <c r="J267" i="1" s="1"/>
  <c r="I267" i="1" s="1"/>
  <c r="BY267" i="1" s="1"/>
  <c r="BL268" i="1"/>
  <c r="J268" i="1" s="1"/>
  <c r="I268" i="1" s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J282" i="1" s="1"/>
  <c r="I282" i="1" s="1"/>
  <c r="BL283" i="1"/>
  <c r="BL284" i="1"/>
  <c r="J284" i="1" s="1"/>
  <c r="I284" i="1" s="1"/>
  <c r="BL285" i="1"/>
  <c r="J285" i="1" s="1"/>
  <c r="I285" i="1" s="1"/>
  <c r="BY285" i="1" s="1"/>
  <c r="BL286" i="1"/>
  <c r="BL287" i="1"/>
  <c r="BL288" i="1"/>
  <c r="BL289" i="1"/>
  <c r="BL290" i="1"/>
  <c r="J290" i="1" s="1"/>
  <c r="I290" i="1" s="1"/>
  <c r="BL291" i="1"/>
  <c r="K291" i="1" s="1"/>
  <c r="BL292" i="1"/>
  <c r="J292" i="1" s="1"/>
  <c r="I292" i="1" s="1"/>
  <c r="BL293" i="1"/>
  <c r="BL294" i="1"/>
  <c r="BL295" i="1"/>
  <c r="BL296" i="1"/>
  <c r="BL297" i="1"/>
  <c r="BL298" i="1"/>
  <c r="J298" i="1" s="1"/>
  <c r="I298" i="1" s="1"/>
  <c r="CD298" i="1" s="1"/>
  <c r="BL299" i="1"/>
  <c r="BL300" i="1"/>
  <c r="BL301" i="1"/>
  <c r="BL302" i="1"/>
  <c r="BL303" i="1"/>
  <c r="BL304" i="1"/>
  <c r="BL305" i="1"/>
  <c r="BL306" i="1"/>
  <c r="J306" i="1" s="1"/>
  <c r="I306" i="1" s="1"/>
  <c r="BL307" i="1"/>
  <c r="K307" i="1" s="1"/>
  <c r="BL308" i="1"/>
  <c r="J308" i="1" s="1"/>
  <c r="I308" i="1" s="1"/>
  <c r="BL309" i="1"/>
  <c r="J309" i="1" s="1"/>
  <c r="I309" i="1" s="1"/>
  <c r="BY309" i="1" s="1"/>
  <c r="BL310" i="1"/>
  <c r="BL311" i="1"/>
  <c r="BL312" i="1"/>
  <c r="BL313" i="1"/>
  <c r="BL314" i="1"/>
  <c r="J314" i="1" s="1"/>
  <c r="I314" i="1" s="1"/>
  <c r="BL315" i="1"/>
  <c r="BL316" i="1"/>
  <c r="BL317" i="1"/>
  <c r="BL318" i="1"/>
  <c r="BL319" i="1"/>
  <c r="BL320" i="1"/>
  <c r="BL321" i="1"/>
  <c r="BL322" i="1"/>
  <c r="J322" i="1" s="1"/>
  <c r="I322" i="1" s="1"/>
  <c r="CB322" i="1" s="1"/>
  <c r="BL323" i="1"/>
  <c r="BL324" i="1"/>
  <c r="J324" i="1" s="1"/>
  <c r="I324" i="1" s="1"/>
  <c r="BL325" i="1"/>
  <c r="J325" i="1" s="1"/>
  <c r="I325" i="1" s="1"/>
  <c r="BY325" i="1" s="1"/>
  <c r="BL326" i="1"/>
  <c r="BL327" i="1"/>
  <c r="BL328" i="1"/>
  <c r="BL329" i="1"/>
  <c r="BL330" i="1"/>
  <c r="J330" i="1" s="1"/>
  <c r="I330" i="1" s="1"/>
  <c r="BL331" i="1"/>
  <c r="BL332" i="1"/>
  <c r="J332" i="1" s="1"/>
  <c r="I332" i="1" s="1"/>
  <c r="BL333" i="1"/>
  <c r="J333" i="1" s="1"/>
  <c r="I333" i="1" s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J346" i="1" s="1"/>
  <c r="I346" i="1" s="1"/>
  <c r="BL347" i="1"/>
  <c r="BL348" i="1"/>
  <c r="L348" i="1" s="1"/>
  <c r="BL349" i="1"/>
  <c r="J349" i="1" s="1"/>
  <c r="I349" i="1" s="1"/>
  <c r="BY349" i="1" s="1"/>
  <c r="BL350" i="1"/>
  <c r="BL351" i="1"/>
  <c r="BL352" i="1"/>
  <c r="BL353" i="1"/>
  <c r="BL354" i="1"/>
  <c r="J354" i="1" s="1"/>
  <c r="I354" i="1" s="1"/>
  <c r="BL355" i="1"/>
  <c r="BL356" i="1"/>
  <c r="L356" i="1" s="1"/>
  <c r="BL357" i="1"/>
  <c r="BL358" i="1"/>
  <c r="BL359" i="1"/>
  <c r="BL360" i="1"/>
  <c r="BL361" i="1"/>
  <c r="BL362" i="1"/>
  <c r="J362" i="1" s="1"/>
  <c r="I362" i="1" s="1"/>
  <c r="BL363" i="1"/>
  <c r="BL364" i="1"/>
  <c r="BL365" i="1"/>
  <c r="BL366" i="1"/>
  <c r="BL367" i="1"/>
  <c r="BL368" i="1"/>
  <c r="BL369" i="1"/>
  <c r="BL370" i="1"/>
  <c r="J370" i="1" s="1"/>
  <c r="I370" i="1" s="1"/>
  <c r="BL371" i="1"/>
  <c r="K371" i="1" s="1"/>
  <c r="BL372" i="1"/>
  <c r="J372" i="1" s="1"/>
  <c r="I372" i="1" s="1"/>
  <c r="BL373" i="1"/>
  <c r="J373" i="1" s="1"/>
  <c r="I373" i="1" s="1"/>
  <c r="BY373" i="1" s="1"/>
  <c r="BL374" i="1"/>
  <c r="BL375" i="1"/>
  <c r="BL376" i="1"/>
  <c r="BL377" i="1"/>
  <c r="BL378" i="1"/>
  <c r="J378" i="1" s="1"/>
  <c r="I378" i="1" s="1"/>
  <c r="BL379" i="1"/>
  <c r="BL380" i="1"/>
  <c r="BL381" i="1"/>
  <c r="BL382" i="1"/>
  <c r="BL383" i="1"/>
  <c r="BL384" i="1"/>
  <c r="BL385" i="1"/>
  <c r="BL386" i="1"/>
  <c r="J386" i="1" s="1"/>
  <c r="I386" i="1" s="1"/>
  <c r="BL387" i="1"/>
  <c r="BL388" i="1"/>
  <c r="J388" i="1" s="1"/>
  <c r="I388" i="1" s="1"/>
  <c r="BL389" i="1"/>
  <c r="J389" i="1" s="1"/>
  <c r="I389" i="1" s="1"/>
  <c r="BY389" i="1" s="1"/>
  <c r="BL390" i="1"/>
  <c r="BL391" i="1"/>
  <c r="BL392" i="1"/>
  <c r="BL393" i="1"/>
  <c r="BL394" i="1"/>
  <c r="J394" i="1" s="1"/>
  <c r="I394" i="1" s="1"/>
  <c r="BL395" i="1"/>
  <c r="BL396" i="1"/>
  <c r="J396" i="1" s="1"/>
  <c r="I396" i="1" s="1"/>
  <c r="BL397" i="1"/>
  <c r="J397" i="1" s="1"/>
  <c r="I397" i="1" s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J410" i="1" s="1"/>
  <c r="I410" i="1" s="1"/>
  <c r="BL411" i="1"/>
  <c r="BL412" i="1"/>
  <c r="L412" i="1" s="1"/>
  <c r="BL413" i="1"/>
  <c r="L413" i="1" s="1"/>
  <c r="BL414" i="1"/>
  <c r="BL415" i="1"/>
  <c r="BL416" i="1"/>
  <c r="BL417" i="1"/>
  <c r="BL418" i="1"/>
  <c r="J418" i="1" s="1"/>
  <c r="I418" i="1" s="1"/>
  <c r="BL419" i="1"/>
  <c r="BL420" i="1"/>
  <c r="J420" i="1" s="1"/>
  <c r="I420" i="1" s="1"/>
  <c r="BL421" i="1"/>
  <c r="BL422" i="1"/>
  <c r="BL423" i="1"/>
  <c r="BL424" i="1"/>
  <c r="BL425" i="1"/>
  <c r="BL426" i="1"/>
  <c r="J426" i="1" s="1"/>
  <c r="I426" i="1" s="1"/>
  <c r="BL427" i="1"/>
  <c r="BL428" i="1"/>
  <c r="BL429" i="1"/>
  <c r="BL430" i="1"/>
  <c r="BL431" i="1"/>
  <c r="BL432" i="1"/>
  <c r="BL433" i="1"/>
  <c r="BL434" i="1"/>
  <c r="J434" i="1" s="1"/>
  <c r="I434" i="1" s="1"/>
  <c r="BL435" i="1"/>
  <c r="BL436" i="1"/>
  <c r="J436" i="1" s="1"/>
  <c r="I436" i="1" s="1"/>
  <c r="BL437" i="1"/>
  <c r="L437" i="1" s="1"/>
  <c r="BL438" i="1"/>
  <c r="BL439" i="1"/>
  <c r="BL440" i="1"/>
  <c r="BL441" i="1"/>
  <c r="BL442" i="1"/>
  <c r="J442" i="1" s="1"/>
  <c r="I442" i="1" s="1"/>
  <c r="BL443" i="1"/>
  <c r="BL444" i="1"/>
  <c r="BL445" i="1"/>
  <c r="BL446" i="1"/>
  <c r="BL447" i="1"/>
  <c r="BL448" i="1"/>
  <c r="BL449" i="1"/>
  <c r="BL450" i="1"/>
  <c r="J450" i="1" s="1"/>
  <c r="I450" i="1" s="1"/>
  <c r="BL451" i="1"/>
  <c r="K451" i="1" s="1"/>
  <c r="BL452" i="1"/>
  <c r="J452" i="1" s="1"/>
  <c r="I452" i="1" s="1"/>
  <c r="BL453" i="1"/>
  <c r="J453" i="1" s="1"/>
  <c r="I453" i="1" s="1"/>
  <c r="BY453" i="1" s="1"/>
  <c r="BL454" i="1"/>
  <c r="BL455" i="1"/>
  <c r="BL456" i="1"/>
  <c r="BL457" i="1"/>
  <c r="BL458" i="1"/>
  <c r="J458" i="1" s="1"/>
  <c r="I458" i="1" s="1"/>
  <c r="BL459" i="1"/>
  <c r="BL460" i="1"/>
  <c r="J460" i="1" s="1"/>
  <c r="I460" i="1" s="1"/>
  <c r="BL461" i="1"/>
  <c r="J461" i="1" s="1"/>
  <c r="I461" i="1" s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J474" i="1" s="1"/>
  <c r="I474" i="1" s="1"/>
  <c r="BL475" i="1"/>
  <c r="BL476" i="1"/>
  <c r="J476" i="1" s="1"/>
  <c r="I476" i="1" s="1"/>
  <c r="BL477" i="1"/>
  <c r="L477" i="1" s="1"/>
  <c r="BL478" i="1"/>
  <c r="BL479" i="1"/>
  <c r="BL480" i="1"/>
  <c r="BL481" i="1"/>
  <c r="BL482" i="1"/>
  <c r="J482" i="1" s="1"/>
  <c r="I482" i="1" s="1"/>
  <c r="BL483" i="1"/>
  <c r="BL484" i="1"/>
  <c r="J484" i="1" s="1"/>
  <c r="I484" i="1" s="1"/>
  <c r="BL485" i="1"/>
  <c r="L485" i="1" s="1"/>
  <c r="BL486" i="1"/>
  <c r="BL487" i="1"/>
  <c r="BL488" i="1"/>
  <c r="BL489" i="1"/>
  <c r="BL490" i="1"/>
  <c r="J490" i="1" s="1"/>
  <c r="I490" i="1" s="1"/>
  <c r="BL491" i="1"/>
  <c r="BL492" i="1"/>
  <c r="BL493" i="1"/>
  <c r="BL494" i="1"/>
  <c r="BL495" i="1"/>
  <c r="BL496" i="1"/>
  <c r="BL497" i="1"/>
  <c r="BL498" i="1"/>
  <c r="J498" i="1" s="1"/>
  <c r="I498" i="1" s="1"/>
  <c r="BL499" i="1"/>
  <c r="BL500" i="1"/>
  <c r="J500" i="1" s="1"/>
  <c r="I500" i="1" s="1"/>
  <c r="BY500" i="1" s="1"/>
  <c r="BL501" i="1"/>
  <c r="J501" i="1" s="1"/>
  <c r="I501" i="1" s="1"/>
  <c r="BY501" i="1" s="1"/>
  <c r="BL502" i="1"/>
  <c r="BL503" i="1"/>
  <c r="BL504" i="1"/>
  <c r="BL505" i="1"/>
  <c r="BL506" i="1"/>
  <c r="J506" i="1" s="1"/>
  <c r="I506" i="1" s="1"/>
  <c r="BL507" i="1"/>
  <c r="BL508" i="1"/>
  <c r="BL509" i="1"/>
  <c r="BL510" i="1"/>
  <c r="BL511" i="1"/>
  <c r="BL512" i="1"/>
  <c r="BL513" i="1"/>
  <c r="BL514" i="1"/>
  <c r="J514" i="1" s="1"/>
  <c r="I514" i="1" s="1"/>
  <c r="BL515" i="1"/>
  <c r="K515" i="1" s="1"/>
  <c r="BL516" i="1"/>
  <c r="L516" i="1" s="1"/>
  <c r="BL517" i="1"/>
  <c r="J517" i="1" s="1"/>
  <c r="I517" i="1" s="1"/>
  <c r="BZ517" i="1" s="1"/>
  <c r="BL518" i="1"/>
  <c r="BL519" i="1"/>
  <c r="BL520" i="1"/>
  <c r="BL521" i="1"/>
  <c r="BL522" i="1"/>
  <c r="J522" i="1" s="1"/>
  <c r="I522" i="1" s="1"/>
  <c r="BL523" i="1"/>
  <c r="BL524" i="1"/>
  <c r="J524" i="1" s="1"/>
  <c r="I524" i="1" s="1"/>
  <c r="BY524" i="1" s="1"/>
  <c r="BL525" i="1"/>
  <c r="J525" i="1" s="1"/>
  <c r="I525" i="1" s="1"/>
  <c r="BZ525" i="1" s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J538" i="1" s="1"/>
  <c r="I538" i="1" s="1"/>
  <c r="BL539" i="1"/>
  <c r="BL540" i="1"/>
  <c r="L540" i="1" s="1"/>
  <c r="BL541" i="1"/>
  <c r="J541" i="1" s="1"/>
  <c r="I541" i="1" s="1"/>
  <c r="BZ541" i="1" s="1"/>
  <c r="BL542" i="1"/>
  <c r="J542" i="1" s="1"/>
  <c r="I542" i="1" s="1"/>
  <c r="BL543" i="1"/>
  <c r="BL544" i="1"/>
  <c r="BL545" i="1"/>
  <c r="BL546" i="1"/>
  <c r="J546" i="1" s="1"/>
  <c r="I546" i="1" s="1"/>
  <c r="BL547" i="1"/>
  <c r="BL548" i="1"/>
  <c r="L548" i="1" s="1"/>
  <c r="BL549" i="1"/>
  <c r="BL550" i="1"/>
  <c r="L550" i="1" s="1"/>
  <c r="BL551" i="1"/>
  <c r="BL552" i="1"/>
  <c r="BL553" i="1"/>
  <c r="BL554" i="1"/>
  <c r="J554" i="1" s="1"/>
  <c r="I554" i="1" s="1"/>
  <c r="BL555" i="1"/>
  <c r="BL556" i="1"/>
  <c r="J556" i="1" s="1"/>
  <c r="I556" i="1" s="1"/>
  <c r="BY556" i="1" s="1"/>
  <c r="BL557" i="1"/>
  <c r="BL558" i="1"/>
  <c r="J558" i="1" s="1"/>
  <c r="I558" i="1" s="1"/>
  <c r="BL559" i="1"/>
  <c r="BL560" i="1"/>
  <c r="BL561" i="1"/>
  <c r="BL562" i="1"/>
  <c r="J562" i="1" s="1"/>
  <c r="I562" i="1" s="1"/>
  <c r="BL563" i="1"/>
  <c r="BL564" i="1"/>
  <c r="J564" i="1" s="1"/>
  <c r="I564" i="1" s="1"/>
  <c r="BY564" i="1" s="1"/>
  <c r="BL565" i="1"/>
  <c r="J565" i="1" s="1"/>
  <c r="I565" i="1" s="1"/>
  <c r="BY565" i="1" s="1"/>
  <c r="BL566" i="1"/>
  <c r="J566" i="1" s="1"/>
  <c r="I566" i="1" s="1"/>
  <c r="BL567" i="1"/>
  <c r="J567" i="1" s="1"/>
  <c r="I567" i="1" s="1"/>
  <c r="BZ567" i="1" s="1"/>
  <c r="BL568" i="1"/>
  <c r="BL569" i="1"/>
  <c r="BL570" i="1"/>
  <c r="BL571" i="1"/>
  <c r="BL572" i="1"/>
  <c r="BL573" i="1"/>
  <c r="L573" i="1" s="1"/>
  <c r="BL574" i="1"/>
  <c r="BL575" i="1"/>
  <c r="J575" i="1" s="1"/>
  <c r="I575" i="1" s="1"/>
  <c r="BY575" i="1" s="1"/>
  <c r="BL576" i="1"/>
  <c r="BL577" i="1"/>
  <c r="BL578" i="1"/>
  <c r="J578" i="1" s="1"/>
  <c r="I578" i="1" s="1"/>
  <c r="CB578" i="1" s="1"/>
  <c r="BL579" i="1"/>
  <c r="BL580" i="1"/>
  <c r="L580" i="1" s="1"/>
  <c r="BL581" i="1"/>
  <c r="J581" i="1" s="1"/>
  <c r="I581" i="1" s="1"/>
  <c r="BZ581" i="1" s="1"/>
  <c r="BL582" i="1"/>
  <c r="BL583" i="1"/>
  <c r="BL584" i="1"/>
  <c r="BL585" i="1"/>
  <c r="BL586" i="1"/>
  <c r="J586" i="1" s="1"/>
  <c r="I586" i="1" s="1"/>
  <c r="BL587" i="1"/>
  <c r="BL588" i="1"/>
  <c r="J588" i="1" s="1"/>
  <c r="I588" i="1" s="1"/>
  <c r="BY588" i="1" s="1"/>
  <c r="BL589" i="1"/>
  <c r="J589" i="1" s="1"/>
  <c r="I589" i="1" s="1"/>
  <c r="BZ589" i="1" s="1"/>
  <c r="BL590" i="1"/>
  <c r="J590" i="1" s="1"/>
  <c r="I590" i="1" s="1"/>
  <c r="BL591" i="1"/>
  <c r="J591" i="1" s="1"/>
  <c r="I591" i="1" s="1"/>
  <c r="BL592" i="1"/>
  <c r="BL593" i="1"/>
  <c r="BL594" i="1"/>
  <c r="L594" i="1" s="1"/>
  <c r="BL595" i="1"/>
  <c r="BL596" i="1"/>
  <c r="BL597" i="1"/>
  <c r="BL598" i="1"/>
  <c r="BL599" i="1"/>
  <c r="BL600" i="1"/>
  <c r="BL601" i="1"/>
  <c r="K601" i="1" s="1"/>
  <c r="BL602" i="1"/>
  <c r="L602" i="1" s="1"/>
  <c r="BL603" i="1"/>
  <c r="BL604" i="1"/>
  <c r="J604" i="1" s="1"/>
  <c r="I604" i="1" s="1"/>
  <c r="BL605" i="1"/>
  <c r="J605" i="1" s="1"/>
  <c r="I605" i="1" s="1"/>
  <c r="BY605" i="1" s="1"/>
  <c r="BL606" i="1"/>
  <c r="J606" i="1" s="1"/>
  <c r="I606" i="1" s="1"/>
  <c r="BL607" i="1"/>
  <c r="BL608" i="1"/>
  <c r="BL609" i="1"/>
  <c r="BL610" i="1"/>
  <c r="J610" i="1" s="1"/>
  <c r="I610" i="1" s="1"/>
  <c r="BL611" i="1"/>
  <c r="BL612" i="1"/>
  <c r="BL613" i="1"/>
  <c r="BL614" i="1"/>
  <c r="BL615" i="1"/>
  <c r="BL616" i="1"/>
  <c r="BL617" i="1"/>
  <c r="K617" i="1" s="1"/>
  <c r="BL618" i="1"/>
  <c r="J618" i="1" s="1"/>
  <c r="I618" i="1" s="1"/>
  <c r="BL619" i="1"/>
  <c r="BL620" i="1"/>
  <c r="J620" i="1" s="1"/>
  <c r="I620" i="1" s="1"/>
  <c r="BY620" i="1" s="1"/>
  <c r="BL621" i="1"/>
  <c r="BL622" i="1"/>
  <c r="J622" i="1" s="1"/>
  <c r="I622" i="1" s="1"/>
  <c r="BL623" i="1"/>
  <c r="L623" i="1" s="1"/>
  <c r="BL624" i="1"/>
  <c r="BL625" i="1"/>
  <c r="BL626" i="1"/>
  <c r="J626" i="1" s="1"/>
  <c r="I626" i="1" s="1"/>
  <c r="BL627" i="1"/>
  <c r="BL628" i="1"/>
  <c r="J628" i="1" s="1"/>
  <c r="I628" i="1" s="1"/>
  <c r="BY628" i="1" s="1"/>
  <c r="BL629" i="1"/>
  <c r="J629" i="1" s="1"/>
  <c r="I629" i="1" s="1"/>
  <c r="BY629" i="1" s="1"/>
  <c r="BL630" i="1"/>
  <c r="J630" i="1" s="1"/>
  <c r="I630" i="1" s="1"/>
  <c r="BL631" i="1"/>
  <c r="J631" i="1" s="1"/>
  <c r="I631" i="1" s="1"/>
  <c r="BZ631" i="1" s="1"/>
  <c r="BL632" i="1"/>
  <c r="BL633" i="1"/>
  <c r="BL634" i="1"/>
  <c r="J634" i="1" s="1"/>
  <c r="I634" i="1" s="1"/>
  <c r="BL635" i="1"/>
  <c r="BL636" i="1"/>
  <c r="BL637" i="1"/>
  <c r="BL638" i="1"/>
  <c r="J638" i="1" s="1"/>
  <c r="I638" i="1" s="1"/>
  <c r="BL639" i="1"/>
  <c r="L639" i="1" s="1"/>
  <c r="BL640" i="1"/>
  <c r="BL641" i="1"/>
  <c r="BL642" i="1"/>
  <c r="L642" i="1" s="1"/>
  <c r="BL643" i="1"/>
  <c r="BL644" i="1"/>
  <c r="BL645" i="1"/>
  <c r="BL646" i="1"/>
  <c r="BL647" i="1"/>
  <c r="L647" i="1" s="1"/>
  <c r="BL648" i="1"/>
  <c r="BL649" i="1"/>
  <c r="J649" i="1" s="1"/>
  <c r="I649" i="1" s="1"/>
  <c r="BY649" i="1" s="1"/>
  <c r="BL650" i="1"/>
  <c r="J650" i="1" s="1"/>
  <c r="I650" i="1" s="1"/>
  <c r="BL651" i="1"/>
  <c r="BL652" i="1"/>
  <c r="J652" i="1" s="1"/>
  <c r="I652" i="1" s="1"/>
  <c r="BY652" i="1" s="1"/>
  <c r="BL653" i="1"/>
  <c r="J653" i="1" s="1"/>
  <c r="I653" i="1" s="1"/>
  <c r="BL654" i="1"/>
  <c r="BL655" i="1"/>
  <c r="BL656" i="1"/>
  <c r="BL657" i="1"/>
  <c r="BL658" i="1"/>
  <c r="L658" i="1" s="1"/>
  <c r="BL659" i="1"/>
  <c r="BL660" i="1"/>
  <c r="J660" i="1" s="1"/>
  <c r="I660" i="1" s="1"/>
  <c r="BY660" i="1" s="1"/>
  <c r="BL661" i="1"/>
  <c r="J661" i="1" s="1"/>
  <c r="I661" i="1" s="1"/>
  <c r="BZ661" i="1" s="1"/>
  <c r="BL662" i="1"/>
  <c r="J662" i="1" s="1"/>
  <c r="I662" i="1" s="1"/>
  <c r="BY662" i="1" s="1"/>
  <c r="BL663" i="1"/>
  <c r="BL664" i="1"/>
  <c r="BL665" i="1"/>
  <c r="L665" i="1" s="1"/>
  <c r="BL666" i="1"/>
  <c r="L666" i="1" s="1"/>
  <c r="BL667" i="1"/>
  <c r="BL668" i="1"/>
  <c r="BL669" i="1"/>
  <c r="BL670" i="1"/>
  <c r="BL671" i="1"/>
  <c r="J671" i="1" s="1"/>
  <c r="I671" i="1" s="1"/>
  <c r="BZ671" i="1" s="1"/>
  <c r="BL672" i="1"/>
  <c r="BL673" i="1"/>
  <c r="BL674" i="1"/>
  <c r="J674" i="1" s="1"/>
  <c r="I674" i="1" s="1"/>
  <c r="BY674" i="1" s="1"/>
  <c r="BL675" i="1"/>
  <c r="BL676" i="1"/>
  <c r="BL677" i="1"/>
  <c r="BL678" i="1"/>
  <c r="BL679" i="1"/>
  <c r="J679" i="1" s="1"/>
  <c r="I679" i="1" s="1"/>
  <c r="BL680" i="1"/>
  <c r="BL681" i="1"/>
  <c r="L681" i="1" s="1"/>
  <c r="BL682" i="1"/>
  <c r="J682" i="1" s="1"/>
  <c r="I682" i="1" s="1"/>
  <c r="BL683" i="1"/>
  <c r="BL684" i="1"/>
  <c r="J684" i="1" s="1"/>
  <c r="I684" i="1" s="1"/>
  <c r="BY684" i="1" s="1"/>
  <c r="BL685" i="1"/>
  <c r="J685" i="1" s="1"/>
  <c r="I685" i="1" s="1"/>
  <c r="BY685" i="1" s="1"/>
  <c r="I173" i="1" l="1"/>
  <c r="BY173" i="1" s="1"/>
  <c r="C10" i="10"/>
  <c r="J10" i="10" s="1"/>
  <c r="J15" i="10"/>
  <c r="AJ7" i="4"/>
  <c r="L7" i="4"/>
  <c r="Q17" i="5"/>
  <c r="Q9" i="5"/>
  <c r="P19" i="5"/>
  <c r="P11" i="5"/>
  <c r="P3" i="5"/>
  <c r="AG7" i="4"/>
  <c r="U7" i="4"/>
  <c r="I7" i="4"/>
  <c r="AD7" i="4"/>
  <c r="R7" i="4"/>
  <c r="AA7" i="4"/>
  <c r="O7" i="4"/>
  <c r="Q15" i="5"/>
  <c r="Q7" i="5"/>
  <c r="Q2" i="5"/>
  <c r="Q14" i="5"/>
  <c r="Q6" i="5"/>
  <c r="E6" i="5" s="1"/>
  <c r="Q13" i="5"/>
  <c r="Q5" i="5"/>
  <c r="P16" i="5"/>
  <c r="P8" i="5"/>
  <c r="P17" i="5"/>
  <c r="E17" i="5" s="1"/>
  <c r="P9" i="5"/>
  <c r="E9" i="5" s="1"/>
  <c r="P15" i="5"/>
  <c r="P7" i="5"/>
  <c r="AB18" i="5"/>
  <c r="AB10" i="5"/>
  <c r="Q19" i="5"/>
  <c r="Q11" i="5"/>
  <c r="E11" i="5" s="1"/>
  <c r="Q3" i="5"/>
  <c r="E3" i="5" s="1"/>
  <c r="P13" i="5"/>
  <c r="P5" i="5"/>
  <c r="AL6" i="5"/>
  <c r="Q16" i="5"/>
  <c r="Q8" i="5"/>
  <c r="E8" i="5" s="1"/>
  <c r="P18" i="5"/>
  <c r="P10" i="5"/>
  <c r="Q12" i="5"/>
  <c r="Q4" i="5"/>
  <c r="P14" i="5"/>
  <c r="E14" i="5" s="1"/>
  <c r="Q18" i="5"/>
  <c r="Q10" i="5"/>
  <c r="AO2" i="5"/>
  <c r="AO12" i="5"/>
  <c r="AO4" i="5"/>
  <c r="AO18" i="5"/>
  <c r="AO10" i="5"/>
  <c r="AB2" i="5"/>
  <c r="AB12" i="5"/>
  <c r="AB4" i="5"/>
  <c r="AO19" i="5"/>
  <c r="AO11" i="5"/>
  <c r="AO3" i="5"/>
  <c r="AB19" i="5"/>
  <c r="AB17" i="5"/>
  <c r="AB9" i="5"/>
  <c r="AB11" i="5"/>
  <c r="AO17" i="5"/>
  <c r="AO9" i="5"/>
  <c r="AB16" i="5"/>
  <c r="AB8" i="5"/>
  <c r="AB3" i="5"/>
  <c r="AO16" i="5"/>
  <c r="AO8" i="5"/>
  <c r="AB15" i="5"/>
  <c r="AB7" i="5"/>
  <c r="AO15" i="5"/>
  <c r="AO7" i="5"/>
  <c r="P2" i="5"/>
  <c r="P12" i="5"/>
  <c r="P4" i="5"/>
  <c r="E4" i="5" s="1"/>
  <c r="AB14" i="5"/>
  <c r="AB6" i="5"/>
  <c r="AO14" i="5"/>
  <c r="AO6" i="5"/>
  <c r="AB13" i="5"/>
  <c r="AB5" i="5"/>
  <c r="AO13" i="5"/>
  <c r="AO5" i="5"/>
  <c r="Y2" i="5"/>
  <c r="AL4" i="5"/>
  <c r="AL12" i="5"/>
  <c r="AL11" i="5"/>
  <c r="AL9" i="5"/>
  <c r="AL14" i="5"/>
  <c r="AL2" i="5"/>
  <c r="AL3" i="5"/>
  <c r="AL13" i="5"/>
  <c r="AL10" i="5"/>
  <c r="AL5" i="5"/>
  <c r="AL7" i="5"/>
  <c r="AL15" i="5"/>
  <c r="AL18" i="5"/>
  <c r="O4" i="5"/>
  <c r="M4" i="5" s="1"/>
  <c r="O12" i="5"/>
  <c r="H3" i="5"/>
  <c r="H13" i="5"/>
  <c r="H10" i="5"/>
  <c r="G5" i="5"/>
  <c r="G7" i="5"/>
  <c r="F16" i="5"/>
  <c r="F8" i="5"/>
  <c r="AL16" i="5"/>
  <c r="AL8" i="5"/>
  <c r="O16" i="5"/>
  <c r="O8" i="5"/>
  <c r="H6" i="5"/>
  <c r="H19" i="5"/>
  <c r="G4" i="5"/>
  <c r="G12" i="5"/>
  <c r="F15" i="5"/>
  <c r="F18" i="5"/>
  <c r="O5" i="5"/>
  <c r="O7" i="5"/>
  <c r="H11" i="5"/>
  <c r="H9" i="5"/>
  <c r="H17" i="5"/>
  <c r="G14" i="5"/>
  <c r="G2" i="5"/>
  <c r="F4" i="5"/>
  <c r="F12" i="5"/>
  <c r="O14" i="5"/>
  <c r="H15" i="5"/>
  <c r="H18" i="5"/>
  <c r="G17" i="5"/>
  <c r="G6" i="5"/>
  <c r="G19" i="5"/>
  <c r="R5" i="5"/>
  <c r="R7" i="5"/>
  <c r="O6" i="5"/>
  <c r="M6" i="5" s="1"/>
  <c r="O19" i="5"/>
  <c r="H16" i="5"/>
  <c r="H8" i="5"/>
  <c r="G3" i="5"/>
  <c r="G13" i="5"/>
  <c r="G10" i="5"/>
  <c r="R14" i="5"/>
  <c r="R2" i="5"/>
  <c r="O3" i="5"/>
  <c r="O13" i="5"/>
  <c r="M13" i="5" s="1"/>
  <c r="O10" i="5"/>
  <c r="H4" i="5"/>
  <c r="H12" i="5"/>
  <c r="G11" i="5"/>
  <c r="G9" i="5"/>
  <c r="R17" i="5"/>
  <c r="R6" i="5"/>
  <c r="R19" i="5"/>
  <c r="O11" i="5"/>
  <c r="O9" i="5"/>
  <c r="M9" i="5" s="1"/>
  <c r="H5" i="5"/>
  <c r="H7" i="5"/>
  <c r="G15" i="5"/>
  <c r="G18" i="5"/>
  <c r="F3" i="5"/>
  <c r="F13" i="5"/>
  <c r="F10" i="5"/>
  <c r="O15" i="5"/>
  <c r="M15" i="5" s="1"/>
  <c r="O18" i="5"/>
  <c r="H14" i="5"/>
  <c r="H2" i="5"/>
  <c r="G16" i="5"/>
  <c r="R8" i="5"/>
  <c r="F11" i="5"/>
  <c r="F9" i="5"/>
  <c r="O17" i="5"/>
  <c r="AE5" i="5"/>
  <c r="AE7" i="5"/>
  <c r="R3" i="5"/>
  <c r="R13" i="5"/>
  <c r="R10" i="5"/>
  <c r="F5" i="5"/>
  <c r="F7" i="5"/>
  <c r="G8" i="5"/>
  <c r="AE14" i="5"/>
  <c r="AE2" i="5"/>
  <c r="R11" i="5"/>
  <c r="R9" i="5"/>
  <c r="N11" i="5"/>
  <c r="L11" i="5" s="1"/>
  <c r="N5" i="5"/>
  <c r="L5" i="5" s="1"/>
  <c r="N9" i="5"/>
  <c r="N7" i="5"/>
  <c r="F14" i="5"/>
  <c r="F2" i="5"/>
  <c r="AE17" i="5"/>
  <c r="AE6" i="5"/>
  <c r="AE19" i="5"/>
  <c r="R15" i="5"/>
  <c r="R18" i="5"/>
  <c r="O2" i="5"/>
  <c r="M2" i="5" s="1"/>
  <c r="F17" i="5"/>
  <c r="F6" i="5"/>
  <c r="F19" i="5"/>
  <c r="AE3" i="5"/>
  <c r="AE13" i="5"/>
  <c r="AE10" i="5"/>
  <c r="Y4" i="5"/>
  <c r="Y12" i="5"/>
  <c r="R16" i="5"/>
  <c r="N15" i="5"/>
  <c r="N14" i="5"/>
  <c r="N18" i="5"/>
  <c r="N2" i="5"/>
  <c r="AE11" i="5"/>
  <c r="AE9" i="5"/>
  <c r="Y5" i="5"/>
  <c r="Y7" i="5"/>
  <c r="R4" i="5"/>
  <c r="R12" i="5"/>
  <c r="AE15" i="5"/>
  <c r="AE18" i="5"/>
  <c r="N16" i="5"/>
  <c r="N6" i="5"/>
  <c r="L6" i="5" s="1"/>
  <c r="N8" i="5"/>
  <c r="L8" i="5" s="1"/>
  <c r="N19" i="5"/>
  <c r="AE16" i="5"/>
  <c r="AE8" i="5"/>
  <c r="AE4" i="5"/>
  <c r="AE12" i="5"/>
  <c r="Y3" i="5"/>
  <c r="Y13" i="5"/>
  <c r="Y10" i="5"/>
  <c r="N3" i="5"/>
  <c r="L3" i="5" s="1"/>
  <c r="N4" i="5"/>
  <c r="N13" i="5"/>
  <c r="N12" i="5"/>
  <c r="N10" i="5"/>
  <c r="Y14" i="5"/>
  <c r="Y17" i="5"/>
  <c r="Y6" i="5"/>
  <c r="Y19" i="5"/>
  <c r="Y11" i="5"/>
  <c r="Y9" i="5"/>
  <c r="Y15" i="5"/>
  <c r="Y18" i="5"/>
  <c r="Y16" i="5"/>
  <c r="Y8" i="5"/>
  <c r="AL17" i="5"/>
  <c r="R686" i="1"/>
  <c r="BY661" i="1"/>
  <c r="BZ649" i="1"/>
  <c r="BZ629" i="1"/>
  <c r="BZ565" i="1"/>
  <c r="BY631" i="1"/>
  <c r="BZ501" i="1"/>
  <c r="BY145" i="1"/>
  <c r="BY567" i="1"/>
  <c r="CL622" i="1"/>
  <c r="CK622" i="1"/>
  <c r="CJ622" i="1"/>
  <c r="CI622" i="1"/>
  <c r="CH622" i="1"/>
  <c r="CG622" i="1"/>
  <c r="CE622" i="1"/>
  <c r="CF622" i="1"/>
  <c r="CD622" i="1"/>
  <c r="CB622" i="1"/>
  <c r="CA622" i="1"/>
  <c r="BY622" i="1"/>
  <c r="CC622" i="1"/>
  <c r="BZ622" i="1"/>
  <c r="BV246" i="1"/>
  <c r="CL246" i="1"/>
  <c r="CK246" i="1"/>
  <c r="CJ246" i="1"/>
  <c r="CH246" i="1"/>
  <c r="CI246" i="1"/>
  <c r="CF246" i="1"/>
  <c r="CG246" i="1"/>
  <c r="CD246" i="1"/>
  <c r="CC246" i="1"/>
  <c r="CB246" i="1"/>
  <c r="CE246" i="1"/>
  <c r="BY246" i="1"/>
  <c r="CA246" i="1"/>
  <c r="BZ246" i="1"/>
  <c r="CL653" i="1"/>
  <c r="CK653" i="1"/>
  <c r="CJ653" i="1"/>
  <c r="CI653" i="1"/>
  <c r="CH653" i="1"/>
  <c r="CG653" i="1"/>
  <c r="CF653" i="1"/>
  <c r="CE653" i="1"/>
  <c r="CD653" i="1"/>
  <c r="CB653" i="1"/>
  <c r="CC653" i="1"/>
  <c r="CA653" i="1"/>
  <c r="CK682" i="1"/>
  <c r="CL682" i="1"/>
  <c r="CJ682" i="1"/>
  <c r="CG682" i="1"/>
  <c r="CI682" i="1"/>
  <c r="CH682" i="1"/>
  <c r="CE682" i="1"/>
  <c r="CC682" i="1"/>
  <c r="CD682" i="1"/>
  <c r="CA682" i="1"/>
  <c r="CF682" i="1"/>
  <c r="BZ682" i="1"/>
  <c r="CB682" i="1"/>
  <c r="CL650" i="1"/>
  <c r="CK650" i="1"/>
  <c r="CJ650" i="1"/>
  <c r="CI650" i="1"/>
  <c r="CG650" i="1"/>
  <c r="CH650" i="1"/>
  <c r="CF650" i="1"/>
  <c r="CE650" i="1"/>
  <c r="CC650" i="1"/>
  <c r="CD650" i="1"/>
  <c r="CA650" i="1"/>
  <c r="CB650" i="1"/>
  <c r="BZ650" i="1"/>
  <c r="BY650" i="1"/>
  <c r="CL634" i="1"/>
  <c r="CK634" i="1"/>
  <c r="CJ634" i="1"/>
  <c r="CG634" i="1"/>
  <c r="CH634" i="1"/>
  <c r="CI634" i="1"/>
  <c r="CF634" i="1"/>
  <c r="CE634" i="1"/>
  <c r="CD634" i="1"/>
  <c r="CC634" i="1"/>
  <c r="CA634" i="1"/>
  <c r="CB634" i="1"/>
  <c r="BZ634" i="1"/>
  <c r="BY634" i="1"/>
  <c r="CL618" i="1"/>
  <c r="CK618" i="1"/>
  <c r="CJ618" i="1"/>
  <c r="CG618" i="1"/>
  <c r="CI618" i="1"/>
  <c r="CH618" i="1"/>
  <c r="CD618" i="1"/>
  <c r="CF618" i="1"/>
  <c r="CC618" i="1"/>
  <c r="CE618" i="1"/>
  <c r="CA618" i="1"/>
  <c r="CB618" i="1"/>
  <c r="BZ618" i="1"/>
  <c r="BY618" i="1"/>
  <c r="CL586" i="1"/>
  <c r="CK586" i="1"/>
  <c r="CJ586" i="1"/>
  <c r="CI586" i="1"/>
  <c r="CG586" i="1"/>
  <c r="CH586" i="1"/>
  <c r="CF586" i="1"/>
  <c r="CE586" i="1"/>
  <c r="CD586" i="1"/>
  <c r="CC586" i="1"/>
  <c r="CB586" i="1"/>
  <c r="CA586" i="1"/>
  <c r="BZ586" i="1"/>
  <c r="BY586" i="1"/>
  <c r="CL562" i="1"/>
  <c r="CK562" i="1"/>
  <c r="CJ562" i="1"/>
  <c r="CH562" i="1"/>
  <c r="CG562" i="1"/>
  <c r="CI562" i="1"/>
  <c r="CF562" i="1"/>
  <c r="CE562" i="1"/>
  <c r="CC562" i="1"/>
  <c r="CD562" i="1"/>
  <c r="CB562" i="1"/>
  <c r="CA562" i="1"/>
  <c r="BZ562" i="1"/>
  <c r="BY562" i="1"/>
  <c r="CL546" i="1"/>
  <c r="CK546" i="1"/>
  <c r="CJ546" i="1"/>
  <c r="CI546" i="1"/>
  <c r="CG546" i="1"/>
  <c r="CH546" i="1"/>
  <c r="CF546" i="1"/>
  <c r="CE546" i="1"/>
  <c r="CD546" i="1"/>
  <c r="CC546" i="1"/>
  <c r="CB546" i="1"/>
  <c r="CA546" i="1"/>
  <c r="BZ546" i="1"/>
  <c r="BY546" i="1"/>
  <c r="CL649" i="1"/>
  <c r="CJ649" i="1"/>
  <c r="CK649" i="1"/>
  <c r="CI649" i="1"/>
  <c r="CG649" i="1"/>
  <c r="CH649" i="1"/>
  <c r="CF649" i="1"/>
  <c r="CE649" i="1"/>
  <c r="CD649" i="1"/>
  <c r="CC649" i="1"/>
  <c r="CB649" i="1"/>
  <c r="CA649" i="1"/>
  <c r="CL265" i="1"/>
  <c r="CK265" i="1"/>
  <c r="CJ265" i="1"/>
  <c r="CH265" i="1"/>
  <c r="CG265" i="1"/>
  <c r="CI265" i="1"/>
  <c r="CF265" i="1"/>
  <c r="CE265" i="1"/>
  <c r="CC265" i="1"/>
  <c r="CD265" i="1"/>
  <c r="CB265" i="1"/>
  <c r="CA265" i="1"/>
  <c r="CL217" i="1"/>
  <c r="CK217" i="1"/>
  <c r="CJ217" i="1"/>
  <c r="CI217" i="1"/>
  <c r="CH217" i="1"/>
  <c r="CG217" i="1"/>
  <c r="CF217" i="1"/>
  <c r="CE217" i="1"/>
  <c r="CD217" i="1"/>
  <c r="CB217" i="1"/>
  <c r="CA217" i="1"/>
  <c r="CC217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Y653" i="1"/>
  <c r="BY589" i="1"/>
  <c r="BY525" i="1"/>
  <c r="BZ653" i="1"/>
  <c r="BZ217" i="1"/>
  <c r="CL671" i="1"/>
  <c r="CK671" i="1"/>
  <c r="CJ671" i="1"/>
  <c r="CI671" i="1"/>
  <c r="CH671" i="1"/>
  <c r="CG671" i="1"/>
  <c r="CD671" i="1"/>
  <c r="CF671" i="1"/>
  <c r="CE671" i="1"/>
  <c r="CC671" i="1"/>
  <c r="CB671" i="1"/>
  <c r="CA671" i="1"/>
  <c r="CL239" i="1"/>
  <c r="CK239" i="1"/>
  <c r="CJ239" i="1"/>
  <c r="CI239" i="1"/>
  <c r="CH239" i="1"/>
  <c r="CF239" i="1"/>
  <c r="CG239" i="1"/>
  <c r="CD239" i="1"/>
  <c r="CE239" i="1"/>
  <c r="CC239" i="1"/>
  <c r="CB239" i="1"/>
  <c r="CA239" i="1"/>
  <c r="BY239" i="1"/>
  <c r="CL183" i="1"/>
  <c r="CK183" i="1"/>
  <c r="CJ183" i="1"/>
  <c r="CH183" i="1"/>
  <c r="CI183" i="1"/>
  <c r="CF183" i="1"/>
  <c r="CG183" i="1"/>
  <c r="CD183" i="1"/>
  <c r="CE183" i="1"/>
  <c r="CC183" i="1"/>
  <c r="CB183" i="1"/>
  <c r="BY183" i="1"/>
  <c r="CA183" i="1"/>
  <c r="CL119" i="1"/>
  <c r="CK119" i="1"/>
  <c r="CJ119" i="1"/>
  <c r="CI119" i="1"/>
  <c r="CH119" i="1"/>
  <c r="CF119" i="1"/>
  <c r="CG119" i="1"/>
  <c r="CD119" i="1"/>
  <c r="CE119" i="1"/>
  <c r="CC119" i="1"/>
  <c r="CB119" i="1"/>
  <c r="BZ119" i="1"/>
  <c r="BY119" i="1"/>
  <c r="CA119" i="1"/>
  <c r="BZ605" i="1"/>
  <c r="CL638" i="1"/>
  <c r="CK638" i="1"/>
  <c r="CJ638" i="1"/>
  <c r="CI638" i="1"/>
  <c r="CH638" i="1"/>
  <c r="CG638" i="1"/>
  <c r="CF638" i="1"/>
  <c r="CD638" i="1"/>
  <c r="CE638" i="1"/>
  <c r="CB638" i="1"/>
  <c r="CC638" i="1"/>
  <c r="BY638" i="1"/>
  <c r="CA638" i="1"/>
  <c r="BZ638" i="1"/>
  <c r="CL558" i="1"/>
  <c r="CK558" i="1"/>
  <c r="CJ558" i="1"/>
  <c r="CI558" i="1"/>
  <c r="CH558" i="1"/>
  <c r="CG558" i="1"/>
  <c r="CF558" i="1"/>
  <c r="CD558" i="1"/>
  <c r="CB558" i="1"/>
  <c r="CE558" i="1"/>
  <c r="CA558" i="1"/>
  <c r="BY558" i="1"/>
  <c r="CC558" i="1"/>
  <c r="BZ558" i="1"/>
  <c r="BV238" i="1"/>
  <c r="CL238" i="1"/>
  <c r="CJ238" i="1"/>
  <c r="CK238" i="1"/>
  <c r="CI238" i="1"/>
  <c r="CH238" i="1"/>
  <c r="CG238" i="1"/>
  <c r="CF238" i="1"/>
  <c r="CD238" i="1"/>
  <c r="CE238" i="1"/>
  <c r="CB238" i="1"/>
  <c r="CC238" i="1"/>
  <c r="CA238" i="1"/>
  <c r="BY238" i="1"/>
  <c r="BZ238" i="1"/>
  <c r="BV214" i="1"/>
  <c r="CL214" i="1"/>
  <c r="CK214" i="1"/>
  <c r="CJ214" i="1"/>
  <c r="CI214" i="1"/>
  <c r="CH214" i="1"/>
  <c r="CF214" i="1"/>
  <c r="CG214" i="1"/>
  <c r="CE214" i="1"/>
  <c r="CB214" i="1"/>
  <c r="CC214" i="1"/>
  <c r="CD214" i="1"/>
  <c r="BY214" i="1"/>
  <c r="CA214" i="1"/>
  <c r="BZ214" i="1"/>
  <c r="CL142" i="1"/>
  <c r="CK142" i="1"/>
  <c r="CJ142" i="1"/>
  <c r="CH142" i="1"/>
  <c r="CI142" i="1"/>
  <c r="CG142" i="1"/>
  <c r="CF142" i="1"/>
  <c r="CD142" i="1"/>
  <c r="CE142" i="1"/>
  <c r="CC142" i="1"/>
  <c r="CB142" i="1"/>
  <c r="BZ142" i="1"/>
  <c r="CA142" i="1"/>
  <c r="BY142" i="1"/>
  <c r="CL134" i="1"/>
  <c r="CJ134" i="1"/>
  <c r="CK134" i="1"/>
  <c r="CI134" i="1"/>
  <c r="CH134" i="1"/>
  <c r="CG134" i="1"/>
  <c r="CF134" i="1"/>
  <c r="CE134" i="1"/>
  <c r="CD134" i="1"/>
  <c r="CB134" i="1"/>
  <c r="BZ134" i="1"/>
  <c r="BY134" i="1"/>
  <c r="CC134" i="1"/>
  <c r="CL78" i="1"/>
  <c r="CJ78" i="1"/>
  <c r="CK78" i="1"/>
  <c r="CH78" i="1"/>
  <c r="CI78" i="1"/>
  <c r="CG78" i="1"/>
  <c r="CE78" i="1"/>
  <c r="CD78" i="1"/>
  <c r="CF78" i="1"/>
  <c r="CC78" i="1"/>
  <c r="CB78" i="1"/>
  <c r="BZ78" i="1"/>
  <c r="CA78" i="1"/>
  <c r="BY78" i="1"/>
  <c r="BY217" i="1"/>
  <c r="BZ239" i="1"/>
  <c r="CA134" i="1"/>
  <c r="CL679" i="1"/>
  <c r="CK679" i="1"/>
  <c r="CJ679" i="1"/>
  <c r="CI679" i="1"/>
  <c r="CH679" i="1"/>
  <c r="CG679" i="1"/>
  <c r="CF679" i="1"/>
  <c r="CD679" i="1"/>
  <c r="CB679" i="1"/>
  <c r="CC679" i="1"/>
  <c r="CE679" i="1"/>
  <c r="CA679" i="1"/>
  <c r="CL630" i="1"/>
  <c r="CK630" i="1"/>
  <c r="CI630" i="1"/>
  <c r="CJ630" i="1"/>
  <c r="CH630" i="1"/>
  <c r="CF630" i="1"/>
  <c r="CD630" i="1"/>
  <c r="CG630" i="1"/>
  <c r="CB630" i="1"/>
  <c r="CE630" i="1"/>
  <c r="CC630" i="1"/>
  <c r="BY630" i="1"/>
  <c r="CA630" i="1"/>
  <c r="BZ630" i="1"/>
  <c r="CL542" i="1"/>
  <c r="CK542" i="1"/>
  <c r="CJ542" i="1"/>
  <c r="CI542" i="1"/>
  <c r="CH542" i="1"/>
  <c r="CG542" i="1"/>
  <c r="CD542" i="1"/>
  <c r="CE542" i="1"/>
  <c r="CB542" i="1"/>
  <c r="CC542" i="1"/>
  <c r="CF542" i="1"/>
  <c r="BY542" i="1"/>
  <c r="CA542" i="1"/>
  <c r="BZ542" i="1"/>
  <c r="CK685" i="1"/>
  <c r="CL685" i="1"/>
  <c r="CJ685" i="1"/>
  <c r="CI685" i="1"/>
  <c r="CH685" i="1"/>
  <c r="CG685" i="1"/>
  <c r="CF685" i="1"/>
  <c r="CE685" i="1"/>
  <c r="CD685" i="1"/>
  <c r="CC685" i="1"/>
  <c r="CB685" i="1"/>
  <c r="CA685" i="1"/>
  <c r="CL629" i="1"/>
  <c r="CK629" i="1"/>
  <c r="CJ629" i="1"/>
  <c r="CI629" i="1"/>
  <c r="CH629" i="1"/>
  <c r="CG629" i="1"/>
  <c r="CF629" i="1"/>
  <c r="CD629" i="1"/>
  <c r="CE629" i="1"/>
  <c r="CB629" i="1"/>
  <c r="CC629" i="1"/>
  <c r="CA629" i="1"/>
  <c r="CL589" i="1"/>
  <c r="CK589" i="1"/>
  <c r="CJ589" i="1"/>
  <c r="CI589" i="1"/>
  <c r="CH589" i="1"/>
  <c r="CG589" i="1"/>
  <c r="CF589" i="1"/>
  <c r="CE589" i="1"/>
  <c r="CB589" i="1"/>
  <c r="CD589" i="1"/>
  <c r="CC589" i="1"/>
  <c r="CA589" i="1"/>
  <c r="CL541" i="1"/>
  <c r="CK541" i="1"/>
  <c r="CJ541" i="1"/>
  <c r="CI541" i="1"/>
  <c r="CH541" i="1"/>
  <c r="CG541" i="1"/>
  <c r="CF541" i="1"/>
  <c r="CE541" i="1"/>
  <c r="CB541" i="1"/>
  <c r="CD541" i="1"/>
  <c r="CC541" i="1"/>
  <c r="CA541" i="1"/>
  <c r="CL517" i="1"/>
  <c r="CK517" i="1"/>
  <c r="CI517" i="1"/>
  <c r="CH517" i="1"/>
  <c r="CJ517" i="1"/>
  <c r="CG517" i="1"/>
  <c r="CF517" i="1"/>
  <c r="CE517" i="1"/>
  <c r="CB517" i="1"/>
  <c r="CC517" i="1"/>
  <c r="CA517" i="1"/>
  <c r="CD517" i="1"/>
  <c r="CL461" i="1"/>
  <c r="CK461" i="1"/>
  <c r="CJ461" i="1"/>
  <c r="CI461" i="1"/>
  <c r="CH461" i="1"/>
  <c r="CG461" i="1"/>
  <c r="CF461" i="1"/>
  <c r="CE461" i="1"/>
  <c r="CD461" i="1"/>
  <c r="CB461" i="1"/>
  <c r="CC461" i="1"/>
  <c r="CA461" i="1"/>
  <c r="BZ461" i="1"/>
  <c r="CL389" i="1"/>
  <c r="CK389" i="1"/>
  <c r="CJ389" i="1"/>
  <c r="CI389" i="1"/>
  <c r="CH389" i="1"/>
  <c r="CG389" i="1"/>
  <c r="CF389" i="1"/>
  <c r="CE389" i="1"/>
  <c r="CC389" i="1"/>
  <c r="CB389" i="1"/>
  <c r="CD389" i="1"/>
  <c r="CA389" i="1"/>
  <c r="BZ389" i="1"/>
  <c r="CL373" i="1"/>
  <c r="CK373" i="1"/>
  <c r="CI373" i="1"/>
  <c r="CH373" i="1"/>
  <c r="CJ373" i="1"/>
  <c r="CG373" i="1"/>
  <c r="CF373" i="1"/>
  <c r="CE373" i="1"/>
  <c r="CD373" i="1"/>
  <c r="CC373" i="1"/>
  <c r="CB373" i="1"/>
  <c r="CA373" i="1"/>
  <c r="BZ373" i="1"/>
  <c r="CK349" i="1"/>
  <c r="CL349" i="1"/>
  <c r="CJ349" i="1"/>
  <c r="CI349" i="1"/>
  <c r="CH349" i="1"/>
  <c r="CG349" i="1"/>
  <c r="CF349" i="1"/>
  <c r="CD349" i="1"/>
  <c r="CE349" i="1"/>
  <c r="CC349" i="1"/>
  <c r="CB349" i="1"/>
  <c r="CA349" i="1"/>
  <c r="BZ349" i="1"/>
  <c r="CL333" i="1"/>
  <c r="CK333" i="1"/>
  <c r="CJ333" i="1"/>
  <c r="CH333" i="1"/>
  <c r="CI333" i="1"/>
  <c r="CG333" i="1"/>
  <c r="CF333" i="1"/>
  <c r="CD333" i="1"/>
  <c r="CE333" i="1"/>
  <c r="CC333" i="1"/>
  <c r="CB333" i="1"/>
  <c r="CA333" i="1"/>
  <c r="BZ333" i="1"/>
  <c r="CL325" i="1"/>
  <c r="CK325" i="1"/>
  <c r="CJ325" i="1"/>
  <c r="CI325" i="1"/>
  <c r="CH325" i="1"/>
  <c r="CG325" i="1"/>
  <c r="CF325" i="1"/>
  <c r="CD325" i="1"/>
  <c r="CE325" i="1"/>
  <c r="CC325" i="1"/>
  <c r="CB325" i="1"/>
  <c r="CA325" i="1"/>
  <c r="BZ325" i="1"/>
  <c r="CL309" i="1"/>
  <c r="CK309" i="1"/>
  <c r="CJ309" i="1"/>
  <c r="CI309" i="1"/>
  <c r="CH309" i="1"/>
  <c r="CG309" i="1"/>
  <c r="CF309" i="1"/>
  <c r="CD309" i="1"/>
  <c r="CE309" i="1"/>
  <c r="CC309" i="1"/>
  <c r="CB309" i="1"/>
  <c r="CA309" i="1"/>
  <c r="BZ309" i="1"/>
  <c r="CL285" i="1"/>
  <c r="CK285" i="1"/>
  <c r="CJ285" i="1"/>
  <c r="CI285" i="1"/>
  <c r="CH285" i="1"/>
  <c r="CG285" i="1"/>
  <c r="CD285" i="1"/>
  <c r="CE285" i="1"/>
  <c r="CC285" i="1"/>
  <c r="CB285" i="1"/>
  <c r="CF285" i="1"/>
  <c r="CA285" i="1"/>
  <c r="BZ285" i="1"/>
  <c r="CL181" i="1"/>
  <c r="CK181" i="1"/>
  <c r="CI181" i="1"/>
  <c r="CJ181" i="1"/>
  <c r="CH181" i="1"/>
  <c r="CF181" i="1"/>
  <c r="CG181" i="1"/>
  <c r="CD181" i="1"/>
  <c r="CE181" i="1"/>
  <c r="CC181" i="1"/>
  <c r="CB181" i="1"/>
  <c r="CA181" i="1"/>
  <c r="BZ181" i="1"/>
  <c r="CL173" i="1"/>
  <c r="CK173" i="1"/>
  <c r="CI173" i="1"/>
  <c r="CJ173" i="1"/>
  <c r="CH173" i="1"/>
  <c r="CF173" i="1"/>
  <c r="CG173" i="1"/>
  <c r="CD173" i="1"/>
  <c r="CE173" i="1"/>
  <c r="CC173" i="1"/>
  <c r="CB173" i="1"/>
  <c r="CA173" i="1"/>
  <c r="BZ173" i="1"/>
  <c r="CL117" i="1"/>
  <c r="CK117" i="1"/>
  <c r="CI117" i="1"/>
  <c r="CH117" i="1"/>
  <c r="CJ117" i="1"/>
  <c r="CF117" i="1"/>
  <c r="CG117" i="1"/>
  <c r="CD117" i="1"/>
  <c r="CE117" i="1"/>
  <c r="CC117" i="1"/>
  <c r="CB117" i="1"/>
  <c r="CA117" i="1"/>
  <c r="BZ117" i="1"/>
  <c r="CL109" i="1"/>
  <c r="CK109" i="1"/>
  <c r="CI109" i="1"/>
  <c r="CJ109" i="1"/>
  <c r="CH109" i="1"/>
  <c r="CF109" i="1"/>
  <c r="CG109" i="1"/>
  <c r="CD109" i="1"/>
  <c r="CE109" i="1"/>
  <c r="CC109" i="1"/>
  <c r="CB109" i="1"/>
  <c r="CA109" i="1"/>
  <c r="BZ109" i="1"/>
  <c r="CL53" i="1"/>
  <c r="CK53" i="1"/>
  <c r="CJ53" i="1"/>
  <c r="CI53" i="1"/>
  <c r="CH53" i="1"/>
  <c r="CF53" i="1"/>
  <c r="CG53" i="1"/>
  <c r="CD53" i="1"/>
  <c r="CE53" i="1"/>
  <c r="CC53" i="1"/>
  <c r="CB53" i="1"/>
  <c r="BZ53" i="1"/>
  <c r="CA53" i="1"/>
  <c r="CL45" i="1"/>
  <c r="CK45" i="1"/>
  <c r="CI45" i="1"/>
  <c r="CJ45" i="1"/>
  <c r="CH45" i="1"/>
  <c r="CF45" i="1"/>
  <c r="CG45" i="1"/>
  <c r="CD45" i="1"/>
  <c r="CC45" i="1"/>
  <c r="CE45" i="1"/>
  <c r="CB45" i="1"/>
  <c r="BZ45" i="1"/>
  <c r="CA45" i="1"/>
  <c r="BY682" i="1"/>
  <c r="BY541" i="1"/>
  <c r="BY235" i="1"/>
  <c r="BZ685" i="1"/>
  <c r="BZ265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CL575" i="1"/>
  <c r="CK575" i="1"/>
  <c r="CI575" i="1"/>
  <c r="CJ575" i="1"/>
  <c r="CH575" i="1"/>
  <c r="CF575" i="1"/>
  <c r="CG575" i="1"/>
  <c r="CE575" i="1"/>
  <c r="CD575" i="1"/>
  <c r="CB575" i="1"/>
  <c r="CC575" i="1"/>
  <c r="CA575" i="1"/>
  <c r="CL566" i="1"/>
  <c r="CK566" i="1"/>
  <c r="CI566" i="1"/>
  <c r="CH566" i="1"/>
  <c r="CJ566" i="1"/>
  <c r="CG566" i="1"/>
  <c r="CF566" i="1"/>
  <c r="CD566" i="1"/>
  <c r="CE566" i="1"/>
  <c r="CB566" i="1"/>
  <c r="CC566" i="1"/>
  <c r="BY566" i="1"/>
  <c r="CA566" i="1"/>
  <c r="BZ566" i="1"/>
  <c r="CL581" i="1"/>
  <c r="CK581" i="1"/>
  <c r="CJ581" i="1"/>
  <c r="CI581" i="1"/>
  <c r="CH581" i="1"/>
  <c r="CG581" i="1"/>
  <c r="CF581" i="1"/>
  <c r="CE581" i="1"/>
  <c r="CD581" i="1"/>
  <c r="CB581" i="1"/>
  <c r="CC581" i="1"/>
  <c r="CA581" i="1"/>
  <c r="CL565" i="1"/>
  <c r="CK565" i="1"/>
  <c r="CJ565" i="1"/>
  <c r="CI565" i="1"/>
  <c r="CH565" i="1"/>
  <c r="CG565" i="1"/>
  <c r="CF565" i="1"/>
  <c r="CE565" i="1"/>
  <c r="CD565" i="1"/>
  <c r="CB565" i="1"/>
  <c r="CC565" i="1"/>
  <c r="CA565" i="1"/>
  <c r="CL525" i="1"/>
  <c r="CK525" i="1"/>
  <c r="CJ525" i="1"/>
  <c r="CI525" i="1"/>
  <c r="CH525" i="1"/>
  <c r="CG525" i="1"/>
  <c r="CF525" i="1"/>
  <c r="CE525" i="1"/>
  <c r="CB525" i="1"/>
  <c r="CC525" i="1"/>
  <c r="CD525" i="1"/>
  <c r="CA525" i="1"/>
  <c r="CL501" i="1"/>
  <c r="CK501" i="1"/>
  <c r="CJ501" i="1"/>
  <c r="CI501" i="1"/>
  <c r="CH501" i="1"/>
  <c r="CG501" i="1"/>
  <c r="CF501" i="1"/>
  <c r="CE501" i="1"/>
  <c r="CD501" i="1"/>
  <c r="CB501" i="1"/>
  <c r="CC501" i="1"/>
  <c r="CA501" i="1"/>
  <c r="CL453" i="1"/>
  <c r="CK453" i="1"/>
  <c r="CI453" i="1"/>
  <c r="CH453" i="1"/>
  <c r="CJ453" i="1"/>
  <c r="CG453" i="1"/>
  <c r="CF453" i="1"/>
  <c r="CE453" i="1"/>
  <c r="CB453" i="1"/>
  <c r="CC453" i="1"/>
  <c r="CD453" i="1"/>
  <c r="CA453" i="1"/>
  <c r="BZ453" i="1"/>
  <c r="CL397" i="1"/>
  <c r="CK397" i="1"/>
  <c r="CJ397" i="1"/>
  <c r="CI397" i="1"/>
  <c r="CH397" i="1"/>
  <c r="CG397" i="1"/>
  <c r="CF397" i="1"/>
  <c r="CE397" i="1"/>
  <c r="CC397" i="1"/>
  <c r="CB397" i="1"/>
  <c r="CD397" i="1"/>
  <c r="CA397" i="1"/>
  <c r="BZ397" i="1"/>
  <c r="CK684" i="1"/>
  <c r="CL684" i="1"/>
  <c r="CJ684" i="1"/>
  <c r="CI684" i="1"/>
  <c r="CH684" i="1"/>
  <c r="CF684" i="1"/>
  <c r="CG684" i="1"/>
  <c r="CE684" i="1"/>
  <c r="CB684" i="1"/>
  <c r="CD684" i="1"/>
  <c r="CA684" i="1"/>
  <c r="CC684" i="1"/>
  <c r="BZ684" i="1"/>
  <c r="CL660" i="1"/>
  <c r="CK660" i="1"/>
  <c r="CJ660" i="1"/>
  <c r="CI660" i="1"/>
  <c r="CH660" i="1"/>
  <c r="CF660" i="1"/>
  <c r="CG660" i="1"/>
  <c r="CE660" i="1"/>
  <c r="CB660" i="1"/>
  <c r="CD660" i="1"/>
  <c r="CC660" i="1"/>
  <c r="CA660" i="1"/>
  <c r="BZ660" i="1"/>
  <c r="CK652" i="1"/>
  <c r="CL652" i="1"/>
  <c r="CJ652" i="1"/>
  <c r="CI652" i="1"/>
  <c r="CH652" i="1"/>
  <c r="CG652" i="1"/>
  <c r="CF652" i="1"/>
  <c r="CD652" i="1"/>
  <c r="CB652" i="1"/>
  <c r="CE652" i="1"/>
  <c r="CC652" i="1"/>
  <c r="CA652" i="1"/>
  <c r="BZ652" i="1"/>
  <c r="CL628" i="1"/>
  <c r="CK628" i="1"/>
  <c r="CJ628" i="1"/>
  <c r="CI628" i="1"/>
  <c r="CH628" i="1"/>
  <c r="CG628" i="1"/>
  <c r="CF628" i="1"/>
  <c r="CD628" i="1"/>
  <c r="CE628" i="1"/>
  <c r="CB628" i="1"/>
  <c r="CC628" i="1"/>
  <c r="CA628" i="1"/>
  <c r="BZ628" i="1"/>
  <c r="CL620" i="1"/>
  <c r="CK620" i="1"/>
  <c r="CJ620" i="1"/>
  <c r="CI620" i="1"/>
  <c r="CH620" i="1"/>
  <c r="CG620" i="1"/>
  <c r="CF620" i="1"/>
  <c r="CD620" i="1"/>
  <c r="CE620" i="1"/>
  <c r="CB620" i="1"/>
  <c r="CA620" i="1"/>
  <c r="CC620" i="1"/>
  <c r="BZ620" i="1"/>
  <c r="CK604" i="1"/>
  <c r="CL604" i="1"/>
  <c r="CJ604" i="1"/>
  <c r="CI604" i="1"/>
  <c r="CH604" i="1"/>
  <c r="CG604" i="1"/>
  <c r="CF604" i="1"/>
  <c r="CD604" i="1"/>
  <c r="CE604" i="1"/>
  <c r="CB604" i="1"/>
  <c r="CA604" i="1"/>
  <c r="CC604" i="1"/>
  <c r="BZ604" i="1"/>
  <c r="CL588" i="1"/>
  <c r="CK588" i="1"/>
  <c r="CJ588" i="1"/>
  <c r="CI588" i="1"/>
  <c r="CH588" i="1"/>
  <c r="CG588" i="1"/>
  <c r="CF588" i="1"/>
  <c r="CD588" i="1"/>
  <c r="CE588" i="1"/>
  <c r="CB588" i="1"/>
  <c r="CC588" i="1"/>
  <c r="CA588" i="1"/>
  <c r="BZ588" i="1"/>
  <c r="CL564" i="1"/>
  <c r="CK564" i="1"/>
  <c r="CJ564" i="1"/>
  <c r="CI564" i="1"/>
  <c r="CH564" i="1"/>
  <c r="CG564" i="1"/>
  <c r="CF564" i="1"/>
  <c r="CD564" i="1"/>
  <c r="CE564" i="1"/>
  <c r="CB564" i="1"/>
  <c r="CC564" i="1"/>
  <c r="CA564" i="1"/>
  <c r="BZ564" i="1"/>
  <c r="CK556" i="1"/>
  <c r="CL556" i="1"/>
  <c r="CJ556" i="1"/>
  <c r="CI556" i="1"/>
  <c r="CH556" i="1"/>
  <c r="CG556" i="1"/>
  <c r="CF556" i="1"/>
  <c r="CD556" i="1"/>
  <c r="CE556" i="1"/>
  <c r="CB556" i="1"/>
  <c r="CA556" i="1"/>
  <c r="CC556" i="1"/>
  <c r="BZ556" i="1"/>
  <c r="CK524" i="1"/>
  <c r="CL524" i="1"/>
  <c r="CJ524" i="1"/>
  <c r="CI524" i="1"/>
  <c r="CH524" i="1"/>
  <c r="CG524" i="1"/>
  <c r="CF524" i="1"/>
  <c r="CD524" i="1"/>
  <c r="CE524" i="1"/>
  <c r="CB524" i="1"/>
  <c r="CC524" i="1"/>
  <c r="CA524" i="1"/>
  <c r="BZ524" i="1"/>
  <c r="CL500" i="1"/>
  <c r="CK500" i="1"/>
  <c r="CJ500" i="1"/>
  <c r="CI500" i="1"/>
  <c r="CH500" i="1"/>
  <c r="CG500" i="1"/>
  <c r="CF500" i="1"/>
  <c r="CD500" i="1"/>
  <c r="CE500" i="1"/>
  <c r="CB500" i="1"/>
  <c r="CC500" i="1"/>
  <c r="CA500" i="1"/>
  <c r="BZ500" i="1"/>
  <c r="CL484" i="1"/>
  <c r="CK484" i="1"/>
  <c r="CJ484" i="1"/>
  <c r="CI484" i="1"/>
  <c r="CG484" i="1"/>
  <c r="CF484" i="1"/>
  <c r="CH484" i="1"/>
  <c r="CD484" i="1"/>
  <c r="CE484" i="1"/>
  <c r="CB484" i="1"/>
  <c r="CC484" i="1"/>
  <c r="CA484" i="1"/>
  <c r="BZ484" i="1"/>
  <c r="CK476" i="1"/>
  <c r="CL476" i="1"/>
  <c r="CJ476" i="1"/>
  <c r="CI476" i="1"/>
  <c r="CH476" i="1"/>
  <c r="CG476" i="1"/>
  <c r="CF476" i="1"/>
  <c r="CD476" i="1"/>
  <c r="CE476" i="1"/>
  <c r="CB476" i="1"/>
  <c r="CA476" i="1"/>
  <c r="BZ476" i="1"/>
  <c r="CC476" i="1"/>
  <c r="CL460" i="1"/>
  <c r="CK460" i="1"/>
  <c r="CJ460" i="1"/>
  <c r="CI460" i="1"/>
  <c r="CH460" i="1"/>
  <c r="CG460" i="1"/>
  <c r="CF460" i="1"/>
  <c r="CD460" i="1"/>
  <c r="CB460" i="1"/>
  <c r="CC460" i="1"/>
  <c r="CE460" i="1"/>
  <c r="CA460" i="1"/>
  <c r="BZ460" i="1"/>
  <c r="BY460" i="1"/>
  <c r="CL452" i="1"/>
  <c r="CK452" i="1"/>
  <c r="CJ452" i="1"/>
  <c r="CI452" i="1"/>
  <c r="CG452" i="1"/>
  <c r="CF452" i="1"/>
  <c r="CD452" i="1"/>
  <c r="CH452" i="1"/>
  <c r="CB452" i="1"/>
  <c r="CE452" i="1"/>
  <c r="CA452" i="1"/>
  <c r="CC452" i="1"/>
  <c r="BZ452" i="1"/>
  <c r="BY452" i="1"/>
  <c r="CL436" i="1"/>
  <c r="CK436" i="1"/>
  <c r="CJ436" i="1"/>
  <c r="CI436" i="1"/>
  <c r="CG436" i="1"/>
  <c r="CH436" i="1"/>
  <c r="CF436" i="1"/>
  <c r="CD436" i="1"/>
  <c r="CC436" i="1"/>
  <c r="CE436" i="1"/>
  <c r="CB436" i="1"/>
  <c r="CA436" i="1"/>
  <c r="BZ436" i="1"/>
  <c r="BY436" i="1"/>
  <c r="CL420" i="1"/>
  <c r="CK420" i="1"/>
  <c r="CJ420" i="1"/>
  <c r="CI420" i="1"/>
  <c r="CG420" i="1"/>
  <c r="CH420" i="1"/>
  <c r="CF420" i="1"/>
  <c r="CD420" i="1"/>
  <c r="CE420" i="1"/>
  <c r="CC420" i="1"/>
  <c r="CB420" i="1"/>
  <c r="CA420" i="1"/>
  <c r="BZ420" i="1"/>
  <c r="BY420" i="1"/>
  <c r="CK396" i="1"/>
  <c r="CL396" i="1"/>
  <c r="CJ396" i="1"/>
  <c r="CI396" i="1"/>
  <c r="CG396" i="1"/>
  <c r="CH396" i="1"/>
  <c r="CF396" i="1"/>
  <c r="CD396" i="1"/>
  <c r="CC396" i="1"/>
  <c r="CB396" i="1"/>
  <c r="CE396" i="1"/>
  <c r="CA396" i="1"/>
  <c r="BZ396" i="1"/>
  <c r="BY396" i="1"/>
  <c r="CL388" i="1"/>
  <c r="CK388" i="1"/>
  <c r="CJ388" i="1"/>
  <c r="CI388" i="1"/>
  <c r="CH388" i="1"/>
  <c r="CG388" i="1"/>
  <c r="CF388" i="1"/>
  <c r="CD388" i="1"/>
  <c r="CC388" i="1"/>
  <c r="CE388" i="1"/>
  <c r="CB388" i="1"/>
  <c r="CA388" i="1"/>
  <c r="BZ388" i="1"/>
  <c r="BY388" i="1"/>
  <c r="CL372" i="1"/>
  <c r="CK372" i="1"/>
  <c r="CJ372" i="1"/>
  <c r="CI372" i="1"/>
  <c r="CG372" i="1"/>
  <c r="CF372" i="1"/>
  <c r="CH372" i="1"/>
  <c r="CD372" i="1"/>
  <c r="CC372" i="1"/>
  <c r="CE372" i="1"/>
  <c r="CB372" i="1"/>
  <c r="CA372" i="1"/>
  <c r="BZ372" i="1"/>
  <c r="BY372" i="1"/>
  <c r="CK332" i="1"/>
  <c r="CL332" i="1"/>
  <c r="CJ332" i="1"/>
  <c r="CI332" i="1"/>
  <c r="CG332" i="1"/>
  <c r="CH332" i="1"/>
  <c r="CF332" i="1"/>
  <c r="CD332" i="1"/>
  <c r="CC332" i="1"/>
  <c r="CB332" i="1"/>
  <c r="CE332" i="1"/>
  <c r="CA332" i="1"/>
  <c r="BZ332" i="1"/>
  <c r="BY332" i="1"/>
  <c r="BV324" i="1"/>
  <c r="CL324" i="1"/>
  <c r="CK324" i="1"/>
  <c r="CJ324" i="1"/>
  <c r="CI324" i="1"/>
  <c r="CH324" i="1"/>
  <c r="CG324" i="1"/>
  <c r="CF324" i="1"/>
  <c r="CD324" i="1"/>
  <c r="CC324" i="1"/>
  <c r="CB324" i="1"/>
  <c r="CE324" i="1"/>
  <c r="CA324" i="1"/>
  <c r="BZ324" i="1"/>
  <c r="BY324" i="1"/>
  <c r="BV308" i="1"/>
  <c r="CK308" i="1"/>
  <c r="CL308" i="1"/>
  <c r="CJ308" i="1"/>
  <c r="CI308" i="1"/>
  <c r="CG308" i="1"/>
  <c r="CH308" i="1"/>
  <c r="CF308" i="1"/>
  <c r="CD308" i="1"/>
  <c r="CC308" i="1"/>
  <c r="CE308" i="1"/>
  <c r="CB308" i="1"/>
  <c r="CA308" i="1"/>
  <c r="BZ308" i="1"/>
  <c r="BY308" i="1"/>
  <c r="BV292" i="1"/>
  <c r="CK292" i="1"/>
  <c r="CL292" i="1"/>
  <c r="CJ292" i="1"/>
  <c r="CI292" i="1"/>
  <c r="CH292" i="1"/>
  <c r="CG292" i="1"/>
  <c r="CF292" i="1"/>
  <c r="CD292" i="1"/>
  <c r="CE292" i="1"/>
  <c r="CC292" i="1"/>
  <c r="CB292" i="1"/>
  <c r="CA292" i="1"/>
  <c r="BZ292" i="1"/>
  <c r="BY292" i="1"/>
  <c r="BV284" i="1"/>
  <c r="CK284" i="1"/>
  <c r="CL284" i="1"/>
  <c r="CI284" i="1"/>
  <c r="CJ284" i="1"/>
  <c r="CF284" i="1"/>
  <c r="CH284" i="1"/>
  <c r="CG284" i="1"/>
  <c r="CD284" i="1"/>
  <c r="CC284" i="1"/>
  <c r="CE284" i="1"/>
  <c r="CB284" i="1"/>
  <c r="CA284" i="1"/>
  <c r="BZ284" i="1"/>
  <c r="BY284" i="1"/>
  <c r="BV268" i="1"/>
  <c r="CK268" i="1"/>
  <c r="CL268" i="1"/>
  <c r="CJ268" i="1"/>
  <c r="CI268" i="1"/>
  <c r="CF268" i="1"/>
  <c r="CG268" i="1"/>
  <c r="CH268" i="1"/>
  <c r="CD268" i="1"/>
  <c r="CC268" i="1"/>
  <c r="CB268" i="1"/>
  <c r="CE268" i="1"/>
  <c r="CA268" i="1"/>
  <c r="BZ268" i="1"/>
  <c r="BY268" i="1"/>
  <c r="BY604" i="1"/>
  <c r="BY476" i="1"/>
  <c r="BY461" i="1"/>
  <c r="BZ575" i="1"/>
  <c r="CL591" i="1"/>
  <c r="CK591" i="1"/>
  <c r="CJ591" i="1"/>
  <c r="CI591" i="1"/>
  <c r="CH591" i="1"/>
  <c r="CG591" i="1"/>
  <c r="CF591" i="1"/>
  <c r="CE591" i="1"/>
  <c r="CD591" i="1"/>
  <c r="CB591" i="1"/>
  <c r="CC591" i="1"/>
  <c r="CA591" i="1"/>
  <c r="CL590" i="1"/>
  <c r="CK590" i="1"/>
  <c r="CJ590" i="1"/>
  <c r="CI590" i="1"/>
  <c r="CH590" i="1"/>
  <c r="CG590" i="1"/>
  <c r="CF590" i="1"/>
  <c r="CB590" i="1"/>
  <c r="CD590" i="1"/>
  <c r="CE590" i="1"/>
  <c r="CC590" i="1"/>
  <c r="CA590" i="1"/>
  <c r="BY590" i="1"/>
  <c r="BZ590" i="1"/>
  <c r="CL605" i="1"/>
  <c r="CK605" i="1"/>
  <c r="CJ605" i="1"/>
  <c r="CI605" i="1"/>
  <c r="CH605" i="1"/>
  <c r="CG605" i="1"/>
  <c r="CF605" i="1"/>
  <c r="CD605" i="1"/>
  <c r="CE605" i="1"/>
  <c r="CB605" i="1"/>
  <c r="CC605" i="1"/>
  <c r="CA605" i="1"/>
  <c r="CK267" i="1"/>
  <c r="CL267" i="1"/>
  <c r="CJ267" i="1"/>
  <c r="CI267" i="1"/>
  <c r="CG267" i="1"/>
  <c r="CH267" i="1"/>
  <c r="CF267" i="1"/>
  <c r="CE267" i="1"/>
  <c r="CD267" i="1"/>
  <c r="CC267" i="1"/>
  <c r="CB267" i="1"/>
  <c r="CA267" i="1"/>
  <c r="BZ267" i="1"/>
  <c r="CL259" i="1"/>
  <c r="CK259" i="1"/>
  <c r="CJ259" i="1"/>
  <c r="CI259" i="1"/>
  <c r="CH259" i="1"/>
  <c r="CG259" i="1"/>
  <c r="CF259" i="1"/>
  <c r="CE259" i="1"/>
  <c r="CC259" i="1"/>
  <c r="CD259" i="1"/>
  <c r="CA259" i="1"/>
  <c r="CB259" i="1"/>
  <c r="BZ259" i="1"/>
  <c r="CL235" i="1"/>
  <c r="CK235" i="1"/>
  <c r="CJ235" i="1"/>
  <c r="CI235" i="1"/>
  <c r="CG235" i="1"/>
  <c r="CH235" i="1"/>
  <c r="CE235" i="1"/>
  <c r="CD235" i="1"/>
  <c r="CC235" i="1"/>
  <c r="CF235" i="1"/>
  <c r="CA235" i="1"/>
  <c r="BZ235" i="1"/>
  <c r="CK227" i="1"/>
  <c r="CL227" i="1"/>
  <c r="CJ227" i="1"/>
  <c r="CI227" i="1"/>
  <c r="CH227" i="1"/>
  <c r="CG227" i="1"/>
  <c r="CE227" i="1"/>
  <c r="CC227" i="1"/>
  <c r="CF227" i="1"/>
  <c r="CD227" i="1"/>
  <c r="CB227" i="1"/>
  <c r="CA227" i="1"/>
  <c r="BZ227" i="1"/>
  <c r="CK203" i="1"/>
  <c r="CL203" i="1"/>
  <c r="CJ203" i="1"/>
  <c r="CI203" i="1"/>
  <c r="CG203" i="1"/>
  <c r="CH203" i="1"/>
  <c r="CE203" i="1"/>
  <c r="CD203" i="1"/>
  <c r="CF203" i="1"/>
  <c r="CC203" i="1"/>
  <c r="CB203" i="1"/>
  <c r="CA203" i="1"/>
  <c r="BZ203" i="1"/>
  <c r="CL171" i="1"/>
  <c r="CK171" i="1"/>
  <c r="CJ171" i="1"/>
  <c r="CI171" i="1"/>
  <c r="CG171" i="1"/>
  <c r="CH171" i="1"/>
  <c r="CE171" i="1"/>
  <c r="CD171" i="1"/>
  <c r="CC171" i="1"/>
  <c r="CF171" i="1"/>
  <c r="CA171" i="1"/>
  <c r="CB171" i="1"/>
  <c r="BZ171" i="1"/>
  <c r="CK155" i="1"/>
  <c r="CL155" i="1"/>
  <c r="CJ155" i="1"/>
  <c r="CI155" i="1"/>
  <c r="CH155" i="1"/>
  <c r="CG155" i="1"/>
  <c r="CE155" i="1"/>
  <c r="CF155" i="1"/>
  <c r="CC155" i="1"/>
  <c r="CB155" i="1"/>
  <c r="CA155" i="1"/>
  <c r="CD155" i="1"/>
  <c r="BZ155" i="1"/>
  <c r="CK147" i="1"/>
  <c r="CL147" i="1"/>
  <c r="CJ147" i="1"/>
  <c r="CI147" i="1"/>
  <c r="CG147" i="1"/>
  <c r="CH147" i="1"/>
  <c r="CF147" i="1"/>
  <c r="CE147" i="1"/>
  <c r="CC147" i="1"/>
  <c r="CA147" i="1"/>
  <c r="CD147" i="1"/>
  <c r="CB147" i="1"/>
  <c r="BZ147" i="1"/>
  <c r="CL107" i="1"/>
  <c r="CK107" i="1"/>
  <c r="CJ107" i="1"/>
  <c r="CG107" i="1"/>
  <c r="CH107" i="1"/>
  <c r="CI107" i="1"/>
  <c r="CF107" i="1"/>
  <c r="CE107" i="1"/>
  <c r="CD107" i="1"/>
  <c r="CC107" i="1"/>
  <c r="CA107" i="1"/>
  <c r="CB107" i="1"/>
  <c r="BZ107" i="1"/>
  <c r="BV83" i="1"/>
  <c r="CK83" i="1"/>
  <c r="CL83" i="1"/>
  <c r="CI83" i="1"/>
  <c r="CJ83" i="1"/>
  <c r="CG83" i="1"/>
  <c r="CH83" i="1"/>
  <c r="CE83" i="1"/>
  <c r="CC83" i="1"/>
  <c r="CF83" i="1"/>
  <c r="CD83" i="1"/>
  <c r="CA83" i="1"/>
  <c r="CB83" i="1"/>
  <c r="CL43" i="1"/>
  <c r="CK43" i="1"/>
  <c r="CJ43" i="1"/>
  <c r="CI43" i="1"/>
  <c r="CG43" i="1"/>
  <c r="CH43" i="1"/>
  <c r="CF43" i="1"/>
  <c r="CE43" i="1"/>
  <c r="CD43" i="1"/>
  <c r="CC43" i="1"/>
  <c r="CA43" i="1"/>
  <c r="BZ43" i="1"/>
  <c r="CB43" i="1"/>
  <c r="CK27" i="1"/>
  <c r="CL27" i="1"/>
  <c r="CJ27" i="1"/>
  <c r="CI27" i="1"/>
  <c r="CH27" i="1"/>
  <c r="CG27" i="1"/>
  <c r="CF27" i="1"/>
  <c r="CE27" i="1"/>
  <c r="CC27" i="1"/>
  <c r="CB27" i="1"/>
  <c r="CD27" i="1"/>
  <c r="CA27" i="1"/>
  <c r="BZ27" i="1"/>
  <c r="CL3" i="1"/>
  <c r="CK3" i="1"/>
  <c r="CJ3" i="1"/>
  <c r="CI3" i="1"/>
  <c r="CH3" i="1"/>
  <c r="CG3" i="1"/>
  <c r="CE3" i="1"/>
  <c r="CF3" i="1"/>
  <c r="CC3" i="1"/>
  <c r="CD3" i="1"/>
  <c r="CA3" i="1"/>
  <c r="CB3" i="1"/>
  <c r="BZ3" i="1"/>
  <c r="BY581" i="1"/>
  <c r="BY517" i="1"/>
  <c r="BZ679" i="1"/>
  <c r="CL567" i="1"/>
  <c r="CK567" i="1"/>
  <c r="CJ567" i="1"/>
  <c r="CI567" i="1"/>
  <c r="CH567" i="1"/>
  <c r="CG567" i="1"/>
  <c r="CF567" i="1"/>
  <c r="CD567" i="1"/>
  <c r="CB567" i="1"/>
  <c r="CE567" i="1"/>
  <c r="CC567" i="1"/>
  <c r="CA567" i="1"/>
  <c r="CL662" i="1"/>
  <c r="CK662" i="1"/>
  <c r="CI662" i="1"/>
  <c r="CJ662" i="1"/>
  <c r="CH662" i="1"/>
  <c r="CG662" i="1"/>
  <c r="CF662" i="1"/>
  <c r="CD662" i="1"/>
  <c r="CE662" i="1"/>
  <c r="CB662" i="1"/>
  <c r="CC662" i="1"/>
  <c r="CA662" i="1"/>
  <c r="BZ662" i="1"/>
  <c r="CL606" i="1"/>
  <c r="CK606" i="1"/>
  <c r="CI606" i="1"/>
  <c r="CH606" i="1"/>
  <c r="CJ606" i="1"/>
  <c r="CG606" i="1"/>
  <c r="CF606" i="1"/>
  <c r="CE606" i="1"/>
  <c r="CD606" i="1"/>
  <c r="CB606" i="1"/>
  <c r="CC606" i="1"/>
  <c r="BY606" i="1"/>
  <c r="CA606" i="1"/>
  <c r="BZ606" i="1"/>
  <c r="CL661" i="1"/>
  <c r="CK661" i="1"/>
  <c r="CJ661" i="1"/>
  <c r="CI661" i="1"/>
  <c r="CH661" i="1"/>
  <c r="CG661" i="1"/>
  <c r="CF661" i="1"/>
  <c r="CE661" i="1"/>
  <c r="CB661" i="1"/>
  <c r="CC661" i="1"/>
  <c r="CD661" i="1"/>
  <c r="CA661" i="1"/>
  <c r="CL674" i="1"/>
  <c r="CK674" i="1"/>
  <c r="CJ674" i="1"/>
  <c r="CI674" i="1"/>
  <c r="CG674" i="1"/>
  <c r="CF674" i="1"/>
  <c r="CH674" i="1"/>
  <c r="CD674" i="1"/>
  <c r="CC674" i="1"/>
  <c r="CE674" i="1"/>
  <c r="CA674" i="1"/>
  <c r="BZ674" i="1"/>
  <c r="CB674" i="1"/>
  <c r="CL626" i="1"/>
  <c r="CK626" i="1"/>
  <c r="CJ626" i="1"/>
  <c r="CI626" i="1"/>
  <c r="CG626" i="1"/>
  <c r="CH626" i="1"/>
  <c r="CF626" i="1"/>
  <c r="CD626" i="1"/>
  <c r="CC626" i="1"/>
  <c r="CB626" i="1"/>
  <c r="CA626" i="1"/>
  <c r="CE626" i="1"/>
  <c r="BZ626" i="1"/>
  <c r="BY626" i="1"/>
  <c r="CL610" i="1"/>
  <c r="CK610" i="1"/>
  <c r="CJ610" i="1"/>
  <c r="CI610" i="1"/>
  <c r="CG610" i="1"/>
  <c r="CF610" i="1"/>
  <c r="CH610" i="1"/>
  <c r="CD610" i="1"/>
  <c r="CE610" i="1"/>
  <c r="CC610" i="1"/>
  <c r="CB610" i="1"/>
  <c r="CA610" i="1"/>
  <c r="BZ610" i="1"/>
  <c r="BY610" i="1"/>
  <c r="CL578" i="1"/>
  <c r="CK578" i="1"/>
  <c r="CJ578" i="1"/>
  <c r="CI578" i="1"/>
  <c r="CG578" i="1"/>
  <c r="CH578" i="1"/>
  <c r="CF578" i="1"/>
  <c r="CE578" i="1"/>
  <c r="CD578" i="1"/>
  <c r="CC578" i="1"/>
  <c r="CA578" i="1"/>
  <c r="BZ578" i="1"/>
  <c r="BY578" i="1"/>
  <c r="CL554" i="1"/>
  <c r="CK554" i="1"/>
  <c r="CJ554" i="1"/>
  <c r="CI554" i="1"/>
  <c r="CH554" i="1"/>
  <c r="CG554" i="1"/>
  <c r="CF554" i="1"/>
  <c r="CD554" i="1"/>
  <c r="CE554" i="1"/>
  <c r="CC554" i="1"/>
  <c r="CA554" i="1"/>
  <c r="CB554" i="1"/>
  <c r="BZ554" i="1"/>
  <c r="BY554" i="1"/>
  <c r="CL538" i="1"/>
  <c r="CK538" i="1"/>
  <c r="CJ538" i="1"/>
  <c r="CG538" i="1"/>
  <c r="CI538" i="1"/>
  <c r="CH538" i="1"/>
  <c r="CD538" i="1"/>
  <c r="CE538" i="1"/>
  <c r="CF538" i="1"/>
  <c r="CC538" i="1"/>
  <c r="CA538" i="1"/>
  <c r="BZ538" i="1"/>
  <c r="CB538" i="1"/>
  <c r="BY538" i="1"/>
  <c r="CL522" i="1"/>
  <c r="CK522" i="1"/>
  <c r="CJ522" i="1"/>
  <c r="CI522" i="1"/>
  <c r="CH522" i="1"/>
  <c r="CG522" i="1"/>
  <c r="CE522" i="1"/>
  <c r="CC522" i="1"/>
  <c r="CD522" i="1"/>
  <c r="CB522" i="1"/>
  <c r="CA522" i="1"/>
  <c r="CF522" i="1"/>
  <c r="BZ522" i="1"/>
  <c r="BY522" i="1"/>
  <c r="CL514" i="1"/>
  <c r="CK514" i="1"/>
  <c r="CJ514" i="1"/>
  <c r="CI514" i="1"/>
  <c r="CG514" i="1"/>
  <c r="CH514" i="1"/>
  <c r="CF514" i="1"/>
  <c r="CE514" i="1"/>
  <c r="CD514" i="1"/>
  <c r="CC514" i="1"/>
  <c r="CA514" i="1"/>
  <c r="CB514" i="1"/>
  <c r="BZ514" i="1"/>
  <c r="BY514" i="1"/>
  <c r="CL506" i="1"/>
  <c r="CK506" i="1"/>
  <c r="CJ506" i="1"/>
  <c r="CI506" i="1"/>
  <c r="CG506" i="1"/>
  <c r="CH506" i="1"/>
  <c r="CF506" i="1"/>
  <c r="CE506" i="1"/>
  <c r="CD506" i="1"/>
  <c r="CC506" i="1"/>
  <c r="CA506" i="1"/>
  <c r="CB506" i="1"/>
  <c r="BZ506" i="1"/>
  <c r="BY506" i="1"/>
  <c r="CL498" i="1"/>
  <c r="CK498" i="1"/>
  <c r="CJ498" i="1"/>
  <c r="CH498" i="1"/>
  <c r="CI498" i="1"/>
  <c r="CG498" i="1"/>
  <c r="CF498" i="1"/>
  <c r="CE498" i="1"/>
  <c r="CC498" i="1"/>
  <c r="CB498" i="1"/>
  <c r="CA498" i="1"/>
  <c r="CD498" i="1"/>
  <c r="BZ498" i="1"/>
  <c r="BY498" i="1"/>
  <c r="CL490" i="1"/>
  <c r="CK490" i="1"/>
  <c r="CJ490" i="1"/>
  <c r="CI490" i="1"/>
  <c r="CH490" i="1"/>
  <c r="CG490" i="1"/>
  <c r="CF490" i="1"/>
  <c r="CD490" i="1"/>
  <c r="CE490" i="1"/>
  <c r="CC490" i="1"/>
  <c r="CA490" i="1"/>
  <c r="CB490" i="1"/>
  <c r="BZ490" i="1"/>
  <c r="BY490" i="1"/>
  <c r="CL482" i="1"/>
  <c r="CK482" i="1"/>
  <c r="CJ482" i="1"/>
  <c r="CI482" i="1"/>
  <c r="CG482" i="1"/>
  <c r="CH482" i="1"/>
  <c r="CF482" i="1"/>
  <c r="CE482" i="1"/>
  <c r="CD482" i="1"/>
  <c r="CC482" i="1"/>
  <c r="CB482" i="1"/>
  <c r="CA482" i="1"/>
  <c r="BZ482" i="1"/>
  <c r="BY482" i="1"/>
  <c r="CL474" i="1"/>
  <c r="CK474" i="1"/>
  <c r="CJ474" i="1"/>
  <c r="CG474" i="1"/>
  <c r="CI474" i="1"/>
  <c r="CH474" i="1"/>
  <c r="CD474" i="1"/>
  <c r="CE474" i="1"/>
  <c r="CF474" i="1"/>
  <c r="CC474" i="1"/>
  <c r="CA474" i="1"/>
  <c r="BZ474" i="1"/>
  <c r="CB474" i="1"/>
  <c r="BY474" i="1"/>
  <c r="CL458" i="1"/>
  <c r="CK458" i="1"/>
  <c r="CJ458" i="1"/>
  <c r="CI458" i="1"/>
  <c r="CH458" i="1"/>
  <c r="CG458" i="1"/>
  <c r="CE458" i="1"/>
  <c r="CD458" i="1"/>
  <c r="CC458" i="1"/>
  <c r="CB458" i="1"/>
  <c r="CA458" i="1"/>
  <c r="CF458" i="1"/>
  <c r="BZ458" i="1"/>
  <c r="BY458" i="1"/>
  <c r="CL450" i="1"/>
  <c r="CK450" i="1"/>
  <c r="CJ450" i="1"/>
  <c r="CI450" i="1"/>
  <c r="CG450" i="1"/>
  <c r="CH450" i="1"/>
  <c r="CF450" i="1"/>
  <c r="CE450" i="1"/>
  <c r="CD450" i="1"/>
  <c r="CC450" i="1"/>
  <c r="CA450" i="1"/>
  <c r="BZ450" i="1"/>
  <c r="CB450" i="1"/>
  <c r="BY450" i="1"/>
  <c r="CL442" i="1"/>
  <c r="CK442" i="1"/>
  <c r="CJ442" i="1"/>
  <c r="CI442" i="1"/>
  <c r="CH442" i="1"/>
  <c r="CG442" i="1"/>
  <c r="CE442" i="1"/>
  <c r="CF442" i="1"/>
  <c r="CD442" i="1"/>
  <c r="CC442" i="1"/>
  <c r="CA442" i="1"/>
  <c r="CB442" i="1"/>
  <c r="BZ442" i="1"/>
  <c r="BY442" i="1"/>
  <c r="CL434" i="1"/>
  <c r="CK434" i="1"/>
  <c r="CJ434" i="1"/>
  <c r="CH434" i="1"/>
  <c r="CG434" i="1"/>
  <c r="CI434" i="1"/>
  <c r="CF434" i="1"/>
  <c r="CE434" i="1"/>
  <c r="CD434" i="1"/>
  <c r="CC434" i="1"/>
  <c r="CB434" i="1"/>
  <c r="CA434" i="1"/>
  <c r="BZ434" i="1"/>
  <c r="BY434" i="1"/>
  <c r="CL426" i="1"/>
  <c r="CK426" i="1"/>
  <c r="CJ426" i="1"/>
  <c r="CI426" i="1"/>
  <c r="CH426" i="1"/>
  <c r="CG426" i="1"/>
  <c r="CE426" i="1"/>
  <c r="CF426" i="1"/>
  <c r="CD426" i="1"/>
  <c r="CC426" i="1"/>
  <c r="CA426" i="1"/>
  <c r="CB426" i="1"/>
  <c r="BZ426" i="1"/>
  <c r="BY426" i="1"/>
  <c r="CL418" i="1"/>
  <c r="CK418" i="1"/>
  <c r="CJ418" i="1"/>
  <c r="CI418" i="1"/>
  <c r="CH418" i="1"/>
  <c r="CG418" i="1"/>
  <c r="CF418" i="1"/>
  <c r="CE418" i="1"/>
  <c r="CC418" i="1"/>
  <c r="CD418" i="1"/>
  <c r="CB418" i="1"/>
  <c r="CA418" i="1"/>
  <c r="BZ418" i="1"/>
  <c r="BY418" i="1"/>
  <c r="CL410" i="1"/>
  <c r="CK410" i="1"/>
  <c r="CJ410" i="1"/>
  <c r="CH410" i="1"/>
  <c r="CI410" i="1"/>
  <c r="CG410" i="1"/>
  <c r="CE410" i="1"/>
  <c r="CC410" i="1"/>
  <c r="CD410" i="1"/>
  <c r="CF410" i="1"/>
  <c r="CA410" i="1"/>
  <c r="BZ410" i="1"/>
  <c r="BY410" i="1"/>
  <c r="CB410" i="1"/>
  <c r="CL394" i="1"/>
  <c r="CK394" i="1"/>
  <c r="CJ394" i="1"/>
  <c r="CI394" i="1"/>
  <c r="CH394" i="1"/>
  <c r="CG394" i="1"/>
  <c r="CE394" i="1"/>
  <c r="CC394" i="1"/>
  <c r="CF394" i="1"/>
  <c r="CD394" i="1"/>
  <c r="CB394" i="1"/>
  <c r="CA394" i="1"/>
  <c r="BZ394" i="1"/>
  <c r="BY394" i="1"/>
  <c r="CL386" i="1"/>
  <c r="CK386" i="1"/>
  <c r="CJ386" i="1"/>
  <c r="CI386" i="1"/>
  <c r="CH386" i="1"/>
  <c r="CG386" i="1"/>
  <c r="CF386" i="1"/>
  <c r="CE386" i="1"/>
  <c r="CC386" i="1"/>
  <c r="CD386" i="1"/>
  <c r="CA386" i="1"/>
  <c r="BZ386" i="1"/>
  <c r="CB386" i="1"/>
  <c r="BY386" i="1"/>
  <c r="CL378" i="1"/>
  <c r="CK378" i="1"/>
  <c r="CJ378" i="1"/>
  <c r="CI378" i="1"/>
  <c r="CH378" i="1"/>
  <c r="CG378" i="1"/>
  <c r="CE378" i="1"/>
  <c r="CC378" i="1"/>
  <c r="CF378" i="1"/>
  <c r="CA378" i="1"/>
  <c r="CB378" i="1"/>
  <c r="CD378" i="1"/>
  <c r="BZ378" i="1"/>
  <c r="BY378" i="1"/>
  <c r="CL370" i="1"/>
  <c r="CK370" i="1"/>
  <c r="CJ370" i="1"/>
  <c r="CH370" i="1"/>
  <c r="CG370" i="1"/>
  <c r="CI370" i="1"/>
  <c r="CF370" i="1"/>
  <c r="CE370" i="1"/>
  <c r="CC370" i="1"/>
  <c r="CB370" i="1"/>
  <c r="CA370" i="1"/>
  <c r="CD370" i="1"/>
  <c r="BZ370" i="1"/>
  <c r="BY370" i="1"/>
  <c r="CL362" i="1"/>
  <c r="CK362" i="1"/>
  <c r="CJ362" i="1"/>
  <c r="CI362" i="1"/>
  <c r="CH362" i="1"/>
  <c r="CG362" i="1"/>
  <c r="CE362" i="1"/>
  <c r="CF362" i="1"/>
  <c r="CD362" i="1"/>
  <c r="CC362" i="1"/>
  <c r="CA362" i="1"/>
  <c r="CB362" i="1"/>
  <c r="BZ362" i="1"/>
  <c r="BY362" i="1"/>
  <c r="CL354" i="1"/>
  <c r="CK354" i="1"/>
  <c r="CJ354" i="1"/>
  <c r="CI354" i="1"/>
  <c r="CH354" i="1"/>
  <c r="CG354" i="1"/>
  <c r="CF354" i="1"/>
  <c r="CE354" i="1"/>
  <c r="CC354" i="1"/>
  <c r="CD354" i="1"/>
  <c r="CB354" i="1"/>
  <c r="CA354" i="1"/>
  <c r="BZ354" i="1"/>
  <c r="BY354" i="1"/>
  <c r="CL346" i="1"/>
  <c r="CK346" i="1"/>
  <c r="CJ346" i="1"/>
  <c r="CI346" i="1"/>
  <c r="CH346" i="1"/>
  <c r="CG346" i="1"/>
  <c r="CE346" i="1"/>
  <c r="CC346" i="1"/>
  <c r="CD346" i="1"/>
  <c r="CF346" i="1"/>
  <c r="CA346" i="1"/>
  <c r="CB346" i="1"/>
  <c r="BZ346" i="1"/>
  <c r="BY346" i="1"/>
  <c r="CL330" i="1"/>
  <c r="CJ330" i="1"/>
  <c r="CK330" i="1"/>
  <c r="CI330" i="1"/>
  <c r="CH330" i="1"/>
  <c r="CG330" i="1"/>
  <c r="CE330" i="1"/>
  <c r="CC330" i="1"/>
  <c r="CF330" i="1"/>
  <c r="CD330" i="1"/>
  <c r="CB330" i="1"/>
  <c r="CA330" i="1"/>
  <c r="BZ330" i="1"/>
  <c r="BY330" i="1"/>
  <c r="CL322" i="1"/>
  <c r="CK322" i="1"/>
  <c r="CJ322" i="1"/>
  <c r="CI322" i="1"/>
  <c r="CH322" i="1"/>
  <c r="CG322" i="1"/>
  <c r="CF322" i="1"/>
  <c r="CE322" i="1"/>
  <c r="CC322" i="1"/>
  <c r="CD322" i="1"/>
  <c r="CA322" i="1"/>
  <c r="BZ322" i="1"/>
  <c r="BY322" i="1"/>
  <c r="CL314" i="1"/>
  <c r="CK314" i="1"/>
  <c r="CJ314" i="1"/>
  <c r="CI314" i="1"/>
  <c r="CH314" i="1"/>
  <c r="CG314" i="1"/>
  <c r="CE314" i="1"/>
  <c r="CC314" i="1"/>
  <c r="CF314" i="1"/>
  <c r="CD314" i="1"/>
  <c r="CA314" i="1"/>
  <c r="CB314" i="1"/>
  <c r="BZ314" i="1"/>
  <c r="BY314" i="1"/>
  <c r="CL306" i="1"/>
  <c r="CK306" i="1"/>
  <c r="CJ306" i="1"/>
  <c r="CI306" i="1"/>
  <c r="CH306" i="1"/>
  <c r="CG306" i="1"/>
  <c r="CF306" i="1"/>
  <c r="CE306" i="1"/>
  <c r="CC306" i="1"/>
  <c r="CD306" i="1"/>
  <c r="CB306" i="1"/>
  <c r="CA306" i="1"/>
  <c r="BZ306" i="1"/>
  <c r="BY306" i="1"/>
  <c r="CL298" i="1"/>
  <c r="CK298" i="1"/>
  <c r="CJ298" i="1"/>
  <c r="CI298" i="1"/>
  <c r="CH298" i="1"/>
  <c r="CG298" i="1"/>
  <c r="CE298" i="1"/>
  <c r="CF298" i="1"/>
  <c r="CC298" i="1"/>
  <c r="CA298" i="1"/>
  <c r="CB298" i="1"/>
  <c r="BZ298" i="1"/>
  <c r="BY298" i="1"/>
  <c r="BX290" i="1"/>
  <c r="CL290" i="1"/>
  <c r="CK290" i="1"/>
  <c r="CJ290" i="1"/>
  <c r="CH290" i="1"/>
  <c r="CG290" i="1"/>
  <c r="CI290" i="1"/>
  <c r="CF290" i="1"/>
  <c r="CE290" i="1"/>
  <c r="CC290" i="1"/>
  <c r="CD290" i="1"/>
  <c r="CB290" i="1"/>
  <c r="CA290" i="1"/>
  <c r="BZ290" i="1"/>
  <c r="BY290" i="1"/>
  <c r="CL282" i="1"/>
  <c r="CK282" i="1"/>
  <c r="CJ282" i="1"/>
  <c r="CI282" i="1"/>
  <c r="CH282" i="1"/>
  <c r="CG282" i="1"/>
  <c r="CF282" i="1"/>
  <c r="CE282" i="1"/>
  <c r="CC282" i="1"/>
  <c r="CD282" i="1"/>
  <c r="CA282" i="1"/>
  <c r="BZ282" i="1"/>
  <c r="CB282" i="1"/>
  <c r="BY282" i="1"/>
  <c r="CL258" i="1"/>
  <c r="CK258" i="1"/>
  <c r="CJ258" i="1"/>
  <c r="CH258" i="1"/>
  <c r="CG258" i="1"/>
  <c r="CI258" i="1"/>
  <c r="CE258" i="1"/>
  <c r="CC258" i="1"/>
  <c r="CD258" i="1"/>
  <c r="CF258" i="1"/>
  <c r="CA258" i="1"/>
  <c r="CB258" i="1"/>
  <c r="BZ258" i="1"/>
  <c r="BY258" i="1"/>
  <c r="CL250" i="1"/>
  <c r="CK250" i="1"/>
  <c r="CJ250" i="1"/>
  <c r="CI250" i="1"/>
  <c r="CH250" i="1"/>
  <c r="CG250" i="1"/>
  <c r="CF250" i="1"/>
  <c r="CE250" i="1"/>
  <c r="CC250" i="1"/>
  <c r="CD250" i="1"/>
  <c r="CA250" i="1"/>
  <c r="CB250" i="1"/>
  <c r="BZ250" i="1"/>
  <c r="BY250" i="1"/>
  <c r="BY679" i="1"/>
  <c r="BY671" i="1"/>
  <c r="BY591" i="1"/>
  <c r="BY484" i="1"/>
  <c r="BY397" i="1"/>
  <c r="BY333" i="1"/>
  <c r="BY227" i="1"/>
  <c r="BZ591" i="1"/>
  <c r="BZ83" i="1"/>
  <c r="BX606" i="1"/>
  <c r="BW606" i="1"/>
  <c r="BV606" i="1"/>
  <c r="BX542" i="1"/>
  <c r="BW542" i="1"/>
  <c r="BV542" i="1"/>
  <c r="BT589" i="1"/>
  <c r="BX589" i="1"/>
  <c r="BW589" i="1"/>
  <c r="BV589" i="1"/>
  <c r="BT684" i="1"/>
  <c r="BX684" i="1"/>
  <c r="BW684" i="1"/>
  <c r="BV684" i="1"/>
  <c r="BW650" i="1"/>
  <c r="BX650" i="1"/>
  <c r="BV650" i="1"/>
  <c r="BX634" i="1"/>
  <c r="BW634" i="1"/>
  <c r="BV634" i="1"/>
  <c r="BX586" i="1"/>
  <c r="BW586" i="1"/>
  <c r="BV586" i="1"/>
  <c r="BX554" i="1"/>
  <c r="BW554" i="1"/>
  <c r="BV554" i="1"/>
  <c r="BX506" i="1"/>
  <c r="BW506" i="1"/>
  <c r="BV506" i="1"/>
  <c r="BT679" i="1"/>
  <c r="BX679" i="1"/>
  <c r="BW679" i="1"/>
  <c r="BV679" i="1"/>
  <c r="BT671" i="1"/>
  <c r="BX671" i="1"/>
  <c r="BV671" i="1"/>
  <c r="BT631" i="1"/>
  <c r="BX631" i="1"/>
  <c r="BW631" i="1"/>
  <c r="BV631" i="1"/>
  <c r="BT591" i="1"/>
  <c r="BX591" i="1"/>
  <c r="BW591" i="1"/>
  <c r="BV591" i="1"/>
  <c r="BT575" i="1"/>
  <c r="BX575" i="1"/>
  <c r="BV575" i="1"/>
  <c r="BT567" i="1"/>
  <c r="BX567" i="1"/>
  <c r="BW567" i="1"/>
  <c r="BV567" i="1"/>
  <c r="BX239" i="1"/>
  <c r="BW239" i="1"/>
  <c r="BV239" i="1"/>
  <c r="BW575" i="1"/>
  <c r="BX566" i="1"/>
  <c r="BW566" i="1"/>
  <c r="BV566" i="1"/>
  <c r="BT629" i="1"/>
  <c r="BX629" i="1"/>
  <c r="BW629" i="1"/>
  <c r="BV629" i="1"/>
  <c r="BX541" i="1"/>
  <c r="BW541" i="1"/>
  <c r="BV541" i="1"/>
  <c r="BX525" i="1"/>
  <c r="BW525" i="1"/>
  <c r="BV525" i="1"/>
  <c r="BX517" i="1"/>
  <c r="BW517" i="1"/>
  <c r="BV517" i="1"/>
  <c r="BX501" i="1"/>
  <c r="BW501" i="1"/>
  <c r="BV501" i="1"/>
  <c r="BX461" i="1"/>
  <c r="BW461" i="1"/>
  <c r="BV461" i="1"/>
  <c r="BX453" i="1"/>
  <c r="BW453" i="1"/>
  <c r="BV453" i="1"/>
  <c r="BX397" i="1"/>
  <c r="BW397" i="1"/>
  <c r="BV397" i="1"/>
  <c r="BX389" i="1"/>
  <c r="BW389" i="1"/>
  <c r="BV389" i="1"/>
  <c r="BX373" i="1"/>
  <c r="BW373" i="1"/>
  <c r="BV373" i="1"/>
  <c r="BX349" i="1"/>
  <c r="BW349" i="1"/>
  <c r="BV349" i="1"/>
  <c r="BX333" i="1"/>
  <c r="BW333" i="1"/>
  <c r="BV333" i="1"/>
  <c r="BX325" i="1"/>
  <c r="BW325" i="1"/>
  <c r="BV325" i="1"/>
  <c r="BX309" i="1"/>
  <c r="BW309" i="1"/>
  <c r="BV309" i="1"/>
  <c r="BX285" i="1"/>
  <c r="BW285" i="1"/>
  <c r="BV285" i="1"/>
  <c r="BX181" i="1"/>
  <c r="BW181" i="1"/>
  <c r="BV181" i="1"/>
  <c r="BX638" i="1"/>
  <c r="BW638" i="1"/>
  <c r="BV638" i="1"/>
  <c r="BX558" i="1"/>
  <c r="BW558" i="1"/>
  <c r="BV558" i="1"/>
  <c r="BT581" i="1"/>
  <c r="BX581" i="1"/>
  <c r="BW581" i="1"/>
  <c r="BV581" i="1"/>
  <c r="BT660" i="1"/>
  <c r="BX660" i="1"/>
  <c r="BW660" i="1"/>
  <c r="BV660" i="1"/>
  <c r="BT620" i="1"/>
  <c r="BX620" i="1"/>
  <c r="BW620" i="1"/>
  <c r="BV620" i="1"/>
  <c r="BT604" i="1"/>
  <c r="BX604" i="1"/>
  <c r="BW604" i="1"/>
  <c r="BV604" i="1"/>
  <c r="BT588" i="1"/>
  <c r="BX588" i="1"/>
  <c r="BW588" i="1"/>
  <c r="BV588" i="1"/>
  <c r="BT564" i="1"/>
  <c r="BX564" i="1"/>
  <c r="BW564" i="1"/>
  <c r="BV564" i="1"/>
  <c r="BT556" i="1"/>
  <c r="BX556" i="1"/>
  <c r="BW556" i="1"/>
  <c r="BV556" i="1"/>
  <c r="BX524" i="1"/>
  <c r="BW524" i="1"/>
  <c r="BV524" i="1"/>
  <c r="BX500" i="1"/>
  <c r="BW500" i="1"/>
  <c r="BV500" i="1"/>
  <c r="BX484" i="1"/>
  <c r="BW484" i="1"/>
  <c r="BV484" i="1"/>
  <c r="BX476" i="1"/>
  <c r="BW476" i="1"/>
  <c r="BV476" i="1"/>
  <c r="BX460" i="1"/>
  <c r="BW460" i="1"/>
  <c r="BV460" i="1"/>
  <c r="BX452" i="1"/>
  <c r="BW452" i="1"/>
  <c r="BV452" i="1"/>
  <c r="BX436" i="1"/>
  <c r="BW436" i="1"/>
  <c r="BV436" i="1"/>
  <c r="BX420" i="1"/>
  <c r="BW420" i="1"/>
  <c r="BV420" i="1"/>
  <c r="BX396" i="1"/>
  <c r="BW396" i="1"/>
  <c r="BV396" i="1"/>
  <c r="BX388" i="1"/>
  <c r="BW388" i="1"/>
  <c r="BV388" i="1"/>
  <c r="BX372" i="1"/>
  <c r="BW372" i="1"/>
  <c r="BV372" i="1"/>
  <c r="BX332" i="1"/>
  <c r="BW332" i="1"/>
  <c r="BV332" i="1"/>
  <c r="BX630" i="1"/>
  <c r="BW630" i="1"/>
  <c r="BV630" i="1"/>
  <c r="BT661" i="1"/>
  <c r="BX661" i="1"/>
  <c r="BW661" i="1"/>
  <c r="BV661" i="1"/>
  <c r="BT605" i="1"/>
  <c r="BX605" i="1"/>
  <c r="BW605" i="1"/>
  <c r="BV605" i="1"/>
  <c r="BX267" i="1"/>
  <c r="BW267" i="1"/>
  <c r="BV267" i="1"/>
  <c r="BX259" i="1"/>
  <c r="BW259" i="1"/>
  <c r="BV259" i="1"/>
  <c r="BX235" i="1"/>
  <c r="BW235" i="1"/>
  <c r="BV235" i="1"/>
  <c r="BX227" i="1"/>
  <c r="BW227" i="1"/>
  <c r="BV227" i="1"/>
  <c r="BX203" i="1"/>
  <c r="BW203" i="1"/>
  <c r="BV203" i="1"/>
  <c r="BX171" i="1"/>
  <c r="BW171" i="1"/>
  <c r="BV171" i="1"/>
  <c r="BX155" i="1"/>
  <c r="BW155" i="1"/>
  <c r="BV155" i="1"/>
  <c r="BX147" i="1"/>
  <c r="BW147" i="1"/>
  <c r="BV147" i="1"/>
  <c r="BX107" i="1"/>
  <c r="BW107" i="1"/>
  <c r="BV107" i="1"/>
  <c r="BX83" i="1"/>
  <c r="BW83" i="1"/>
  <c r="BX43" i="1"/>
  <c r="BW43" i="1"/>
  <c r="BV43" i="1"/>
  <c r="BX27" i="1"/>
  <c r="BW27" i="1"/>
  <c r="BV27" i="1"/>
  <c r="BX3" i="1"/>
  <c r="BW3" i="1"/>
  <c r="BV3" i="1"/>
  <c r="BX590" i="1"/>
  <c r="BW590" i="1"/>
  <c r="BV590" i="1"/>
  <c r="BT653" i="1"/>
  <c r="BX653" i="1"/>
  <c r="BW653" i="1"/>
  <c r="BV653" i="1"/>
  <c r="BT565" i="1"/>
  <c r="BX565" i="1"/>
  <c r="BW565" i="1"/>
  <c r="BV565" i="1"/>
  <c r="BT628" i="1"/>
  <c r="BX628" i="1"/>
  <c r="BW628" i="1"/>
  <c r="BV628" i="1"/>
  <c r="BT682" i="1"/>
  <c r="BX682" i="1"/>
  <c r="BW682" i="1"/>
  <c r="BV682" i="1"/>
  <c r="BX610" i="1"/>
  <c r="BW610" i="1"/>
  <c r="BV610" i="1"/>
  <c r="BX538" i="1"/>
  <c r="BW538" i="1"/>
  <c r="BV538" i="1"/>
  <c r="BX498" i="1"/>
  <c r="BW498" i="1"/>
  <c r="BV498" i="1"/>
  <c r="BX474" i="1"/>
  <c r="BW474" i="1"/>
  <c r="BV474" i="1"/>
  <c r="BX458" i="1"/>
  <c r="BW458" i="1"/>
  <c r="BV458" i="1"/>
  <c r="BX450" i="1"/>
  <c r="BW450" i="1"/>
  <c r="BV450" i="1"/>
  <c r="BX442" i="1"/>
  <c r="BW442" i="1"/>
  <c r="BV442" i="1"/>
  <c r="BX434" i="1"/>
  <c r="BV434" i="1"/>
  <c r="BW434" i="1"/>
  <c r="BX426" i="1"/>
  <c r="BW426" i="1"/>
  <c r="BV426" i="1"/>
  <c r="BX418" i="1"/>
  <c r="BW418" i="1"/>
  <c r="BV418" i="1"/>
  <c r="BX410" i="1"/>
  <c r="BW410" i="1"/>
  <c r="BV410" i="1"/>
  <c r="BX394" i="1"/>
  <c r="BW394" i="1"/>
  <c r="BV394" i="1"/>
  <c r="BX386" i="1"/>
  <c r="BW386" i="1"/>
  <c r="BV386" i="1"/>
  <c r="BX378" i="1"/>
  <c r="BW378" i="1"/>
  <c r="BV378" i="1"/>
  <c r="BX370" i="1"/>
  <c r="BV370" i="1"/>
  <c r="BW370" i="1"/>
  <c r="BX362" i="1"/>
  <c r="BW362" i="1"/>
  <c r="BV362" i="1"/>
  <c r="BX354" i="1"/>
  <c r="BV354" i="1"/>
  <c r="BW354" i="1"/>
  <c r="BX346" i="1"/>
  <c r="BW346" i="1"/>
  <c r="BV346" i="1"/>
  <c r="BX330" i="1"/>
  <c r="BW330" i="1"/>
  <c r="BV330" i="1"/>
  <c r="BX322" i="1"/>
  <c r="BV322" i="1"/>
  <c r="BW322" i="1"/>
  <c r="BX314" i="1"/>
  <c r="BW314" i="1"/>
  <c r="BV314" i="1"/>
  <c r="BX306" i="1"/>
  <c r="BW306" i="1"/>
  <c r="BV306" i="1"/>
  <c r="BW671" i="1"/>
  <c r="BX662" i="1"/>
  <c r="BW662" i="1"/>
  <c r="BV662" i="1"/>
  <c r="BX622" i="1"/>
  <c r="BW622" i="1"/>
  <c r="BV622" i="1"/>
  <c r="BT685" i="1"/>
  <c r="BW685" i="1"/>
  <c r="BV685" i="1"/>
  <c r="BX685" i="1"/>
  <c r="BT652" i="1"/>
  <c r="BX652" i="1"/>
  <c r="BW652" i="1"/>
  <c r="BV652" i="1"/>
  <c r="BW674" i="1"/>
  <c r="BX674" i="1"/>
  <c r="BV674" i="1"/>
  <c r="BX618" i="1"/>
  <c r="BW618" i="1"/>
  <c r="BV618" i="1"/>
  <c r="BX562" i="1"/>
  <c r="BW562" i="1"/>
  <c r="BV562" i="1"/>
  <c r="BX522" i="1"/>
  <c r="BW522" i="1"/>
  <c r="BV522" i="1"/>
  <c r="BX482" i="1"/>
  <c r="BW482" i="1"/>
  <c r="BV482" i="1"/>
  <c r="BX626" i="1"/>
  <c r="BW626" i="1"/>
  <c r="BV626" i="1"/>
  <c r="BX578" i="1"/>
  <c r="BW578" i="1"/>
  <c r="BV578" i="1"/>
  <c r="BX546" i="1"/>
  <c r="BW546" i="1"/>
  <c r="BV546" i="1"/>
  <c r="BX514" i="1"/>
  <c r="BW514" i="1"/>
  <c r="BV514" i="1"/>
  <c r="BX490" i="1"/>
  <c r="BW490" i="1"/>
  <c r="BV490" i="1"/>
  <c r="BX649" i="1"/>
  <c r="BW649" i="1"/>
  <c r="BV649" i="1"/>
  <c r="BX298" i="1"/>
  <c r="BW298" i="1"/>
  <c r="BX282" i="1"/>
  <c r="BW282" i="1"/>
  <c r="BX258" i="1"/>
  <c r="BW258" i="1"/>
  <c r="BX250" i="1"/>
  <c r="BW250" i="1"/>
  <c r="BX265" i="1"/>
  <c r="BW265" i="1"/>
  <c r="BX217" i="1"/>
  <c r="BW217" i="1"/>
  <c r="BX145" i="1"/>
  <c r="BW145" i="1"/>
  <c r="BV145" i="1"/>
  <c r="BX183" i="1"/>
  <c r="BW183" i="1"/>
  <c r="BX119" i="1"/>
  <c r="BW119" i="1"/>
  <c r="BX246" i="1"/>
  <c r="BW246" i="1"/>
  <c r="BX238" i="1"/>
  <c r="BW238" i="1"/>
  <c r="BX214" i="1"/>
  <c r="BW214" i="1"/>
  <c r="BX142" i="1"/>
  <c r="BW142" i="1"/>
  <c r="BV142" i="1"/>
  <c r="BX134" i="1"/>
  <c r="BW134" i="1"/>
  <c r="BV134" i="1"/>
  <c r="BX78" i="1"/>
  <c r="BW78" i="1"/>
  <c r="BV78" i="1"/>
  <c r="BX173" i="1"/>
  <c r="BW173" i="1"/>
  <c r="BV173" i="1"/>
  <c r="BX117" i="1"/>
  <c r="BW117" i="1"/>
  <c r="BV117" i="1"/>
  <c r="BX109" i="1"/>
  <c r="BW109" i="1"/>
  <c r="BV109" i="1"/>
  <c r="BX53" i="1"/>
  <c r="BW53" i="1"/>
  <c r="BV53" i="1"/>
  <c r="BX45" i="1"/>
  <c r="BW45" i="1"/>
  <c r="BV45" i="1"/>
  <c r="BV298" i="1"/>
  <c r="BV290" i="1"/>
  <c r="BV282" i="1"/>
  <c r="BV258" i="1"/>
  <c r="BV250" i="1"/>
  <c r="BV183" i="1"/>
  <c r="BV119" i="1"/>
  <c r="BX324" i="1"/>
  <c r="BW324" i="1"/>
  <c r="BX308" i="1"/>
  <c r="BW308" i="1"/>
  <c r="BX292" i="1"/>
  <c r="BW292" i="1"/>
  <c r="BX284" i="1"/>
  <c r="BW284" i="1"/>
  <c r="BX268" i="1"/>
  <c r="BW268" i="1"/>
  <c r="BV265" i="1"/>
  <c r="BV217" i="1"/>
  <c r="BW290" i="1"/>
  <c r="BU652" i="1"/>
  <c r="BU620" i="1"/>
  <c r="BU604" i="1"/>
  <c r="BU588" i="1"/>
  <c r="BT309" i="1"/>
  <c r="BU309" i="1"/>
  <c r="BT541" i="1"/>
  <c r="BU541" i="1"/>
  <c r="BT461" i="1"/>
  <c r="BU461" i="1"/>
  <c r="BT524" i="1"/>
  <c r="BU524" i="1"/>
  <c r="BT500" i="1"/>
  <c r="BU500" i="1"/>
  <c r="BT484" i="1"/>
  <c r="BU484" i="1"/>
  <c r="BT476" i="1"/>
  <c r="BU476" i="1"/>
  <c r="BT460" i="1"/>
  <c r="BU460" i="1"/>
  <c r="BT452" i="1"/>
  <c r="BU452" i="1"/>
  <c r="BT436" i="1"/>
  <c r="BU436" i="1"/>
  <c r="BT420" i="1"/>
  <c r="BU420" i="1"/>
  <c r="BT396" i="1"/>
  <c r="BU396" i="1"/>
  <c r="BT388" i="1"/>
  <c r="BU388" i="1"/>
  <c r="BT372" i="1"/>
  <c r="BU372" i="1"/>
  <c r="BT332" i="1"/>
  <c r="BU332" i="1"/>
  <c r="BT324" i="1"/>
  <c r="BU324" i="1"/>
  <c r="BT308" i="1"/>
  <c r="BU308" i="1"/>
  <c r="BT292" i="1"/>
  <c r="BU292" i="1"/>
  <c r="BT284" i="1"/>
  <c r="BU284" i="1"/>
  <c r="BT268" i="1"/>
  <c r="BU268" i="1"/>
  <c r="BU682" i="1"/>
  <c r="BT525" i="1"/>
  <c r="BU525" i="1"/>
  <c r="BT397" i="1"/>
  <c r="BU397" i="1"/>
  <c r="BT333" i="1"/>
  <c r="BU333" i="1"/>
  <c r="BT173" i="1"/>
  <c r="BU173" i="1"/>
  <c r="BT267" i="1"/>
  <c r="BU267" i="1"/>
  <c r="BT259" i="1"/>
  <c r="BU259" i="1"/>
  <c r="BT235" i="1"/>
  <c r="BU235" i="1"/>
  <c r="BT227" i="1"/>
  <c r="BU227" i="1"/>
  <c r="BT203" i="1"/>
  <c r="BU203" i="1"/>
  <c r="BT171" i="1"/>
  <c r="BU171" i="1"/>
  <c r="BT155" i="1"/>
  <c r="BU155" i="1"/>
  <c r="BT147" i="1"/>
  <c r="BU147" i="1"/>
  <c r="BT107" i="1"/>
  <c r="BU107" i="1"/>
  <c r="BT83" i="1"/>
  <c r="BU83" i="1"/>
  <c r="BT43" i="1"/>
  <c r="BU43" i="1"/>
  <c r="BT27" i="1"/>
  <c r="BU27" i="1"/>
  <c r="BT3" i="1"/>
  <c r="BU3" i="1"/>
  <c r="BU679" i="1"/>
  <c r="BU631" i="1"/>
  <c r="BU567" i="1"/>
  <c r="BT373" i="1"/>
  <c r="BU373" i="1"/>
  <c r="BT618" i="1"/>
  <c r="BU618" i="1"/>
  <c r="BT554" i="1"/>
  <c r="BU554" i="1"/>
  <c r="BT522" i="1"/>
  <c r="BU522" i="1"/>
  <c r="BT490" i="1"/>
  <c r="BU490" i="1"/>
  <c r="BT474" i="1"/>
  <c r="BU474" i="1"/>
  <c r="BT450" i="1"/>
  <c r="BU450" i="1"/>
  <c r="BT442" i="1"/>
  <c r="BU442" i="1"/>
  <c r="BT434" i="1"/>
  <c r="BU434" i="1"/>
  <c r="BT426" i="1"/>
  <c r="BU426" i="1"/>
  <c r="BT418" i="1"/>
  <c r="BU418" i="1"/>
  <c r="BT410" i="1"/>
  <c r="BU410" i="1"/>
  <c r="BT394" i="1"/>
  <c r="BU394" i="1"/>
  <c r="BT386" i="1"/>
  <c r="BU386" i="1"/>
  <c r="BT378" i="1"/>
  <c r="BU378" i="1"/>
  <c r="BT370" i="1"/>
  <c r="BU370" i="1"/>
  <c r="BT362" i="1"/>
  <c r="BU362" i="1"/>
  <c r="BT354" i="1"/>
  <c r="BU354" i="1"/>
  <c r="BT346" i="1"/>
  <c r="BU346" i="1"/>
  <c r="BT330" i="1"/>
  <c r="BU330" i="1"/>
  <c r="BT322" i="1"/>
  <c r="BU322" i="1"/>
  <c r="BT314" i="1"/>
  <c r="BU314" i="1"/>
  <c r="BT306" i="1"/>
  <c r="BU306" i="1"/>
  <c r="BT298" i="1"/>
  <c r="BU298" i="1"/>
  <c r="BT290" i="1"/>
  <c r="BU290" i="1"/>
  <c r="BT282" i="1"/>
  <c r="BU282" i="1"/>
  <c r="BT258" i="1"/>
  <c r="BU258" i="1"/>
  <c r="BT250" i="1"/>
  <c r="BU250" i="1"/>
  <c r="BU661" i="1"/>
  <c r="BU629" i="1"/>
  <c r="BU581" i="1"/>
  <c r="BU565" i="1"/>
  <c r="BT349" i="1"/>
  <c r="BU349" i="1"/>
  <c r="BT109" i="1"/>
  <c r="BU109" i="1"/>
  <c r="BT674" i="1"/>
  <c r="BU674" i="1"/>
  <c r="BT650" i="1"/>
  <c r="BU650" i="1"/>
  <c r="BT626" i="1"/>
  <c r="BU626" i="1"/>
  <c r="BT578" i="1"/>
  <c r="BU578" i="1"/>
  <c r="BT546" i="1"/>
  <c r="BU546" i="1"/>
  <c r="BT514" i="1"/>
  <c r="BU514" i="1"/>
  <c r="BT506" i="1"/>
  <c r="BU506" i="1"/>
  <c r="BT482" i="1"/>
  <c r="BU482" i="1"/>
  <c r="BT649" i="1"/>
  <c r="BU649" i="1"/>
  <c r="BT265" i="1"/>
  <c r="BU265" i="1"/>
  <c r="BT217" i="1"/>
  <c r="BU217" i="1"/>
  <c r="BT145" i="1"/>
  <c r="BU145" i="1"/>
  <c r="BU660" i="1"/>
  <c r="BU628" i="1"/>
  <c r="BU564" i="1"/>
  <c r="BT501" i="1"/>
  <c r="BU501" i="1"/>
  <c r="BT389" i="1"/>
  <c r="BU389" i="1"/>
  <c r="BT285" i="1"/>
  <c r="BU285" i="1"/>
  <c r="BT117" i="1"/>
  <c r="BU117" i="1"/>
  <c r="BT45" i="1"/>
  <c r="BU45" i="1"/>
  <c r="BT634" i="1"/>
  <c r="BU634" i="1"/>
  <c r="BT610" i="1"/>
  <c r="BU610" i="1"/>
  <c r="BT586" i="1"/>
  <c r="BU586" i="1"/>
  <c r="BT562" i="1"/>
  <c r="BU562" i="1"/>
  <c r="BT538" i="1"/>
  <c r="BU538" i="1"/>
  <c r="BT498" i="1"/>
  <c r="BU498" i="1"/>
  <c r="BT458" i="1"/>
  <c r="BU458" i="1"/>
  <c r="BT517" i="1"/>
  <c r="BU517" i="1"/>
  <c r="BT181" i="1"/>
  <c r="BU181" i="1"/>
  <c r="BT53" i="1"/>
  <c r="BU53" i="1"/>
  <c r="BT239" i="1"/>
  <c r="BU239" i="1"/>
  <c r="BT183" i="1"/>
  <c r="BU183" i="1"/>
  <c r="BT119" i="1"/>
  <c r="BU119" i="1"/>
  <c r="BU685" i="1"/>
  <c r="BU671" i="1"/>
  <c r="BU591" i="1"/>
  <c r="BU575" i="1"/>
  <c r="BT453" i="1"/>
  <c r="BU453" i="1"/>
  <c r="BT325" i="1"/>
  <c r="BU325" i="1"/>
  <c r="BT662" i="1"/>
  <c r="BU662" i="1"/>
  <c r="BT638" i="1"/>
  <c r="BU638" i="1"/>
  <c r="BT630" i="1"/>
  <c r="BU630" i="1"/>
  <c r="BT622" i="1"/>
  <c r="BU622" i="1"/>
  <c r="BT606" i="1"/>
  <c r="BU606" i="1"/>
  <c r="BT590" i="1"/>
  <c r="BU590" i="1"/>
  <c r="BT566" i="1"/>
  <c r="BU566" i="1"/>
  <c r="BT558" i="1"/>
  <c r="BU558" i="1"/>
  <c r="BT542" i="1"/>
  <c r="BU542" i="1"/>
  <c r="BT246" i="1"/>
  <c r="BU246" i="1"/>
  <c r="BT238" i="1"/>
  <c r="BU238" i="1"/>
  <c r="BT214" i="1"/>
  <c r="BU214" i="1"/>
  <c r="BT142" i="1"/>
  <c r="BU142" i="1"/>
  <c r="BT134" i="1"/>
  <c r="BU134" i="1"/>
  <c r="BT78" i="1"/>
  <c r="BU78" i="1"/>
  <c r="BU684" i="1"/>
  <c r="BU653" i="1"/>
  <c r="BU605" i="1"/>
  <c r="BU589" i="1"/>
  <c r="BU556" i="1"/>
  <c r="K602" i="1"/>
  <c r="J580" i="1"/>
  <c r="I580" i="1" s="1"/>
  <c r="K623" i="1"/>
  <c r="J356" i="1"/>
  <c r="I356" i="1" s="1"/>
  <c r="K550" i="1"/>
  <c r="J642" i="1"/>
  <c r="I642" i="1" s="1"/>
  <c r="J602" i="1"/>
  <c r="I602" i="1" s="1"/>
  <c r="J412" i="1"/>
  <c r="I412" i="1" s="1"/>
  <c r="K540" i="1"/>
  <c r="J594" i="1"/>
  <c r="I594" i="1" s="1"/>
  <c r="J348" i="1"/>
  <c r="I348" i="1" s="1"/>
  <c r="K477" i="1"/>
  <c r="K356" i="1"/>
  <c r="J437" i="1"/>
  <c r="I437" i="1" s="1"/>
  <c r="L673" i="1"/>
  <c r="K673" i="1"/>
  <c r="L625" i="1"/>
  <c r="J625" i="1"/>
  <c r="I625" i="1" s="1"/>
  <c r="L577" i="1"/>
  <c r="K577" i="1"/>
  <c r="J577" i="1"/>
  <c r="I577" i="1" s="1"/>
  <c r="L529" i="1"/>
  <c r="K529" i="1"/>
  <c r="J529" i="1"/>
  <c r="I529" i="1" s="1"/>
  <c r="L497" i="1"/>
  <c r="K497" i="1"/>
  <c r="J497" i="1"/>
  <c r="I497" i="1" s="1"/>
  <c r="L465" i="1"/>
  <c r="K465" i="1"/>
  <c r="J465" i="1"/>
  <c r="I465" i="1" s="1"/>
  <c r="L425" i="1"/>
  <c r="K425" i="1"/>
  <c r="J425" i="1"/>
  <c r="I425" i="1" s="1"/>
  <c r="L385" i="1"/>
  <c r="K385" i="1"/>
  <c r="J385" i="1"/>
  <c r="I385" i="1" s="1"/>
  <c r="L337" i="1"/>
  <c r="K337" i="1"/>
  <c r="J337" i="1"/>
  <c r="I337" i="1" s="1"/>
  <c r="L305" i="1"/>
  <c r="K305" i="1"/>
  <c r="J305" i="1"/>
  <c r="I305" i="1" s="1"/>
  <c r="L281" i="1"/>
  <c r="K281" i="1"/>
  <c r="J281" i="1"/>
  <c r="I281" i="1" s="1"/>
  <c r="K233" i="1"/>
  <c r="L233" i="1"/>
  <c r="J233" i="1"/>
  <c r="I233" i="1" s="1"/>
  <c r="L193" i="1"/>
  <c r="K193" i="1"/>
  <c r="L153" i="1"/>
  <c r="K153" i="1"/>
  <c r="J153" i="1"/>
  <c r="I153" i="1" s="1"/>
  <c r="K129" i="1"/>
  <c r="L129" i="1"/>
  <c r="L663" i="1"/>
  <c r="K663" i="1"/>
  <c r="L655" i="1"/>
  <c r="K655" i="1"/>
  <c r="L631" i="1"/>
  <c r="K631" i="1"/>
  <c r="L615" i="1"/>
  <c r="K615" i="1"/>
  <c r="L607" i="1"/>
  <c r="K607" i="1"/>
  <c r="L599" i="1"/>
  <c r="K599" i="1"/>
  <c r="L591" i="1"/>
  <c r="K591" i="1"/>
  <c r="L583" i="1"/>
  <c r="K583" i="1"/>
  <c r="L575" i="1"/>
  <c r="K575" i="1"/>
  <c r="L567" i="1"/>
  <c r="K567" i="1"/>
  <c r="L559" i="1"/>
  <c r="K559" i="1"/>
  <c r="L551" i="1"/>
  <c r="K551" i="1"/>
  <c r="L543" i="1"/>
  <c r="K543" i="1"/>
  <c r="L535" i="1"/>
  <c r="K535" i="1"/>
  <c r="J535" i="1"/>
  <c r="I535" i="1" s="1"/>
  <c r="L527" i="1"/>
  <c r="K527" i="1"/>
  <c r="J527" i="1"/>
  <c r="I527" i="1" s="1"/>
  <c r="L519" i="1"/>
  <c r="K519" i="1"/>
  <c r="J519" i="1"/>
  <c r="I519" i="1" s="1"/>
  <c r="L511" i="1"/>
  <c r="K511" i="1"/>
  <c r="J511" i="1"/>
  <c r="I511" i="1" s="1"/>
  <c r="L503" i="1"/>
  <c r="K503" i="1"/>
  <c r="J503" i="1"/>
  <c r="I503" i="1" s="1"/>
  <c r="L495" i="1"/>
  <c r="K495" i="1"/>
  <c r="J495" i="1"/>
  <c r="I495" i="1" s="1"/>
  <c r="L487" i="1"/>
  <c r="K487" i="1"/>
  <c r="J487" i="1"/>
  <c r="I487" i="1" s="1"/>
  <c r="L479" i="1"/>
  <c r="K479" i="1"/>
  <c r="J479" i="1"/>
  <c r="I479" i="1" s="1"/>
  <c r="L471" i="1"/>
  <c r="K471" i="1"/>
  <c r="J471" i="1"/>
  <c r="I471" i="1" s="1"/>
  <c r="L463" i="1"/>
  <c r="K463" i="1"/>
  <c r="J463" i="1"/>
  <c r="I463" i="1" s="1"/>
  <c r="L455" i="1"/>
  <c r="K455" i="1"/>
  <c r="J455" i="1"/>
  <c r="I455" i="1" s="1"/>
  <c r="L447" i="1"/>
  <c r="K447" i="1"/>
  <c r="J447" i="1"/>
  <c r="I447" i="1" s="1"/>
  <c r="L439" i="1"/>
  <c r="K439" i="1"/>
  <c r="J439" i="1"/>
  <c r="I439" i="1" s="1"/>
  <c r="L431" i="1"/>
  <c r="K431" i="1"/>
  <c r="J431" i="1"/>
  <c r="I431" i="1" s="1"/>
  <c r="L423" i="1"/>
  <c r="K423" i="1"/>
  <c r="J423" i="1"/>
  <c r="I423" i="1" s="1"/>
  <c r="L415" i="1"/>
  <c r="K415" i="1"/>
  <c r="J415" i="1"/>
  <c r="I415" i="1" s="1"/>
  <c r="L407" i="1"/>
  <c r="K407" i="1"/>
  <c r="J407" i="1"/>
  <c r="I407" i="1" s="1"/>
  <c r="L399" i="1"/>
  <c r="K399" i="1"/>
  <c r="J399" i="1"/>
  <c r="I399" i="1" s="1"/>
  <c r="L391" i="1"/>
  <c r="K391" i="1"/>
  <c r="J391" i="1"/>
  <c r="I391" i="1" s="1"/>
  <c r="L383" i="1"/>
  <c r="K383" i="1"/>
  <c r="J383" i="1"/>
  <c r="I383" i="1" s="1"/>
  <c r="L375" i="1"/>
  <c r="K375" i="1"/>
  <c r="J375" i="1"/>
  <c r="I375" i="1" s="1"/>
  <c r="L367" i="1"/>
  <c r="K367" i="1"/>
  <c r="J367" i="1"/>
  <c r="I367" i="1" s="1"/>
  <c r="L359" i="1"/>
  <c r="K359" i="1"/>
  <c r="J359" i="1"/>
  <c r="I359" i="1" s="1"/>
  <c r="L351" i="1"/>
  <c r="K351" i="1"/>
  <c r="J351" i="1"/>
  <c r="I351" i="1" s="1"/>
  <c r="L343" i="1"/>
  <c r="K343" i="1"/>
  <c r="J343" i="1"/>
  <c r="I343" i="1" s="1"/>
  <c r="L335" i="1"/>
  <c r="K335" i="1"/>
  <c r="J335" i="1"/>
  <c r="I335" i="1" s="1"/>
  <c r="L327" i="1"/>
  <c r="K327" i="1"/>
  <c r="J327" i="1"/>
  <c r="I327" i="1" s="1"/>
  <c r="L319" i="1"/>
  <c r="K319" i="1"/>
  <c r="J319" i="1"/>
  <c r="I319" i="1" s="1"/>
  <c r="L311" i="1"/>
  <c r="K311" i="1"/>
  <c r="J311" i="1"/>
  <c r="I311" i="1" s="1"/>
  <c r="L303" i="1"/>
  <c r="K303" i="1"/>
  <c r="J303" i="1"/>
  <c r="I303" i="1" s="1"/>
  <c r="L295" i="1"/>
  <c r="K295" i="1"/>
  <c r="J295" i="1"/>
  <c r="I295" i="1" s="1"/>
  <c r="L287" i="1"/>
  <c r="K287" i="1"/>
  <c r="J287" i="1"/>
  <c r="I287" i="1" s="1"/>
  <c r="L279" i="1"/>
  <c r="K279" i="1"/>
  <c r="J279" i="1"/>
  <c r="I279" i="1" s="1"/>
  <c r="L271" i="1"/>
  <c r="K271" i="1"/>
  <c r="J271" i="1"/>
  <c r="I271" i="1" s="1"/>
  <c r="L263" i="1"/>
  <c r="K263" i="1"/>
  <c r="J263" i="1"/>
  <c r="I263" i="1" s="1"/>
  <c r="L255" i="1"/>
  <c r="K255" i="1"/>
  <c r="L247" i="1"/>
  <c r="K247" i="1"/>
  <c r="J247" i="1"/>
  <c r="I247" i="1" s="1"/>
  <c r="L239" i="1"/>
  <c r="K239" i="1"/>
  <c r="L231" i="1"/>
  <c r="K231" i="1"/>
  <c r="J231" i="1"/>
  <c r="I231" i="1" s="1"/>
  <c r="L223" i="1"/>
  <c r="K223" i="1"/>
  <c r="J223" i="1"/>
  <c r="I223" i="1" s="1"/>
  <c r="L215" i="1"/>
  <c r="K215" i="1"/>
  <c r="J215" i="1"/>
  <c r="I215" i="1" s="1"/>
  <c r="L207" i="1"/>
  <c r="K207" i="1"/>
  <c r="L199" i="1"/>
  <c r="K199" i="1"/>
  <c r="J199" i="1"/>
  <c r="I199" i="1" s="1"/>
  <c r="L191" i="1"/>
  <c r="K191" i="1"/>
  <c r="J191" i="1"/>
  <c r="I191" i="1" s="1"/>
  <c r="L183" i="1"/>
  <c r="K183" i="1"/>
  <c r="L175" i="1"/>
  <c r="K175" i="1"/>
  <c r="J175" i="1"/>
  <c r="I175" i="1" s="1"/>
  <c r="L167" i="1"/>
  <c r="K167" i="1"/>
  <c r="L159" i="1"/>
  <c r="K159" i="1"/>
  <c r="L151" i="1"/>
  <c r="K151" i="1"/>
  <c r="J151" i="1"/>
  <c r="I151" i="1" s="1"/>
  <c r="L143" i="1"/>
  <c r="K143" i="1"/>
  <c r="J143" i="1"/>
  <c r="I143" i="1" s="1"/>
  <c r="L135" i="1"/>
  <c r="K135" i="1"/>
  <c r="J135" i="1"/>
  <c r="I135" i="1" s="1"/>
  <c r="L127" i="1"/>
  <c r="K127" i="1"/>
  <c r="J127" i="1"/>
  <c r="I127" i="1" s="1"/>
  <c r="L119" i="1"/>
  <c r="K119" i="1"/>
  <c r="L111" i="1"/>
  <c r="K111" i="1"/>
  <c r="J111" i="1"/>
  <c r="I111" i="1" s="1"/>
  <c r="L103" i="1"/>
  <c r="K103" i="1"/>
  <c r="L95" i="1"/>
  <c r="K95" i="1"/>
  <c r="L87" i="1"/>
  <c r="K87" i="1"/>
  <c r="J87" i="1"/>
  <c r="I87" i="1" s="1"/>
  <c r="L79" i="1"/>
  <c r="K79" i="1"/>
  <c r="J79" i="1"/>
  <c r="I79" i="1" s="1"/>
  <c r="L71" i="1"/>
  <c r="K71" i="1"/>
  <c r="J71" i="1"/>
  <c r="I71" i="1" s="1"/>
  <c r="L63" i="1"/>
  <c r="K63" i="1"/>
  <c r="J63" i="1"/>
  <c r="I63" i="1" s="1"/>
  <c r="L55" i="1"/>
  <c r="K55" i="1"/>
  <c r="L47" i="1"/>
  <c r="K47" i="1"/>
  <c r="J47" i="1"/>
  <c r="I47" i="1" s="1"/>
  <c r="L39" i="1"/>
  <c r="K39" i="1"/>
  <c r="J39" i="1"/>
  <c r="I39" i="1" s="1"/>
  <c r="L31" i="1"/>
  <c r="K31" i="1"/>
  <c r="J31" i="1"/>
  <c r="I31" i="1" s="1"/>
  <c r="L23" i="1"/>
  <c r="K23" i="1"/>
  <c r="J23" i="1"/>
  <c r="I23" i="1" s="1"/>
  <c r="L15" i="1"/>
  <c r="K15" i="1"/>
  <c r="J15" i="1"/>
  <c r="I15" i="1" s="1"/>
  <c r="J639" i="1"/>
  <c r="I639" i="1" s="1"/>
  <c r="J615" i="1"/>
  <c r="I615" i="1" s="1"/>
  <c r="J551" i="1"/>
  <c r="I551" i="1" s="1"/>
  <c r="J540" i="1"/>
  <c r="I540" i="1" s="1"/>
  <c r="J477" i="1"/>
  <c r="I477" i="1" s="1"/>
  <c r="J413" i="1"/>
  <c r="I413" i="1" s="1"/>
  <c r="J207" i="1"/>
  <c r="I207" i="1" s="1"/>
  <c r="K666" i="1"/>
  <c r="K548" i="1"/>
  <c r="K348" i="1"/>
  <c r="L641" i="1"/>
  <c r="K641" i="1"/>
  <c r="L585" i="1"/>
  <c r="K585" i="1"/>
  <c r="J585" i="1"/>
  <c r="I585" i="1" s="1"/>
  <c r="L553" i="1"/>
  <c r="K553" i="1"/>
  <c r="J553" i="1"/>
  <c r="I553" i="1" s="1"/>
  <c r="L521" i="1"/>
  <c r="K521" i="1"/>
  <c r="J521" i="1"/>
  <c r="I521" i="1" s="1"/>
  <c r="L489" i="1"/>
  <c r="K489" i="1"/>
  <c r="J489" i="1"/>
  <c r="I489" i="1" s="1"/>
  <c r="K449" i="1"/>
  <c r="J449" i="1"/>
  <c r="I449" i="1" s="1"/>
  <c r="L409" i="1"/>
  <c r="J409" i="1"/>
  <c r="I409" i="1" s="1"/>
  <c r="K409" i="1"/>
  <c r="K361" i="1"/>
  <c r="J361" i="1"/>
  <c r="I361" i="1" s="1"/>
  <c r="L361" i="1"/>
  <c r="L265" i="1"/>
  <c r="K265" i="1"/>
  <c r="L225" i="1"/>
  <c r="K225" i="1"/>
  <c r="L185" i="1"/>
  <c r="K185" i="1"/>
  <c r="L137" i="1"/>
  <c r="J137" i="1"/>
  <c r="I137" i="1" s="1"/>
  <c r="K105" i="1"/>
  <c r="L105" i="1"/>
  <c r="J105" i="1"/>
  <c r="I105" i="1" s="1"/>
  <c r="L57" i="1"/>
  <c r="K57" i="1"/>
  <c r="L25" i="1"/>
  <c r="K25" i="1"/>
  <c r="J25" i="1"/>
  <c r="L680" i="1"/>
  <c r="K680" i="1"/>
  <c r="J680" i="1"/>
  <c r="I680" i="1" s="1"/>
  <c r="L648" i="1"/>
  <c r="K648" i="1"/>
  <c r="J648" i="1"/>
  <c r="I648" i="1" s="1"/>
  <c r="L624" i="1"/>
  <c r="K624" i="1"/>
  <c r="J624" i="1"/>
  <c r="I624" i="1" s="1"/>
  <c r="L592" i="1"/>
  <c r="K592" i="1"/>
  <c r="J592" i="1"/>
  <c r="I592" i="1" s="1"/>
  <c r="L568" i="1"/>
  <c r="K568" i="1"/>
  <c r="J568" i="1"/>
  <c r="I568" i="1" s="1"/>
  <c r="L528" i="1"/>
  <c r="K528" i="1"/>
  <c r="J528" i="1"/>
  <c r="I528" i="1" s="1"/>
  <c r="L488" i="1"/>
  <c r="K488" i="1"/>
  <c r="J488" i="1"/>
  <c r="I488" i="1" s="1"/>
  <c r="L464" i="1"/>
  <c r="K464" i="1"/>
  <c r="J464" i="1"/>
  <c r="I464" i="1" s="1"/>
  <c r="L432" i="1"/>
  <c r="K432" i="1"/>
  <c r="J432" i="1"/>
  <c r="I432" i="1" s="1"/>
  <c r="L392" i="1"/>
  <c r="K392" i="1"/>
  <c r="J392" i="1"/>
  <c r="I392" i="1" s="1"/>
  <c r="L352" i="1"/>
  <c r="K352" i="1"/>
  <c r="J352" i="1"/>
  <c r="I352" i="1" s="1"/>
  <c r="L328" i="1"/>
  <c r="K328" i="1"/>
  <c r="J328" i="1"/>
  <c r="I328" i="1" s="1"/>
  <c r="L288" i="1"/>
  <c r="K288" i="1"/>
  <c r="J288" i="1"/>
  <c r="I288" i="1" s="1"/>
  <c r="L256" i="1"/>
  <c r="K256" i="1"/>
  <c r="J256" i="1"/>
  <c r="I256" i="1" s="1"/>
  <c r="L224" i="1"/>
  <c r="K224" i="1"/>
  <c r="J224" i="1"/>
  <c r="I224" i="1" s="1"/>
  <c r="L184" i="1"/>
  <c r="K184" i="1"/>
  <c r="J184" i="1"/>
  <c r="I184" i="1" s="1"/>
  <c r="L160" i="1"/>
  <c r="K160" i="1"/>
  <c r="J160" i="1"/>
  <c r="I160" i="1" s="1"/>
  <c r="L120" i="1"/>
  <c r="K120" i="1"/>
  <c r="J120" i="1"/>
  <c r="I120" i="1" s="1"/>
  <c r="L88" i="1"/>
  <c r="K88" i="1"/>
  <c r="J88" i="1"/>
  <c r="I88" i="1" s="1"/>
  <c r="L48" i="1"/>
  <c r="K48" i="1"/>
  <c r="J48" i="1"/>
  <c r="I48" i="1" s="1"/>
  <c r="L8" i="1"/>
  <c r="K8" i="1"/>
  <c r="J8" i="1"/>
  <c r="I8" i="1" s="1"/>
  <c r="J81" i="1"/>
  <c r="I81" i="1" s="1"/>
  <c r="K681" i="1"/>
  <c r="L678" i="1"/>
  <c r="K678" i="1"/>
  <c r="L630" i="1"/>
  <c r="K630" i="1"/>
  <c r="L590" i="1"/>
  <c r="K590" i="1"/>
  <c r="L574" i="1"/>
  <c r="K574" i="1"/>
  <c r="L534" i="1"/>
  <c r="K534" i="1"/>
  <c r="L486" i="1"/>
  <c r="K486" i="1"/>
  <c r="J486" i="1"/>
  <c r="I486" i="1" s="1"/>
  <c r="L446" i="1"/>
  <c r="J446" i="1"/>
  <c r="I446" i="1" s="1"/>
  <c r="L414" i="1"/>
  <c r="K414" i="1"/>
  <c r="J414" i="1"/>
  <c r="I414" i="1" s="1"/>
  <c r="L366" i="1"/>
  <c r="K366" i="1"/>
  <c r="J366" i="1"/>
  <c r="I366" i="1" s="1"/>
  <c r="L310" i="1"/>
  <c r="K310" i="1"/>
  <c r="J310" i="1"/>
  <c r="I310" i="1" s="1"/>
  <c r="L158" i="1"/>
  <c r="K158" i="1"/>
  <c r="L657" i="1"/>
  <c r="K657" i="1"/>
  <c r="L617" i="1"/>
  <c r="J617" i="1"/>
  <c r="I617" i="1" s="1"/>
  <c r="L593" i="1"/>
  <c r="K593" i="1"/>
  <c r="J593" i="1"/>
  <c r="I593" i="1" s="1"/>
  <c r="L545" i="1"/>
  <c r="K545" i="1"/>
  <c r="J545" i="1"/>
  <c r="I545" i="1" s="1"/>
  <c r="K505" i="1"/>
  <c r="J505" i="1"/>
  <c r="I505" i="1" s="1"/>
  <c r="L481" i="1"/>
  <c r="K481" i="1"/>
  <c r="J481" i="1"/>
  <c r="I481" i="1" s="1"/>
  <c r="L457" i="1"/>
  <c r="K457" i="1"/>
  <c r="J457" i="1"/>
  <c r="I457" i="1" s="1"/>
  <c r="L417" i="1"/>
  <c r="K417" i="1"/>
  <c r="J417" i="1"/>
  <c r="I417" i="1" s="1"/>
  <c r="L377" i="1"/>
  <c r="K377" i="1"/>
  <c r="J377" i="1"/>
  <c r="I377" i="1" s="1"/>
  <c r="L345" i="1"/>
  <c r="K345" i="1"/>
  <c r="J345" i="1"/>
  <c r="I345" i="1" s="1"/>
  <c r="L313" i="1"/>
  <c r="J313" i="1"/>
  <c r="I313" i="1" s="1"/>
  <c r="L273" i="1"/>
  <c r="K273" i="1"/>
  <c r="J273" i="1"/>
  <c r="I273" i="1" s="1"/>
  <c r="L241" i="1"/>
  <c r="K241" i="1"/>
  <c r="J241" i="1"/>
  <c r="I241" i="1" s="1"/>
  <c r="L201" i="1"/>
  <c r="J201" i="1"/>
  <c r="I201" i="1" s="1"/>
  <c r="L161" i="1"/>
  <c r="K161" i="1"/>
  <c r="J161" i="1"/>
  <c r="I161" i="1" s="1"/>
  <c r="L113" i="1"/>
  <c r="K113" i="1"/>
  <c r="J113" i="1"/>
  <c r="I113" i="1" s="1"/>
  <c r="L73" i="1"/>
  <c r="J73" i="1"/>
  <c r="I73" i="1" s="1"/>
  <c r="K73" i="1"/>
  <c r="L49" i="1"/>
  <c r="K49" i="1"/>
  <c r="J49" i="1"/>
  <c r="I49" i="1" s="1"/>
  <c r="L9" i="1"/>
  <c r="J9" i="1"/>
  <c r="I9" i="1" s="1"/>
  <c r="J663" i="1"/>
  <c r="I663" i="1" s="1"/>
  <c r="L664" i="1"/>
  <c r="K664" i="1"/>
  <c r="J664" i="1"/>
  <c r="I664" i="1" s="1"/>
  <c r="L632" i="1"/>
  <c r="K632" i="1"/>
  <c r="J632" i="1"/>
  <c r="I632" i="1" s="1"/>
  <c r="L584" i="1"/>
  <c r="K584" i="1"/>
  <c r="J584" i="1"/>
  <c r="I584" i="1" s="1"/>
  <c r="L536" i="1"/>
  <c r="K536" i="1"/>
  <c r="J536" i="1"/>
  <c r="I536" i="1" s="1"/>
  <c r="L512" i="1"/>
  <c r="K512" i="1"/>
  <c r="J512" i="1"/>
  <c r="I512" i="1" s="1"/>
  <c r="L472" i="1"/>
  <c r="K472" i="1"/>
  <c r="J472" i="1"/>
  <c r="I472" i="1" s="1"/>
  <c r="L424" i="1"/>
  <c r="K424" i="1"/>
  <c r="J424" i="1"/>
  <c r="I424" i="1" s="1"/>
  <c r="L376" i="1"/>
  <c r="K376" i="1"/>
  <c r="J376" i="1"/>
  <c r="I376" i="1" s="1"/>
  <c r="L336" i="1"/>
  <c r="K336" i="1"/>
  <c r="J336" i="1"/>
  <c r="I336" i="1" s="1"/>
  <c r="L296" i="1"/>
  <c r="K296" i="1"/>
  <c r="J296" i="1"/>
  <c r="I296" i="1" s="1"/>
  <c r="L264" i="1"/>
  <c r="K264" i="1"/>
  <c r="J264" i="1"/>
  <c r="I264" i="1" s="1"/>
  <c r="L216" i="1"/>
  <c r="K216" i="1"/>
  <c r="J216" i="1"/>
  <c r="I216" i="1" s="1"/>
  <c r="L176" i="1"/>
  <c r="K176" i="1"/>
  <c r="J176" i="1"/>
  <c r="I176" i="1" s="1"/>
  <c r="L144" i="1"/>
  <c r="K144" i="1"/>
  <c r="J144" i="1"/>
  <c r="I144" i="1" s="1"/>
  <c r="L104" i="1"/>
  <c r="K104" i="1"/>
  <c r="J104" i="1"/>
  <c r="I104" i="1" s="1"/>
  <c r="L56" i="1"/>
  <c r="K56" i="1"/>
  <c r="J56" i="1"/>
  <c r="I56" i="1" s="1"/>
  <c r="L16" i="1"/>
  <c r="K16" i="1"/>
  <c r="J16" i="1"/>
  <c r="I16" i="1" s="1"/>
  <c r="L671" i="1"/>
  <c r="K671" i="1"/>
  <c r="L646" i="1"/>
  <c r="K646" i="1"/>
  <c r="L614" i="1"/>
  <c r="K614" i="1"/>
  <c r="L566" i="1"/>
  <c r="K566" i="1"/>
  <c r="L510" i="1"/>
  <c r="J510" i="1"/>
  <c r="I510" i="1" s="1"/>
  <c r="K510" i="1"/>
  <c r="L470" i="1"/>
  <c r="K470" i="1"/>
  <c r="J470" i="1"/>
  <c r="I470" i="1" s="1"/>
  <c r="L438" i="1"/>
  <c r="J438" i="1"/>
  <c r="I438" i="1" s="1"/>
  <c r="K438" i="1"/>
  <c r="L398" i="1"/>
  <c r="K398" i="1"/>
  <c r="J398" i="1"/>
  <c r="I398" i="1" s="1"/>
  <c r="L374" i="1"/>
  <c r="K374" i="1"/>
  <c r="J374" i="1"/>
  <c r="I374" i="1" s="1"/>
  <c r="L334" i="1"/>
  <c r="K334" i="1"/>
  <c r="J334" i="1"/>
  <c r="I334" i="1" s="1"/>
  <c r="L294" i="1"/>
  <c r="K294" i="1"/>
  <c r="J294" i="1"/>
  <c r="I294" i="1" s="1"/>
  <c r="L262" i="1"/>
  <c r="K262" i="1"/>
  <c r="J262" i="1"/>
  <c r="I262" i="1" s="1"/>
  <c r="L238" i="1"/>
  <c r="K238" i="1"/>
  <c r="L222" i="1"/>
  <c r="K222" i="1"/>
  <c r="J222" i="1"/>
  <c r="I222" i="1" s="1"/>
  <c r="L190" i="1"/>
  <c r="K190" i="1"/>
  <c r="J190" i="1"/>
  <c r="I190" i="1" s="1"/>
  <c r="L150" i="1"/>
  <c r="K150" i="1"/>
  <c r="J150" i="1"/>
  <c r="I150" i="1" s="1"/>
  <c r="L118" i="1"/>
  <c r="K118" i="1"/>
  <c r="J118" i="1"/>
  <c r="I118" i="1" s="1"/>
  <c r="L86" i="1"/>
  <c r="K86" i="1"/>
  <c r="J86" i="1"/>
  <c r="I86" i="1" s="1"/>
  <c r="L70" i="1"/>
  <c r="K70" i="1"/>
  <c r="L38" i="1"/>
  <c r="K38" i="1"/>
  <c r="L6" i="1"/>
  <c r="K6" i="1"/>
  <c r="J6" i="1"/>
  <c r="I6" i="1" s="1"/>
  <c r="J38" i="1"/>
  <c r="I38" i="1" s="1"/>
  <c r="K313" i="1"/>
  <c r="L685" i="1"/>
  <c r="K685" i="1"/>
  <c r="L677" i="1"/>
  <c r="K677" i="1"/>
  <c r="L669" i="1"/>
  <c r="K669" i="1"/>
  <c r="L661" i="1"/>
  <c r="K661" i="1"/>
  <c r="L653" i="1"/>
  <c r="K653" i="1"/>
  <c r="L645" i="1"/>
  <c r="K645" i="1"/>
  <c r="L637" i="1"/>
  <c r="K637" i="1"/>
  <c r="L629" i="1"/>
  <c r="K629" i="1"/>
  <c r="L621" i="1"/>
  <c r="K621" i="1"/>
  <c r="L613" i="1"/>
  <c r="K613" i="1"/>
  <c r="L605" i="1"/>
  <c r="K605" i="1"/>
  <c r="L597" i="1"/>
  <c r="K597" i="1"/>
  <c r="L589" i="1"/>
  <c r="K589" i="1"/>
  <c r="L581" i="1"/>
  <c r="K581" i="1"/>
  <c r="L565" i="1"/>
  <c r="K565" i="1"/>
  <c r="L557" i="1"/>
  <c r="K557" i="1"/>
  <c r="L549" i="1"/>
  <c r="K549" i="1"/>
  <c r="L541" i="1"/>
  <c r="K541" i="1"/>
  <c r="L533" i="1"/>
  <c r="K533" i="1"/>
  <c r="L525" i="1"/>
  <c r="K525" i="1"/>
  <c r="L517" i="1"/>
  <c r="K517" i="1"/>
  <c r="L509" i="1"/>
  <c r="K509" i="1"/>
  <c r="L501" i="1"/>
  <c r="K501" i="1"/>
  <c r="L493" i="1"/>
  <c r="K493" i="1"/>
  <c r="L469" i="1"/>
  <c r="K469" i="1"/>
  <c r="L461" i="1"/>
  <c r="K461" i="1"/>
  <c r="L453" i="1"/>
  <c r="K453" i="1"/>
  <c r="L445" i="1"/>
  <c r="K445" i="1"/>
  <c r="L429" i="1"/>
  <c r="K429" i="1"/>
  <c r="L421" i="1"/>
  <c r="K421" i="1"/>
  <c r="L405" i="1"/>
  <c r="K405" i="1"/>
  <c r="L397" i="1"/>
  <c r="K397" i="1"/>
  <c r="L389" i="1"/>
  <c r="K389" i="1"/>
  <c r="L381" i="1"/>
  <c r="K381" i="1"/>
  <c r="L373" i="1"/>
  <c r="K373" i="1"/>
  <c r="L365" i="1"/>
  <c r="K365" i="1"/>
  <c r="L357" i="1"/>
  <c r="K357" i="1"/>
  <c r="L349" i="1"/>
  <c r="K349" i="1"/>
  <c r="L341" i="1"/>
  <c r="K341" i="1"/>
  <c r="L333" i="1"/>
  <c r="K333" i="1"/>
  <c r="L325" i="1"/>
  <c r="K325" i="1"/>
  <c r="L317" i="1"/>
  <c r="K317" i="1"/>
  <c r="L309" i="1"/>
  <c r="K309" i="1"/>
  <c r="L301" i="1"/>
  <c r="K301" i="1"/>
  <c r="L293" i="1"/>
  <c r="K293" i="1"/>
  <c r="L285" i="1"/>
  <c r="K285" i="1"/>
  <c r="L277" i="1"/>
  <c r="K277" i="1"/>
  <c r="L269" i="1"/>
  <c r="K269" i="1"/>
  <c r="J269" i="1"/>
  <c r="I269" i="1" s="1"/>
  <c r="L261" i="1"/>
  <c r="K261" i="1"/>
  <c r="J261" i="1"/>
  <c r="I261" i="1" s="1"/>
  <c r="L253" i="1"/>
  <c r="K253" i="1"/>
  <c r="J253" i="1"/>
  <c r="I253" i="1" s="1"/>
  <c r="L245" i="1"/>
  <c r="K245" i="1"/>
  <c r="J245" i="1"/>
  <c r="I245" i="1" s="1"/>
  <c r="L237" i="1"/>
  <c r="K237" i="1"/>
  <c r="J237" i="1"/>
  <c r="I237" i="1" s="1"/>
  <c r="L229" i="1"/>
  <c r="K229" i="1"/>
  <c r="L221" i="1"/>
  <c r="K221" i="1"/>
  <c r="J221" i="1"/>
  <c r="I221" i="1" s="1"/>
  <c r="L213" i="1"/>
  <c r="K213" i="1"/>
  <c r="J213" i="1"/>
  <c r="I213" i="1" s="1"/>
  <c r="L205" i="1"/>
  <c r="K205" i="1"/>
  <c r="J205" i="1"/>
  <c r="I205" i="1" s="1"/>
  <c r="L197" i="1"/>
  <c r="K197" i="1"/>
  <c r="L189" i="1"/>
  <c r="K189" i="1"/>
  <c r="J189" i="1"/>
  <c r="I189" i="1" s="1"/>
  <c r="L181" i="1"/>
  <c r="K181" i="1"/>
  <c r="L173" i="1"/>
  <c r="K173" i="1"/>
  <c r="L165" i="1"/>
  <c r="K165" i="1"/>
  <c r="J165" i="1"/>
  <c r="I165" i="1" s="1"/>
  <c r="L157" i="1"/>
  <c r="K157" i="1"/>
  <c r="J157" i="1"/>
  <c r="I157" i="1" s="1"/>
  <c r="L149" i="1"/>
  <c r="K149" i="1"/>
  <c r="J149" i="1"/>
  <c r="I149" i="1" s="1"/>
  <c r="L141" i="1"/>
  <c r="K141" i="1"/>
  <c r="J141" i="1"/>
  <c r="I141" i="1" s="1"/>
  <c r="L133" i="1"/>
  <c r="K133" i="1"/>
  <c r="L125" i="1"/>
  <c r="K125" i="1"/>
  <c r="J125" i="1"/>
  <c r="I125" i="1" s="1"/>
  <c r="L117" i="1"/>
  <c r="K117" i="1"/>
  <c r="L109" i="1"/>
  <c r="K109" i="1"/>
  <c r="L101" i="1"/>
  <c r="K101" i="1"/>
  <c r="J101" i="1"/>
  <c r="I101" i="1" s="1"/>
  <c r="L93" i="1"/>
  <c r="K93" i="1"/>
  <c r="J93" i="1"/>
  <c r="I93" i="1" s="1"/>
  <c r="L85" i="1"/>
  <c r="K85" i="1"/>
  <c r="J85" i="1"/>
  <c r="I85" i="1" s="1"/>
  <c r="L77" i="1"/>
  <c r="K77" i="1"/>
  <c r="J77" i="1"/>
  <c r="I77" i="1" s="1"/>
  <c r="L69" i="1"/>
  <c r="K69" i="1"/>
  <c r="L61" i="1"/>
  <c r="K61" i="1"/>
  <c r="J61" i="1"/>
  <c r="I61" i="1" s="1"/>
  <c r="L53" i="1"/>
  <c r="K53" i="1"/>
  <c r="L45" i="1"/>
  <c r="K45" i="1"/>
  <c r="L37" i="1"/>
  <c r="K37" i="1"/>
  <c r="J37" i="1"/>
  <c r="I37" i="1" s="1"/>
  <c r="L29" i="1"/>
  <c r="K29" i="1"/>
  <c r="J29" i="1"/>
  <c r="I29" i="1" s="1"/>
  <c r="L21" i="1"/>
  <c r="K21" i="1"/>
  <c r="J21" i="1"/>
  <c r="I21" i="1" s="1"/>
  <c r="L13" i="1"/>
  <c r="K13" i="1"/>
  <c r="J13" i="1"/>
  <c r="I13" i="1" s="1"/>
  <c r="L5" i="1"/>
  <c r="K5" i="1"/>
  <c r="J669" i="1"/>
  <c r="I669" i="1" s="1"/>
  <c r="J658" i="1"/>
  <c r="I658" i="1" s="1"/>
  <c r="J647" i="1"/>
  <c r="I647" i="1" s="1"/>
  <c r="J637" i="1"/>
  <c r="I637" i="1" s="1"/>
  <c r="J613" i="1"/>
  <c r="I613" i="1" s="1"/>
  <c r="J599" i="1"/>
  <c r="I599" i="1" s="1"/>
  <c r="J574" i="1"/>
  <c r="I574" i="1" s="1"/>
  <c r="J549" i="1"/>
  <c r="I549" i="1" s="1"/>
  <c r="J534" i="1"/>
  <c r="I534" i="1" s="1"/>
  <c r="J516" i="1"/>
  <c r="I516" i="1" s="1"/>
  <c r="J493" i="1"/>
  <c r="I493" i="1" s="1"/>
  <c r="J429" i="1"/>
  <c r="I429" i="1" s="1"/>
  <c r="J365" i="1"/>
  <c r="I365" i="1" s="1"/>
  <c r="J301" i="1"/>
  <c r="I301" i="1" s="1"/>
  <c r="J229" i="1"/>
  <c r="I229" i="1" s="1"/>
  <c r="J103" i="1"/>
  <c r="I103" i="1" s="1"/>
  <c r="J69" i="1"/>
  <c r="I69" i="1" s="1"/>
  <c r="K658" i="1"/>
  <c r="K516" i="1"/>
  <c r="K437" i="1"/>
  <c r="K9" i="1"/>
  <c r="L633" i="1"/>
  <c r="K633" i="1"/>
  <c r="L601" i="1"/>
  <c r="J601" i="1"/>
  <c r="I601" i="1" s="1"/>
  <c r="L561" i="1"/>
  <c r="K561" i="1"/>
  <c r="J561" i="1"/>
  <c r="I561" i="1" s="1"/>
  <c r="K513" i="1"/>
  <c r="L513" i="1"/>
  <c r="J513" i="1"/>
  <c r="I513" i="1" s="1"/>
  <c r="L473" i="1"/>
  <c r="J473" i="1"/>
  <c r="I473" i="1" s="1"/>
  <c r="K441" i="1"/>
  <c r="L441" i="1"/>
  <c r="J441" i="1"/>
  <c r="I441" i="1" s="1"/>
  <c r="L401" i="1"/>
  <c r="J401" i="1"/>
  <c r="I401" i="1" s="1"/>
  <c r="L369" i="1"/>
  <c r="K369" i="1"/>
  <c r="J369" i="1"/>
  <c r="I369" i="1" s="1"/>
  <c r="L329" i="1"/>
  <c r="K329" i="1"/>
  <c r="J329" i="1"/>
  <c r="I329" i="1" s="1"/>
  <c r="K297" i="1"/>
  <c r="L297" i="1"/>
  <c r="J297" i="1"/>
  <c r="I297" i="1" s="1"/>
  <c r="L209" i="1"/>
  <c r="J209" i="1"/>
  <c r="I209" i="1" s="1"/>
  <c r="K209" i="1"/>
  <c r="L177" i="1"/>
  <c r="K177" i="1"/>
  <c r="J177" i="1"/>
  <c r="I177" i="1" s="1"/>
  <c r="L145" i="1"/>
  <c r="K145" i="1"/>
  <c r="L97" i="1"/>
  <c r="K97" i="1"/>
  <c r="J97" i="1"/>
  <c r="I97" i="1" s="1"/>
  <c r="K65" i="1"/>
  <c r="L65" i="1"/>
  <c r="L41" i="1"/>
  <c r="K41" i="1"/>
  <c r="J41" i="1"/>
  <c r="I41" i="1" s="1"/>
  <c r="L17" i="1"/>
  <c r="J17" i="1"/>
  <c r="I17" i="1" s="1"/>
  <c r="L656" i="1"/>
  <c r="K656" i="1"/>
  <c r="J656" i="1"/>
  <c r="I656" i="1" s="1"/>
  <c r="L608" i="1"/>
  <c r="K608" i="1"/>
  <c r="J608" i="1"/>
  <c r="I608" i="1" s="1"/>
  <c r="L552" i="1"/>
  <c r="K552" i="1"/>
  <c r="J552" i="1"/>
  <c r="I552" i="1" s="1"/>
  <c r="L504" i="1"/>
  <c r="K504" i="1"/>
  <c r="J504" i="1"/>
  <c r="I504" i="1" s="1"/>
  <c r="L456" i="1"/>
  <c r="K456" i="1"/>
  <c r="J456" i="1"/>
  <c r="I456" i="1" s="1"/>
  <c r="L400" i="1"/>
  <c r="K400" i="1"/>
  <c r="J400" i="1"/>
  <c r="I400" i="1" s="1"/>
  <c r="L360" i="1"/>
  <c r="K360" i="1"/>
  <c r="J360" i="1"/>
  <c r="I360" i="1" s="1"/>
  <c r="L304" i="1"/>
  <c r="K304" i="1"/>
  <c r="J304" i="1"/>
  <c r="I304" i="1" s="1"/>
  <c r="L248" i="1"/>
  <c r="K248" i="1"/>
  <c r="J248" i="1"/>
  <c r="I248" i="1" s="1"/>
  <c r="L200" i="1"/>
  <c r="K200" i="1"/>
  <c r="J200" i="1"/>
  <c r="I200" i="1" s="1"/>
  <c r="L128" i="1"/>
  <c r="K128" i="1"/>
  <c r="J128" i="1"/>
  <c r="I128" i="1" s="1"/>
  <c r="L80" i="1"/>
  <c r="K80" i="1"/>
  <c r="J80" i="1"/>
  <c r="I80" i="1" s="1"/>
  <c r="L24" i="1"/>
  <c r="K24" i="1"/>
  <c r="J24" i="1"/>
  <c r="I24" i="1" s="1"/>
  <c r="L662" i="1"/>
  <c r="K662" i="1"/>
  <c r="L598" i="1"/>
  <c r="K598" i="1"/>
  <c r="L542" i="1"/>
  <c r="K542" i="1"/>
  <c r="L478" i="1"/>
  <c r="K478" i="1"/>
  <c r="J478" i="1"/>
  <c r="I478" i="1" s="1"/>
  <c r="L422" i="1"/>
  <c r="K422" i="1"/>
  <c r="J422" i="1"/>
  <c r="I422" i="1" s="1"/>
  <c r="L382" i="1"/>
  <c r="K382" i="1"/>
  <c r="J382" i="1"/>
  <c r="I382" i="1" s="1"/>
  <c r="L342" i="1"/>
  <c r="K342" i="1"/>
  <c r="J342" i="1"/>
  <c r="I342" i="1" s="1"/>
  <c r="L286" i="1"/>
  <c r="K286" i="1"/>
  <c r="J286" i="1"/>
  <c r="I286" i="1" s="1"/>
  <c r="L254" i="1"/>
  <c r="K254" i="1"/>
  <c r="J254" i="1"/>
  <c r="I254" i="1" s="1"/>
  <c r="L206" i="1"/>
  <c r="K206" i="1"/>
  <c r="L174" i="1"/>
  <c r="K174" i="1"/>
  <c r="J174" i="1"/>
  <c r="I174" i="1" s="1"/>
  <c r="L134" i="1"/>
  <c r="K134" i="1"/>
  <c r="L102" i="1"/>
  <c r="K102" i="1"/>
  <c r="J102" i="1"/>
  <c r="I102" i="1" s="1"/>
  <c r="L54" i="1"/>
  <c r="K54" i="1"/>
  <c r="J54" i="1"/>
  <c r="I54" i="1" s="1"/>
  <c r="L22" i="1"/>
  <c r="K22" i="1"/>
  <c r="J681" i="1"/>
  <c r="I681" i="1" s="1"/>
  <c r="J550" i="1"/>
  <c r="I550" i="1" s="1"/>
  <c r="K665" i="1"/>
  <c r="L668" i="1"/>
  <c r="K668" i="1"/>
  <c r="L652" i="1"/>
  <c r="K652" i="1"/>
  <c r="L636" i="1"/>
  <c r="K636" i="1"/>
  <c r="L628" i="1"/>
  <c r="K628" i="1"/>
  <c r="L612" i="1"/>
  <c r="K612" i="1"/>
  <c r="L604" i="1"/>
  <c r="K604" i="1"/>
  <c r="L596" i="1"/>
  <c r="K596" i="1"/>
  <c r="L588" i="1"/>
  <c r="K588" i="1"/>
  <c r="L572" i="1"/>
  <c r="K572" i="1"/>
  <c r="L564" i="1"/>
  <c r="K564" i="1"/>
  <c r="L556" i="1"/>
  <c r="K556" i="1"/>
  <c r="L532" i="1"/>
  <c r="K532" i="1"/>
  <c r="L524" i="1"/>
  <c r="K524" i="1"/>
  <c r="L508" i="1"/>
  <c r="K508" i="1"/>
  <c r="L500" i="1"/>
  <c r="K500" i="1"/>
  <c r="L492" i="1"/>
  <c r="K492" i="1"/>
  <c r="L484" i="1"/>
  <c r="K484" i="1"/>
  <c r="L476" i="1"/>
  <c r="K476" i="1"/>
  <c r="L468" i="1"/>
  <c r="K468" i="1"/>
  <c r="L460" i="1"/>
  <c r="K460" i="1"/>
  <c r="L452" i="1"/>
  <c r="K452" i="1"/>
  <c r="L444" i="1"/>
  <c r="K444" i="1"/>
  <c r="L436" i="1"/>
  <c r="K436" i="1"/>
  <c r="L428" i="1"/>
  <c r="K428" i="1"/>
  <c r="L420" i="1"/>
  <c r="K420" i="1"/>
  <c r="L404" i="1"/>
  <c r="K404" i="1"/>
  <c r="L396" i="1"/>
  <c r="K396" i="1"/>
  <c r="L388" i="1"/>
  <c r="K388" i="1"/>
  <c r="L380" i="1"/>
  <c r="K380" i="1"/>
  <c r="L372" i="1"/>
  <c r="K372" i="1"/>
  <c r="L364" i="1"/>
  <c r="K364" i="1"/>
  <c r="L340" i="1"/>
  <c r="K340" i="1"/>
  <c r="L332" i="1"/>
  <c r="K332" i="1"/>
  <c r="L324" i="1"/>
  <c r="K324" i="1"/>
  <c r="L316" i="1"/>
  <c r="K316" i="1"/>
  <c r="L308" i="1"/>
  <c r="K308" i="1"/>
  <c r="L300" i="1"/>
  <c r="K300" i="1"/>
  <c r="L292" i="1"/>
  <c r="K292" i="1"/>
  <c r="L284" i="1"/>
  <c r="K284" i="1"/>
  <c r="L276" i="1"/>
  <c r="K276" i="1"/>
  <c r="L268" i="1"/>
  <c r="K268" i="1"/>
  <c r="L260" i="1"/>
  <c r="K260" i="1"/>
  <c r="J260" i="1"/>
  <c r="I260" i="1" s="1"/>
  <c r="L252" i="1"/>
  <c r="K252" i="1"/>
  <c r="J252" i="1"/>
  <c r="I252" i="1" s="1"/>
  <c r="L244" i="1"/>
  <c r="K244" i="1"/>
  <c r="J244" i="1"/>
  <c r="I244" i="1" s="1"/>
  <c r="L236" i="1"/>
  <c r="K236" i="1"/>
  <c r="J236" i="1"/>
  <c r="I236" i="1" s="1"/>
  <c r="L228" i="1"/>
  <c r="J228" i="1"/>
  <c r="I228" i="1" s="1"/>
  <c r="L220" i="1"/>
  <c r="J220" i="1"/>
  <c r="I220" i="1" s="1"/>
  <c r="K220" i="1"/>
  <c r="L212" i="1"/>
  <c r="K212" i="1"/>
  <c r="J212" i="1"/>
  <c r="I212" i="1" s="1"/>
  <c r="L204" i="1"/>
  <c r="J204" i="1"/>
  <c r="I204" i="1" s="1"/>
  <c r="K204" i="1"/>
  <c r="L196" i="1"/>
  <c r="K196" i="1"/>
  <c r="J196" i="1"/>
  <c r="I196" i="1" s="1"/>
  <c r="L188" i="1"/>
  <c r="K188" i="1"/>
  <c r="J188" i="1"/>
  <c r="I188" i="1" s="1"/>
  <c r="L180" i="1"/>
  <c r="K180" i="1"/>
  <c r="J180" i="1"/>
  <c r="I180" i="1" s="1"/>
  <c r="L172" i="1"/>
  <c r="K172" i="1"/>
  <c r="J172" i="1"/>
  <c r="I172" i="1" s="1"/>
  <c r="L164" i="1"/>
  <c r="J164" i="1"/>
  <c r="I164" i="1" s="1"/>
  <c r="K164" i="1"/>
  <c r="L156" i="1"/>
  <c r="J156" i="1"/>
  <c r="I156" i="1" s="1"/>
  <c r="K156" i="1"/>
  <c r="L148" i="1"/>
  <c r="K148" i="1"/>
  <c r="J148" i="1"/>
  <c r="I148" i="1" s="1"/>
  <c r="L140" i="1"/>
  <c r="J140" i="1"/>
  <c r="I140" i="1" s="1"/>
  <c r="L132" i="1"/>
  <c r="K132" i="1"/>
  <c r="J132" i="1"/>
  <c r="I132" i="1" s="1"/>
  <c r="L124" i="1"/>
  <c r="K124" i="1"/>
  <c r="J124" i="1"/>
  <c r="I124" i="1" s="1"/>
  <c r="L116" i="1"/>
  <c r="K116" i="1"/>
  <c r="J116" i="1"/>
  <c r="I116" i="1" s="1"/>
  <c r="L108" i="1"/>
  <c r="K108" i="1"/>
  <c r="J108" i="1"/>
  <c r="I108" i="1" s="1"/>
  <c r="L100" i="1"/>
  <c r="J100" i="1"/>
  <c r="I100" i="1" s="1"/>
  <c r="K100" i="1"/>
  <c r="L92" i="1"/>
  <c r="J92" i="1"/>
  <c r="I92" i="1" s="1"/>
  <c r="K92" i="1"/>
  <c r="L84" i="1"/>
  <c r="K84" i="1"/>
  <c r="J84" i="1"/>
  <c r="I84" i="1" s="1"/>
  <c r="L76" i="1"/>
  <c r="J76" i="1"/>
  <c r="I76" i="1" s="1"/>
  <c r="L68" i="1"/>
  <c r="K68" i="1"/>
  <c r="J68" i="1"/>
  <c r="I68" i="1" s="1"/>
  <c r="L60" i="1"/>
  <c r="K60" i="1"/>
  <c r="J60" i="1"/>
  <c r="I60" i="1" s="1"/>
  <c r="L52" i="1"/>
  <c r="K52" i="1"/>
  <c r="J52" i="1"/>
  <c r="I52" i="1" s="1"/>
  <c r="L44" i="1"/>
  <c r="K44" i="1"/>
  <c r="J44" i="1"/>
  <c r="I44" i="1" s="1"/>
  <c r="L36" i="1"/>
  <c r="J36" i="1"/>
  <c r="I36" i="1" s="1"/>
  <c r="K36" i="1"/>
  <c r="L28" i="1"/>
  <c r="J28" i="1"/>
  <c r="I28" i="1" s="1"/>
  <c r="L20" i="1"/>
  <c r="K20" i="1"/>
  <c r="J20" i="1"/>
  <c r="I20" i="1" s="1"/>
  <c r="L12" i="1"/>
  <c r="J12" i="1"/>
  <c r="I12" i="1" s="1"/>
  <c r="K12" i="1"/>
  <c r="J678" i="1"/>
  <c r="I678" i="1" s="1"/>
  <c r="J668" i="1"/>
  <c r="I668" i="1" s="1"/>
  <c r="J657" i="1"/>
  <c r="I657" i="1" s="1"/>
  <c r="J646" i="1"/>
  <c r="I646" i="1" s="1"/>
  <c r="J636" i="1"/>
  <c r="I636" i="1" s="1"/>
  <c r="J623" i="1"/>
  <c r="I623" i="1" s="1"/>
  <c r="J612" i="1"/>
  <c r="I612" i="1" s="1"/>
  <c r="J598" i="1"/>
  <c r="I598" i="1" s="1"/>
  <c r="J573" i="1"/>
  <c r="I573" i="1" s="1"/>
  <c r="J559" i="1"/>
  <c r="I559" i="1" s="1"/>
  <c r="J548" i="1"/>
  <c r="I548" i="1" s="1"/>
  <c r="J533" i="1"/>
  <c r="I533" i="1" s="1"/>
  <c r="J492" i="1"/>
  <c r="I492" i="1" s="1"/>
  <c r="J469" i="1"/>
  <c r="I469" i="1" s="1"/>
  <c r="J428" i="1"/>
  <c r="I428" i="1" s="1"/>
  <c r="J405" i="1"/>
  <c r="I405" i="1" s="1"/>
  <c r="J364" i="1"/>
  <c r="I364" i="1" s="1"/>
  <c r="J341" i="1"/>
  <c r="I341" i="1" s="1"/>
  <c r="J300" i="1"/>
  <c r="I300" i="1" s="1"/>
  <c r="J277" i="1"/>
  <c r="I277" i="1" s="1"/>
  <c r="J255" i="1"/>
  <c r="I255" i="1" s="1"/>
  <c r="J197" i="1"/>
  <c r="I197" i="1" s="1"/>
  <c r="J167" i="1"/>
  <c r="I167" i="1" s="1"/>
  <c r="J133" i="1"/>
  <c r="I133" i="1" s="1"/>
  <c r="J95" i="1"/>
  <c r="I95" i="1" s="1"/>
  <c r="J65" i="1"/>
  <c r="I65" i="1" s="1"/>
  <c r="J22" i="1"/>
  <c r="I22" i="1" s="1"/>
  <c r="K647" i="1"/>
  <c r="K594" i="1"/>
  <c r="K413" i="1"/>
  <c r="K137" i="1"/>
  <c r="L505" i="1"/>
  <c r="J185" i="1"/>
  <c r="I185" i="1" s="1"/>
  <c r="K625" i="1"/>
  <c r="L672" i="1"/>
  <c r="K672" i="1"/>
  <c r="J672" i="1"/>
  <c r="I672" i="1" s="1"/>
  <c r="L640" i="1"/>
  <c r="K640" i="1"/>
  <c r="J640" i="1"/>
  <c r="I640" i="1" s="1"/>
  <c r="L616" i="1"/>
  <c r="K616" i="1"/>
  <c r="J616" i="1"/>
  <c r="I616" i="1" s="1"/>
  <c r="L576" i="1"/>
  <c r="K576" i="1"/>
  <c r="J576" i="1"/>
  <c r="I576" i="1" s="1"/>
  <c r="L560" i="1"/>
  <c r="K560" i="1"/>
  <c r="J560" i="1"/>
  <c r="I560" i="1" s="1"/>
  <c r="L520" i="1"/>
  <c r="K520" i="1"/>
  <c r="J520" i="1"/>
  <c r="I520" i="1" s="1"/>
  <c r="L480" i="1"/>
  <c r="K480" i="1"/>
  <c r="J480" i="1"/>
  <c r="I480" i="1" s="1"/>
  <c r="L440" i="1"/>
  <c r="K440" i="1"/>
  <c r="J440" i="1"/>
  <c r="I440" i="1" s="1"/>
  <c r="L416" i="1"/>
  <c r="K416" i="1"/>
  <c r="J416" i="1"/>
  <c r="I416" i="1" s="1"/>
  <c r="L384" i="1"/>
  <c r="K384" i="1"/>
  <c r="J384" i="1"/>
  <c r="I384" i="1" s="1"/>
  <c r="L344" i="1"/>
  <c r="K344" i="1"/>
  <c r="J344" i="1"/>
  <c r="I344" i="1" s="1"/>
  <c r="L320" i="1"/>
  <c r="K320" i="1"/>
  <c r="J320" i="1"/>
  <c r="I320" i="1" s="1"/>
  <c r="L280" i="1"/>
  <c r="K280" i="1"/>
  <c r="J280" i="1"/>
  <c r="I280" i="1" s="1"/>
  <c r="L240" i="1"/>
  <c r="K240" i="1"/>
  <c r="J240" i="1"/>
  <c r="I240" i="1" s="1"/>
  <c r="L208" i="1"/>
  <c r="K208" i="1"/>
  <c r="J208" i="1"/>
  <c r="I208" i="1" s="1"/>
  <c r="L168" i="1"/>
  <c r="K168" i="1"/>
  <c r="J168" i="1"/>
  <c r="I168" i="1" s="1"/>
  <c r="L136" i="1"/>
  <c r="K136" i="1"/>
  <c r="J136" i="1"/>
  <c r="I136" i="1" s="1"/>
  <c r="L96" i="1"/>
  <c r="K96" i="1"/>
  <c r="J96" i="1"/>
  <c r="I96" i="1" s="1"/>
  <c r="L64" i="1"/>
  <c r="K64" i="1"/>
  <c r="J64" i="1"/>
  <c r="I64" i="1" s="1"/>
  <c r="L32" i="1"/>
  <c r="K32" i="1"/>
  <c r="J32" i="1"/>
  <c r="I32" i="1" s="1"/>
  <c r="J673" i="1"/>
  <c r="I673" i="1" s="1"/>
  <c r="J641" i="1"/>
  <c r="I641" i="1" s="1"/>
  <c r="K473" i="1"/>
  <c r="L679" i="1"/>
  <c r="K679" i="1"/>
  <c r="K670" i="1"/>
  <c r="L670" i="1"/>
  <c r="L638" i="1"/>
  <c r="K638" i="1"/>
  <c r="L606" i="1"/>
  <c r="K606" i="1"/>
  <c r="L518" i="1"/>
  <c r="K518" i="1"/>
  <c r="J518" i="1"/>
  <c r="I518" i="1" s="1"/>
  <c r="L502" i="1"/>
  <c r="J502" i="1"/>
  <c r="I502" i="1" s="1"/>
  <c r="L462" i="1"/>
  <c r="J462" i="1"/>
  <c r="I462" i="1" s="1"/>
  <c r="K462" i="1"/>
  <c r="L430" i="1"/>
  <c r="K430" i="1"/>
  <c r="J430" i="1"/>
  <c r="I430" i="1" s="1"/>
  <c r="L390" i="1"/>
  <c r="K390" i="1"/>
  <c r="J390" i="1"/>
  <c r="I390" i="1" s="1"/>
  <c r="L350" i="1"/>
  <c r="K350" i="1"/>
  <c r="J350" i="1"/>
  <c r="I350" i="1" s="1"/>
  <c r="L326" i="1"/>
  <c r="K326" i="1"/>
  <c r="J326" i="1"/>
  <c r="I326" i="1" s="1"/>
  <c r="L302" i="1"/>
  <c r="K302" i="1"/>
  <c r="J302" i="1"/>
  <c r="I302" i="1" s="1"/>
  <c r="L270" i="1"/>
  <c r="K270" i="1"/>
  <c r="J270" i="1"/>
  <c r="I270" i="1" s="1"/>
  <c r="L246" i="1"/>
  <c r="K246" i="1"/>
  <c r="L214" i="1"/>
  <c r="K214" i="1"/>
  <c r="L182" i="1"/>
  <c r="K182" i="1"/>
  <c r="J182" i="1"/>
  <c r="I182" i="1" s="1"/>
  <c r="L142" i="1"/>
  <c r="K142" i="1"/>
  <c r="L94" i="1"/>
  <c r="K94" i="1"/>
  <c r="L62" i="1"/>
  <c r="K62" i="1"/>
  <c r="J62" i="1"/>
  <c r="I62" i="1" s="1"/>
  <c r="L30" i="1"/>
  <c r="K30" i="1"/>
  <c r="J30" i="1"/>
  <c r="I30" i="1" s="1"/>
  <c r="J670" i="1"/>
  <c r="I670" i="1" s="1"/>
  <c r="J614" i="1"/>
  <c r="I614" i="1" s="1"/>
  <c r="J206" i="1"/>
  <c r="I206" i="1" s="1"/>
  <c r="J70" i="1"/>
  <c r="I70" i="1" s="1"/>
  <c r="K17" i="1"/>
  <c r="L684" i="1"/>
  <c r="K684" i="1"/>
  <c r="L676" i="1"/>
  <c r="K676" i="1"/>
  <c r="L660" i="1"/>
  <c r="K660" i="1"/>
  <c r="L644" i="1"/>
  <c r="K644" i="1"/>
  <c r="L620" i="1"/>
  <c r="K620" i="1"/>
  <c r="L683" i="1"/>
  <c r="K683" i="1"/>
  <c r="J683" i="1"/>
  <c r="I683" i="1" s="1"/>
  <c r="L675" i="1"/>
  <c r="K675" i="1"/>
  <c r="J675" i="1"/>
  <c r="I675" i="1" s="1"/>
  <c r="L667" i="1"/>
  <c r="K667" i="1"/>
  <c r="J667" i="1"/>
  <c r="I667" i="1" s="1"/>
  <c r="L659" i="1"/>
  <c r="K659" i="1"/>
  <c r="J659" i="1"/>
  <c r="I659" i="1" s="1"/>
  <c r="L651" i="1"/>
  <c r="K651" i="1"/>
  <c r="J651" i="1"/>
  <c r="I651" i="1" s="1"/>
  <c r="L643" i="1"/>
  <c r="K643" i="1"/>
  <c r="J643" i="1"/>
  <c r="I643" i="1" s="1"/>
  <c r="L635" i="1"/>
  <c r="K635" i="1"/>
  <c r="J635" i="1"/>
  <c r="I635" i="1" s="1"/>
  <c r="L627" i="1"/>
  <c r="K627" i="1"/>
  <c r="J627" i="1"/>
  <c r="I627" i="1" s="1"/>
  <c r="L619" i="1"/>
  <c r="K619" i="1"/>
  <c r="J619" i="1"/>
  <c r="I619" i="1" s="1"/>
  <c r="L611" i="1"/>
  <c r="K611" i="1"/>
  <c r="J611" i="1"/>
  <c r="I611" i="1" s="1"/>
  <c r="L603" i="1"/>
  <c r="K603" i="1"/>
  <c r="J603" i="1"/>
  <c r="I603" i="1" s="1"/>
  <c r="L595" i="1"/>
  <c r="K595" i="1"/>
  <c r="J595" i="1"/>
  <c r="I595" i="1" s="1"/>
  <c r="L587" i="1"/>
  <c r="K587" i="1"/>
  <c r="J587" i="1"/>
  <c r="I587" i="1" s="1"/>
  <c r="L579" i="1"/>
  <c r="K579" i="1"/>
  <c r="J579" i="1"/>
  <c r="I579" i="1" s="1"/>
  <c r="L571" i="1"/>
  <c r="K571" i="1"/>
  <c r="J571" i="1"/>
  <c r="I571" i="1" s="1"/>
  <c r="L563" i="1"/>
  <c r="K563" i="1"/>
  <c r="J563" i="1"/>
  <c r="I563" i="1" s="1"/>
  <c r="L555" i="1"/>
  <c r="K555" i="1"/>
  <c r="J555" i="1"/>
  <c r="I555" i="1" s="1"/>
  <c r="L547" i="1"/>
  <c r="K547" i="1"/>
  <c r="J547" i="1"/>
  <c r="I547" i="1" s="1"/>
  <c r="L539" i="1"/>
  <c r="K539" i="1"/>
  <c r="J539" i="1"/>
  <c r="I539" i="1" s="1"/>
  <c r="L531" i="1"/>
  <c r="K531" i="1"/>
  <c r="J531" i="1"/>
  <c r="I531" i="1" s="1"/>
  <c r="L523" i="1"/>
  <c r="K523" i="1"/>
  <c r="J523" i="1"/>
  <c r="I523" i="1" s="1"/>
  <c r="L515" i="1"/>
  <c r="J515" i="1"/>
  <c r="I515" i="1" s="1"/>
  <c r="L507" i="1"/>
  <c r="K507" i="1"/>
  <c r="J507" i="1"/>
  <c r="I507" i="1" s="1"/>
  <c r="L499" i="1"/>
  <c r="K499" i="1"/>
  <c r="J499" i="1"/>
  <c r="I499" i="1" s="1"/>
  <c r="L491" i="1"/>
  <c r="K491" i="1"/>
  <c r="J491" i="1"/>
  <c r="I491" i="1" s="1"/>
  <c r="L483" i="1"/>
  <c r="K483" i="1"/>
  <c r="J483" i="1"/>
  <c r="I483" i="1" s="1"/>
  <c r="L475" i="1"/>
  <c r="K475" i="1"/>
  <c r="J475" i="1"/>
  <c r="I475" i="1" s="1"/>
  <c r="L467" i="1"/>
  <c r="K467" i="1"/>
  <c r="J467" i="1"/>
  <c r="I467" i="1" s="1"/>
  <c r="L459" i="1"/>
  <c r="K459" i="1"/>
  <c r="J459" i="1"/>
  <c r="I459" i="1" s="1"/>
  <c r="L451" i="1"/>
  <c r="J451" i="1"/>
  <c r="I451" i="1" s="1"/>
  <c r="L443" i="1"/>
  <c r="K443" i="1"/>
  <c r="J443" i="1"/>
  <c r="I443" i="1" s="1"/>
  <c r="L435" i="1"/>
  <c r="K435" i="1"/>
  <c r="J435" i="1"/>
  <c r="I435" i="1" s="1"/>
  <c r="L427" i="1"/>
  <c r="K427" i="1"/>
  <c r="J427" i="1"/>
  <c r="I427" i="1" s="1"/>
  <c r="L419" i="1"/>
  <c r="K419" i="1"/>
  <c r="J419" i="1"/>
  <c r="I419" i="1" s="1"/>
  <c r="L411" i="1"/>
  <c r="K411" i="1"/>
  <c r="J411" i="1"/>
  <c r="I411" i="1" s="1"/>
  <c r="L403" i="1"/>
  <c r="K403" i="1"/>
  <c r="J403" i="1"/>
  <c r="I403" i="1" s="1"/>
  <c r="L395" i="1"/>
  <c r="K395" i="1"/>
  <c r="J395" i="1"/>
  <c r="I395" i="1" s="1"/>
  <c r="L387" i="1"/>
  <c r="K387" i="1"/>
  <c r="J387" i="1"/>
  <c r="I387" i="1" s="1"/>
  <c r="L379" i="1"/>
  <c r="K379" i="1"/>
  <c r="J379" i="1"/>
  <c r="I379" i="1" s="1"/>
  <c r="L371" i="1"/>
  <c r="J371" i="1"/>
  <c r="I371" i="1" s="1"/>
  <c r="L363" i="1"/>
  <c r="K363" i="1"/>
  <c r="J363" i="1"/>
  <c r="I363" i="1" s="1"/>
  <c r="L355" i="1"/>
  <c r="K355" i="1"/>
  <c r="J355" i="1"/>
  <c r="I355" i="1" s="1"/>
  <c r="L347" i="1"/>
  <c r="K347" i="1"/>
  <c r="J347" i="1"/>
  <c r="I347" i="1" s="1"/>
  <c r="L339" i="1"/>
  <c r="K339" i="1"/>
  <c r="J339" i="1"/>
  <c r="I339" i="1" s="1"/>
  <c r="L331" i="1"/>
  <c r="K331" i="1"/>
  <c r="J331" i="1"/>
  <c r="I331" i="1" s="1"/>
  <c r="L323" i="1"/>
  <c r="K323" i="1"/>
  <c r="J323" i="1"/>
  <c r="I323" i="1" s="1"/>
  <c r="L315" i="1"/>
  <c r="K315" i="1"/>
  <c r="J315" i="1"/>
  <c r="I315" i="1" s="1"/>
  <c r="L307" i="1"/>
  <c r="J307" i="1"/>
  <c r="I307" i="1" s="1"/>
  <c r="L299" i="1"/>
  <c r="K299" i="1"/>
  <c r="J299" i="1"/>
  <c r="I299" i="1" s="1"/>
  <c r="L291" i="1"/>
  <c r="J291" i="1"/>
  <c r="I291" i="1" s="1"/>
  <c r="L283" i="1"/>
  <c r="K283" i="1"/>
  <c r="J283" i="1"/>
  <c r="I283" i="1" s="1"/>
  <c r="L275" i="1"/>
  <c r="K275" i="1"/>
  <c r="J275" i="1"/>
  <c r="I275" i="1" s="1"/>
  <c r="L267" i="1"/>
  <c r="K267" i="1"/>
  <c r="L259" i="1"/>
  <c r="K259" i="1"/>
  <c r="L251" i="1"/>
  <c r="J251" i="1"/>
  <c r="I251" i="1" s="1"/>
  <c r="L243" i="1"/>
  <c r="J243" i="1"/>
  <c r="I243" i="1" s="1"/>
  <c r="K243" i="1"/>
  <c r="L235" i="1"/>
  <c r="K235" i="1"/>
  <c r="L227" i="1"/>
  <c r="K227" i="1"/>
  <c r="L219" i="1"/>
  <c r="K219" i="1"/>
  <c r="J219" i="1"/>
  <c r="I219" i="1" s="1"/>
  <c r="L211" i="1"/>
  <c r="K211" i="1"/>
  <c r="J211" i="1"/>
  <c r="I211" i="1" s="1"/>
  <c r="L203" i="1"/>
  <c r="K203" i="1"/>
  <c r="L195" i="1"/>
  <c r="K195" i="1"/>
  <c r="L187" i="1"/>
  <c r="J187" i="1"/>
  <c r="I187" i="1" s="1"/>
  <c r="L179" i="1"/>
  <c r="J179" i="1"/>
  <c r="I179" i="1" s="1"/>
  <c r="L171" i="1"/>
  <c r="K171" i="1"/>
  <c r="L163" i="1"/>
  <c r="J163" i="1"/>
  <c r="I163" i="1" s="1"/>
  <c r="K163" i="1"/>
  <c r="L155" i="1"/>
  <c r="K155" i="1"/>
  <c r="L147" i="1"/>
  <c r="K147" i="1"/>
  <c r="L139" i="1"/>
  <c r="K139" i="1"/>
  <c r="J139" i="1"/>
  <c r="I139" i="1" s="1"/>
  <c r="L131" i="1"/>
  <c r="K131" i="1"/>
  <c r="J131" i="1"/>
  <c r="I131" i="1" s="1"/>
  <c r="L123" i="1"/>
  <c r="J123" i="1"/>
  <c r="I123" i="1" s="1"/>
  <c r="K123" i="1"/>
  <c r="L115" i="1"/>
  <c r="K115" i="1"/>
  <c r="J115" i="1"/>
  <c r="I115" i="1" s="1"/>
  <c r="L107" i="1"/>
  <c r="K107" i="1"/>
  <c r="L99" i="1"/>
  <c r="K99" i="1"/>
  <c r="J99" i="1"/>
  <c r="I99" i="1" s="1"/>
  <c r="L91" i="1"/>
  <c r="K91" i="1"/>
  <c r="L83" i="1"/>
  <c r="K83" i="1"/>
  <c r="L75" i="1"/>
  <c r="K75" i="1"/>
  <c r="J75" i="1"/>
  <c r="I75" i="1" s="1"/>
  <c r="L67" i="1"/>
  <c r="K67" i="1"/>
  <c r="J67" i="1"/>
  <c r="I67" i="1" s="1"/>
  <c r="L59" i="1"/>
  <c r="J59" i="1"/>
  <c r="I59" i="1" s="1"/>
  <c r="L51" i="1"/>
  <c r="K51" i="1"/>
  <c r="J51" i="1"/>
  <c r="I51" i="1" s="1"/>
  <c r="L43" i="1"/>
  <c r="K43" i="1"/>
  <c r="L35" i="1"/>
  <c r="K35" i="1"/>
  <c r="J35" i="1"/>
  <c r="I35" i="1" s="1"/>
  <c r="L27" i="1"/>
  <c r="K27" i="1"/>
  <c r="L19" i="1"/>
  <c r="K19" i="1"/>
  <c r="L11" i="1"/>
  <c r="K11" i="1"/>
  <c r="J11" i="1"/>
  <c r="I11" i="1" s="1"/>
  <c r="L3" i="1"/>
  <c r="K3" i="1"/>
  <c r="J677" i="1"/>
  <c r="I677" i="1" s="1"/>
  <c r="J666" i="1"/>
  <c r="I666" i="1" s="1"/>
  <c r="J655" i="1"/>
  <c r="I655" i="1" s="1"/>
  <c r="J645" i="1"/>
  <c r="I645" i="1" s="1"/>
  <c r="J597" i="1"/>
  <c r="I597" i="1" s="1"/>
  <c r="J583" i="1"/>
  <c r="I583" i="1" s="1"/>
  <c r="J572" i="1"/>
  <c r="I572" i="1" s="1"/>
  <c r="J532" i="1"/>
  <c r="I532" i="1" s="1"/>
  <c r="J509" i="1"/>
  <c r="I509" i="1" s="1"/>
  <c r="J468" i="1"/>
  <c r="I468" i="1" s="1"/>
  <c r="J445" i="1"/>
  <c r="I445" i="1" s="1"/>
  <c r="J404" i="1"/>
  <c r="I404" i="1" s="1"/>
  <c r="J381" i="1"/>
  <c r="I381" i="1" s="1"/>
  <c r="J340" i="1"/>
  <c r="I340" i="1" s="1"/>
  <c r="J317" i="1"/>
  <c r="I317" i="1" s="1"/>
  <c r="J276" i="1"/>
  <c r="I276" i="1" s="1"/>
  <c r="J225" i="1"/>
  <c r="I225" i="1" s="1"/>
  <c r="J195" i="1"/>
  <c r="I195" i="1" s="1"/>
  <c r="J159" i="1"/>
  <c r="I159" i="1" s="1"/>
  <c r="J129" i="1"/>
  <c r="I129" i="1" s="1"/>
  <c r="J94" i="1"/>
  <c r="I94" i="1" s="1"/>
  <c r="J57" i="1"/>
  <c r="I57" i="1" s="1"/>
  <c r="J19" i="1"/>
  <c r="I19" i="1" s="1"/>
  <c r="K642" i="1"/>
  <c r="K580" i="1"/>
  <c r="K502" i="1"/>
  <c r="K412" i="1"/>
  <c r="K251" i="1"/>
  <c r="K121" i="1"/>
  <c r="L449" i="1"/>
  <c r="L649" i="1"/>
  <c r="K649" i="1"/>
  <c r="L609" i="1"/>
  <c r="K609" i="1"/>
  <c r="J609" i="1"/>
  <c r="I609" i="1" s="1"/>
  <c r="L569" i="1"/>
  <c r="J569" i="1"/>
  <c r="I569" i="1" s="1"/>
  <c r="L537" i="1"/>
  <c r="K537" i="1"/>
  <c r="J537" i="1"/>
  <c r="I537" i="1" s="1"/>
  <c r="L433" i="1"/>
  <c r="K433" i="1"/>
  <c r="J433" i="1"/>
  <c r="I433" i="1" s="1"/>
  <c r="L393" i="1"/>
  <c r="K393" i="1"/>
  <c r="J393" i="1"/>
  <c r="I393" i="1" s="1"/>
  <c r="L353" i="1"/>
  <c r="K353" i="1"/>
  <c r="J353" i="1"/>
  <c r="I353" i="1" s="1"/>
  <c r="K321" i="1"/>
  <c r="J321" i="1"/>
  <c r="I321" i="1" s="1"/>
  <c r="L289" i="1"/>
  <c r="K289" i="1"/>
  <c r="J289" i="1"/>
  <c r="I289" i="1" s="1"/>
  <c r="K257" i="1"/>
  <c r="L257" i="1"/>
  <c r="J257" i="1"/>
  <c r="I257" i="1" s="1"/>
  <c r="L217" i="1"/>
  <c r="K217" i="1"/>
  <c r="K169" i="1"/>
  <c r="L169" i="1"/>
  <c r="J169" i="1"/>
  <c r="I169" i="1" s="1"/>
  <c r="L89" i="1"/>
  <c r="K89" i="1"/>
  <c r="J89" i="1"/>
  <c r="I89" i="1" s="1"/>
  <c r="L33" i="1"/>
  <c r="J33" i="1"/>
  <c r="I33" i="1" s="1"/>
  <c r="K33" i="1"/>
  <c r="K569" i="1"/>
  <c r="L600" i="1"/>
  <c r="K600" i="1"/>
  <c r="J600" i="1"/>
  <c r="I600" i="1" s="1"/>
  <c r="L544" i="1"/>
  <c r="K544" i="1"/>
  <c r="J544" i="1"/>
  <c r="I544" i="1" s="1"/>
  <c r="L496" i="1"/>
  <c r="K496" i="1"/>
  <c r="J496" i="1"/>
  <c r="I496" i="1" s="1"/>
  <c r="L448" i="1"/>
  <c r="K448" i="1"/>
  <c r="J448" i="1"/>
  <c r="I448" i="1" s="1"/>
  <c r="L408" i="1"/>
  <c r="K408" i="1"/>
  <c r="J408" i="1"/>
  <c r="I408" i="1" s="1"/>
  <c r="L368" i="1"/>
  <c r="K368" i="1"/>
  <c r="J368" i="1"/>
  <c r="I368" i="1" s="1"/>
  <c r="L312" i="1"/>
  <c r="K312" i="1"/>
  <c r="J312" i="1"/>
  <c r="I312" i="1" s="1"/>
  <c r="L272" i="1"/>
  <c r="K272" i="1"/>
  <c r="J272" i="1"/>
  <c r="I272" i="1" s="1"/>
  <c r="L232" i="1"/>
  <c r="K232" i="1"/>
  <c r="J232" i="1"/>
  <c r="I232" i="1" s="1"/>
  <c r="L192" i="1"/>
  <c r="K192" i="1"/>
  <c r="J192" i="1"/>
  <c r="I192" i="1" s="1"/>
  <c r="L152" i="1"/>
  <c r="K152" i="1"/>
  <c r="J152" i="1"/>
  <c r="I152" i="1" s="1"/>
  <c r="L112" i="1"/>
  <c r="K112" i="1"/>
  <c r="J112" i="1"/>
  <c r="I112" i="1" s="1"/>
  <c r="L72" i="1"/>
  <c r="K72" i="1"/>
  <c r="J72" i="1"/>
  <c r="I72" i="1" s="1"/>
  <c r="L40" i="1"/>
  <c r="K40" i="1"/>
  <c r="J40" i="1"/>
  <c r="I40" i="1" s="1"/>
  <c r="L654" i="1"/>
  <c r="K654" i="1"/>
  <c r="L622" i="1"/>
  <c r="K622" i="1"/>
  <c r="L582" i="1"/>
  <c r="K582" i="1"/>
  <c r="L558" i="1"/>
  <c r="K558" i="1"/>
  <c r="L526" i="1"/>
  <c r="J526" i="1"/>
  <c r="I526" i="1" s="1"/>
  <c r="K526" i="1"/>
  <c r="L494" i="1"/>
  <c r="K494" i="1"/>
  <c r="J494" i="1"/>
  <c r="I494" i="1" s="1"/>
  <c r="L454" i="1"/>
  <c r="K454" i="1"/>
  <c r="J454" i="1"/>
  <c r="I454" i="1" s="1"/>
  <c r="L406" i="1"/>
  <c r="K406" i="1"/>
  <c r="J406" i="1"/>
  <c r="I406" i="1" s="1"/>
  <c r="L358" i="1"/>
  <c r="K358" i="1"/>
  <c r="J358" i="1"/>
  <c r="I358" i="1" s="1"/>
  <c r="L318" i="1"/>
  <c r="K318" i="1"/>
  <c r="J318" i="1"/>
  <c r="I318" i="1" s="1"/>
  <c r="L278" i="1"/>
  <c r="K278" i="1"/>
  <c r="J278" i="1"/>
  <c r="I278" i="1" s="1"/>
  <c r="L230" i="1"/>
  <c r="K230" i="1"/>
  <c r="J230" i="1"/>
  <c r="I230" i="1" s="1"/>
  <c r="L198" i="1"/>
  <c r="K198" i="1"/>
  <c r="J198" i="1"/>
  <c r="I198" i="1" s="1"/>
  <c r="L166" i="1"/>
  <c r="K166" i="1"/>
  <c r="J166" i="1"/>
  <c r="I166" i="1" s="1"/>
  <c r="L126" i="1"/>
  <c r="K126" i="1"/>
  <c r="J126" i="1"/>
  <c r="I126" i="1" s="1"/>
  <c r="L110" i="1"/>
  <c r="K110" i="1"/>
  <c r="J110" i="1"/>
  <c r="I110" i="1" s="1"/>
  <c r="L78" i="1"/>
  <c r="K78" i="1"/>
  <c r="L46" i="1"/>
  <c r="K46" i="1"/>
  <c r="J46" i="1"/>
  <c r="I46" i="1" s="1"/>
  <c r="L14" i="1"/>
  <c r="K14" i="1"/>
  <c r="J14" i="1"/>
  <c r="I14" i="1" s="1"/>
  <c r="K446" i="1"/>
  <c r="L682" i="1"/>
  <c r="K682" i="1"/>
  <c r="K674" i="1"/>
  <c r="L674" i="1"/>
  <c r="L650" i="1"/>
  <c r="K650" i="1"/>
  <c r="L634" i="1"/>
  <c r="K634" i="1"/>
  <c r="L626" i="1"/>
  <c r="K626" i="1"/>
  <c r="L618" i="1"/>
  <c r="K618" i="1"/>
  <c r="L610" i="1"/>
  <c r="K610" i="1"/>
  <c r="L586" i="1"/>
  <c r="K586" i="1"/>
  <c r="L578" i="1"/>
  <c r="K578" i="1"/>
  <c r="L570" i="1"/>
  <c r="K570" i="1"/>
  <c r="L562" i="1"/>
  <c r="K562" i="1"/>
  <c r="L554" i="1"/>
  <c r="K554" i="1"/>
  <c r="L546" i="1"/>
  <c r="K546" i="1"/>
  <c r="L538" i="1"/>
  <c r="K538" i="1"/>
  <c r="L530" i="1"/>
  <c r="K530" i="1"/>
  <c r="L522" i="1"/>
  <c r="K522" i="1"/>
  <c r="L514" i="1"/>
  <c r="K514" i="1"/>
  <c r="L506" i="1"/>
  <c r="K506" i="1"/>
  <c r="L498" i="1"/>
  <c r="K498" i="1"/>
  <c r="L490" i="1"/>
  <c r="K490" i="1"/>
  <c r="L482" i="1"/>
  <c r="K482" i="1"/>
  <c r="L474" i="1"/>
  <c r="K474" i="1"/>
  <c r="L466" i="1"/>
  <c r="K466" i="1"/>
  <c r="L458" i="1"/>
  <c r="K458" i="1"/>
  <c r="L450" i="1"/>
  <c r="K450" i="1"/>
  <c r="L442" i="1"/>
  <c r="K442" i="1"/>
  <c r="L434" i="1"/>
  <c r="K434" i="1"/>
  <c r="L426" i="1"/>
  <c r="K426" i="1"/>
  <c r="L418" i="1"/>
  <c r="K418" i="1"/>
  <c r="L410" i="1"/>
  <c r="K410" i="1"/>
  <c r="L402" i="1"/>
  <c r="K402" i="1"/>
  <c r="L394" i="1"/>
  <c r="K394" i="1"/>
  <c r="L386" i="1"/>
  <c r="K386" i="1"/>
  <c r="L378" i="1"/>
  <c r="K378" i="1"/>
  <c r="L370" i="1"/>
  <c r="K370" i="1"/>
  <c r="L362" i="1"/>
  <c r="K362" i="1"/>
  <c r="L354" i="1"/>
  <c r="K354" i="1"/>
  <c r="L346" i="1"/>
  <c r="K346" i="1"/>
  <c r="L338" i="1"/>
  <c r="K338" i="1"/>
  <c r="L330" i="1"/>
  <c r="K330" i="1"/>
  <c r="L322" i="1"/>
  <c r="K322" i="1"/>
  <c r="L314" i="1"/>
  <c r="K314" i="1"/>
  <c r="L306" i="1"/>
  <c r="K306" i="1"/>
  <c r="L298" i="1"/>
  <c r="K298" i="1"/>
  <c r="L290" i="1"/>
  <c r="K290" i="1"/>
  <c r="L282" i="1"/>
  <c r="K282" i="1"/>
  <c r="L274" i="1"/>
  <c r="K274" i="1"/>
  <c r="L266" i="1"/>
  <c r="K266" i="1"/>
  <c r="J266" i="1"/>
  <c r="I266" i="1" s="1"/>
  <c r="L258" i="1"/>
  <c r="K258" i="1"/>
  <c r="L250" i="1"/>
  <c r="K250" i="1"/>
  <c r="L242" i="1"/>
  <c r="K242" i="1"/>
  <c r="J242" i="1"/>
  <c r="I242" i="1" s="1"/>
  <c r="L234" i="1"/>
  <c r="K234" i="1"/>
  <c r="J234" i="1"/>
  <c r="I234" i="1" s="1"/>
  <c r="L226" i="1"/>
  <c r="K226" i="1"/>
  <c r="J226" i="1"/>
  <c r="I226" i="1" s="1"/>
  <c r="L218" i="1"/>
  <c r="K218" i="1"/>
  <c r="L210" i="1"/>
  <c r="K210" i="1"/>
  <c r="J210" i="1"/>
  <c r="I210" i="1" s="1"/>
  <c r="L202" i="1"/>
  <c r="K202" i="1"/>
  <c r="J202" i="1"/>
  <c r="I202" i="1" s="1"/>
  <c r="L194" i="1"/>
  <c r="K194" i="1"/>
  <c r="J194" i="1"/>
  <c r="I194" i="1" s="1"/>
  <c r="L186" i="1"/>
  <c r="K186" i="1"/>
  <c r="J186" i="1"/>
  <c r="I186" i="1" s="1"/>
  <c r="L178" i="1"/>
  <c r="K178" i="1"/>
  <c r="J178" i="1"/>
  <c r="I178" i="1" s="1"/>
  <c r="L170" i="1"/>
  <c r="K170" i="1"/>
  <c r="J170" i="1"/>
  <c r="I170" i="1" s="1"/>
  <c r="L162" i="1"/>
  <c r="K162" i="1"/>
  <c r="J162" i="1"/>
  <c r="I162" i="1" s="1"/>
  <c r="L154" i="1"/>
  <c r="K154" i="1"/>
  <c r="J154" i="1"/>
  <c r="I154" i="1" s="1"/>
  <c r="L146" i="1"/>
  <c r="K146" i="1"/>
  <c r="J146" i="1"/>
  <c r="I146" i="1" s="1"/>
  <c r="L138" i="1"/>
  <c r="K138" i="1"/>
  <c r="J138" i="1"/>
  <c r="I138" i="1" s="1"/>
  <c r="L130" i="1"/>
  <c r="K130" i="1"/>
  <c r="J130" i="1"/>
  <c r="I130" i="1" s="1"/>
  <c r="L122" i="1"/>
  <c r="K122" i="1"/>
  <c r="J122" i="1"/>
  <c r="I122" i="1" s="1"/>
  <c r="L114" i="1"/>
  <c r="K114" i="1"/>
  <c r="J114" i="1"/>
  <c r="I114" i="1" s="1"/>
  <c r="L106" i="1"/>
  <c r="K106" i="1"/>
  <c r="J106" i="1"/>
  <c r="I106" i="1" s="1"/>
  <c r="L98" i="1"/>
  <c r="K98" i="1"/>
  <c r="J98" i="1"/>
  <c r="I98" i="1" s="1"/>
  <c r="L90" i="1"/>
  <c r="K90" i="1"/>
  <c r="J90" i="1"/>
  <c r="I90" i="1" s="1"/>
  <c r="L82" i="1"/>
  <c r="K82" i="1"/>
  <c r="J82" i="1"/>
  <c r="I82" i="1" s="1"/>
  <c r="L74" i="1"/>
  <c r="K74" i="1"/>
  <c r="J74" i="1"/>
  <c r="I74" i="1" s="1"/>
  <c r="L66" i="1"/>
  <c r="K66" i="1"/>
  <c r="J66" i="1"/>
  <c r="I66" i="1" s="1"/>
  <c r="L58" i="1"/>
  <c r="K58" i="1"/>
  <c r="J58" i="1"/>
  <c r="I58" i="1" s="1"/>
  <c r="L50" i="1"/>
  <c r="K50" i="1"/>
  <c r="J50" i="1"/>
  <c r="I50" i="1" s="1"/>
  <c r="L42" i="1"/>
  <c r="K42" i="1"/>
  <c r="J42" i="1"/>
  <c r="I42" i="1" s="1"/>
  <c r="L34" i="1"/>
  <c r="K34" i="1"/>
  <c r="J34" i="1"/>
  <c r="I34" i="1" s="1"/>
  <c r="L26" i="1"/>
  <c r="K26" i="1"/>
  <c r="J26" i="1"/>
  <c r="I26" i="1" s="1"/>
  <c r="L18" i="1"/>
  <c r="K18" i="1"/>
  <c r="J18" i="1"/>
  <c r="I18" i="1" s="1"/>
  <c r="L10" i="1"/>
  <c r="K10" i="1"/>
  <c r="J10" i="1"/>
  <c r="I10" i="1" s="1"/>
  <c r="L2" i="1"/>
  <c r="K2" i="1"/>
  <c r="J2" i="1"/>
  <c r="I2" i="1" s="1"/>
  <c r="J676" i="1"/>
  <c r="I676" i="1" s="1"/>
  <c r="J665" i="1"/>
  <c r="I665" i="1" s="1"/>
  <c r="J654" i="1"/>
  <c r="I654" i="1" s="1"/>
  <c r="J644" i="1"/>
  <c r="I644" i="1" s="1"/>
  <c r="J633" i="1"/>
  <c r="I633" i="1" s="1"/>
  <c r="J621" i="1"/>
  <c r="I621" i="1" s="1"/>
  <c r="J607" i="1"/>
  <c r="I607" i="1" s="1"/>
  <c r="J596" i="1"/>
  <c r="I596" i="1" s="1"/>
  <c r="J582" i="1"/>
  <c r="I582" i="1" s="1"/>
  <c r="J570" i="1"/>
  <c r="I570" i="1" s="1"/>
  <c r="J557" i="1"/>
  <c r="I557" i="1" s="1"/>
  <c r="J543" i="1"/>
  <c r="I543" i="1" s="1"/>
  <c r="J530" i="1"/>
  <c r="I530" i="1" s="1"/>
  <c r="J508" i="1"/>
  <c r="I508" i="1" s="1"/>
  <c r="J485" i="1"/>
  <c r="I485" i="1" s="1"/>
  <c r="J466" i="1"/>
  <c r="I466" i="1" s="1"/>
  <c r="J444" i="1"/>
  <c r="I444" i="1" s="1"/>
  <c r="J421" i="1"/>
  <c r="I421" i="1" s="1"/>
  <c r="J402" i="1"/>
  <c r="I402" i="1" s="1"/>
  <c r="J380" i="1"/>
  <c r="I380" i="1" s="1"/>
  <c r="J357" i="1"/>
  <c r="I357" i="1" s="1"/>
  <c r="J338" i="1"/>
  <c r="I338" i="1" s="1"/>
  <c r="J316" i="1"/>
  <c r="I316" i="1" s="1"/>
  <c r="J293" i="1"/>
  <c r="I293" i="1" s="1"/>
  <c r="J274" i="1"/>
  <c r="I274" i="1" s="1"/>
  <c r="J249" i="1"/>
  <c r="I249" i="1" s="1"/>
  <c r="J218" i="1"/>
  <c r="I218" i="1" s="1"/>
  <c r="J193" i="1"/>
  <c r="I193" i="1" s="1"/>
  <c r="J158" i="1"/>
  <c r="I158" i="1" s="1"/>
  <c r="J121" i="1"/>
  <c r="I121" i="1" s="1"/>
  <c r="J91" i="1"/>
  <c r="I91" i="1" s="1"/>
  <c r="J55" i="1"/>
  <c r="I55" i="1" s="1"/>
  <c r="J5" i="1"/>
  <c r="I5" i="1" s="1"/>
  <c r="K639" i="1"/>
  <c r="K573" i="1"/>
  <c r="K485" i="1"/>
  <c r="K401" i="1"/>
  <c r="K249" i="1"/>
  <c r="K81" i="1"/>
  <c r="L321" i="1"/>
  <c r="L7" i="1"/>
  <c r="K7" i="1"/>
  <c r="J7" i="1"/>
  <c r="I7" i="1" s="1"/>
  <c r="L4" i="1"/>
  <c r="K4" i="1"/>
  <c r="J4" i="1"/>
  <c r="I4" i="1" s="1"/>
  <c r="L19" i="5" l="1"/>
  <c r="K686" i="1"/>
  <c r="J686" i="1"/>
  <c r="L686" i="1"/>
  <c r="E19" i="5"/>
  <c r="M3" i="5"/>
  <c r="L12" i="5"/>
  <c r="M7" i="5"/>
  <c r="E7" i="5"/>
  <c r="E15" i="5"/>
  <c r="M12" i="5"/>
  <c r="E2" i="5"/>
  <c r="L7" i="5"/>
  <c r="M14" i="5"/>
  <c r="L13" i="5"/>
  <c r="M5" i="5"/>
  <c r="L4" i="5"/>
  <c r="L15" i="5"/>
  <c r="L9" i="5"/>
  <c r="E5" i="5"/>
  <c r="L17" i="5"/>
  <c r="E16" i="5"/>
  <c r="M11" i="5"/>
  <c r="L16" i="5"/>
  <c r="L2" i="5"/>
  <c r="M19" i="5"/>
  <c r="E13" i="5"/>
  <c r="L14" i="5"/>
  <c r="M16" i="5"/>
  <c r="L10" i="5"/>
  <c r="E10" i="5"/>
  <c r="E18" i="5"/>
  <c r="M10" i="5"/>
  <c r="M18" i="5"/>
  <c r="D17" i="5"/>
  <c r="M17" i="5"/>
  <c r="L18" i="5"/>
  <c r="M8" i="5"/>
  <c r="E12" i="5"/>
  <c r="C7" i="5"/>
  <c r="D9" i="5"/>
  <c r="C5" i="5"/>
  <c r="C19" i="5"/>
  <c r="D4" i="5"/>
  <c r="D15" i="5"/>
  <c r="D3" i="5"/>
  <c r="D19" i="5"/>
  <c r="D6" i="5"/>
  <c r="D10" i="5"/>
  <c r="D11" i="5"/>
  <c r="C16" i="5"/>
  <c r="C14" i="5"/>
  <c r="D16" i="5"/>
  <c r="D5" i="5"/>
  <c r="D2" i="5"/>
  <c r="C17" i="5"/>
  <c r="D12" i="5"/>
  <c r="D18" i="5"/>
  <c r="C6" i="5"/>
  <c r="C9" i="5"/>
  <c r="C8" i="5"/>
  <c r="C11" i="5"/>
  <c r="C2" i="5"/>
  <c r="C10" i="5"/>
  <c r="D13" i="5"/>
  <c r="D14" i="5"/>
  <c r="D8" i="5"/>
  <c r="D7" i="5"/>
  <c r="C18" i="5"/>
  <c r="C15" i="5"/>
  <c r="C13" i="5"/>
  <c r="C12" i="5"/>
  <c r="C3" i="5"/>
  <c r="C4" i="5"/>
  <c r="I25" i="1"/>
  <c r="I686" i="1" s="1"/>
  <c r="CL230" i="1"/>
  <c r="CK230" i="1"/>
  <c r="CJ230" i="1"/>
  <c r="CI230" i="1"/>
  <c r="CH230" i="1"/>
  <c r="CG230" i="1"/>
  <c r="CF230" i="1"/>
  <c r="CE230" i="1"/>
  <c r="CD230" i="1"/>
  <c r="CC230" i="1"/>
  <c r="CB230" i="1"/>
  <c r="BY230" i="1"/>
  <c r="BZ230" i="1"/>
  <c r="CA230" i="1"/>
  <c r="CL21" i="1"/>
  <c r="CK21" i="1"/>
  <c r="CJ21" i="1"/>
  <c r="CI21" i="1"/>
  <c r="CH21" i="1"/>
  <c r="CF21" i="1"/>
  <c r="CG21" i="1"/>
  <c r="CD21" i="1"/>
  <c r="CE21" i="1"/>
  <c r="CC21" i="1"/>
  <c r="CB21" i="1"/>
  <c r="BZ21" i="1"/>
  <c r="CA21" i="1"/>
  <c r="BY21" i="1"/>
  <c r="CL184" i="1"/>
  <c r="CK184" i="1"/>
  <c r="CJ184" i="1"/>
  <c r="CI184" i="1"/>
  <c r="CH184" i="1"/>
  <c r="CG184" i="1"/>
  <c r="CF184" i="1"/>
  <c r="CE184" i="1"/>
  <c r="CD184" i="1"/>
  <c r="CC184" i="1"/>
  <c r="CA184" i="1"/>
  <c r="CB184" i="1"/>
  <c r="BY184" i="1"/>
  <c r="BZ184" i="1"/>
  <c r="CL577" i="1"/>
  <c r="CK577" i="1"/>
  <c r="CJ577" i="1"/>
  <c r="CI577" i="1"/>
  <c r="CG577" i="1"/>
  <c r="CH577" i="1"/>
  <c r="CE577" i="1"/>
  <c r="CF577" i="1"/>
  <c r="CC577" i="1"/>
  <c r="CB577" i="1"/>
  <c r="CA577" i="1"/>
  <c r="CD577" i="1"/>
  <c r="BZ577" i="1"/>
  <c r="BY577" i="1"/>
  <c r="CL570" i="1"/>
  <c r="CK570" i="1"/>
  <c r="CJ570" i="1"/>
  <c r="CI570" i="1"/>
  <c r="CG570" i="1"/>
  <c r="CH570" i="1"/>
  <c r="CF570" i="1"/>
  <c r="CE570" i="1"/>
  <c r="CC570" i="1"/>
  <c r="CD570" i="1"/>
  <c r="CA570" i="1"/>
  <c r="CB570" i="1"/>
  <c r="BZ570" i="1"/>
  <c r="BY570" i="1"/>
  <c r="CK35" i="1"/>
  <c r="CL35" i="1"/>
  <c r="CJ35" i="1"/>
  <c r="CI35" i="1"/>
  <c r="CH35" i="1"/>
  <c r="CG35" i="1"/>
  <c r="CF35" i="1"/>
  <c r="CC35" i="1"/>
  <c r="CD35" i="1"/>
  <c r="CE35" i="1"/>
  <c r="CB35" i="1"/>
  <c r="CA35" i="1"/>
  <c r="BZ35" i="1"/>
  <c r="BY35" i="1"/>
  <c r="CK563" i="1"/>
  <c r="CL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CL300" i="1"/>
  <c r="CK300" i="1"/>
  <c r="CJ300" i="1"/>
  <c r="CI300" i="1"/>
  <c r="CG300" i="1"/>
  <c r="CH300" i="1"/>
  <c r="CF300" i="1"/>
  <c r="CD300" i="1"/>
  <c r="CC300" i="1"/>
  <c r="CE300" i="1"/>
  <c r="CB300" i="1"/>
  <c r="CA300" i="1"/>
  <c r="BZ300" i="1"/>
  <c r="BY300" i="1"/>
  <c r="CL165" i="1"/>
  <c r="CK165" i="1"/>
  <c r="CI165" i="1"/>
  <c r="CJ165" i="1"/>
  <c r="CH165" i="1"/>
  <c r="CF165" i="1"/>
  <c r="CG165" i="1"/>
  <c r="CD165" i="1"/>
  <c r="CE165" i="1"/>
  <c r="CC165" i="1"/>
  <c r="CB165" i="1"/>
  <c r="CA165" i="1"/>
  <c r="BZ165" i="1"/>
  <c r="BY165" i="1"/>
  <c r="CL264" i="1"/>
  <c r="CK264" i="1"/>
  <c r="CJ264" i="1"/>
  <c r="CI264" i="1"/>
  <c r="CH264" i="1"/>
  <c r="CG264" i="1"/>
  <c r="CE264" i="1"/>
  <c r="CF264" i="1"/>
  <c r="CD264" i="1"/>
  <c r="CB264" i="1"/>
  <c r="CA264" i="1"/>
  <c r="CC264" i="1"/>
  <c r="BY264" i="1"/>
  <c r="BZ264" i="1"/>
  <c r="CK417" i="1"/>
  <c r="CL417" i="1"/>
  <c r="CJ417" i="1"/>
  <c r="CI417" i="1"/>
  <c r="CG417" i="1"/>
  <c r="CH417" i="1"/>
  <c r="CF417" i="1"/>
  <c r="CE417" i="1"/>
  <c r="CD417" i="1"/>
  <c r="CC417" i="1"/>
  <c r="CB417" i="1"/>
  <c r="CA417" i="1"/>
  <c r="BZ417" i="1"/>
  <c r="BY417" i="1"/>
  <c r="CL489" i="1"/>
  <c r="CK489" i="1"/>
  <c r="CJ489" i="1"/>
  <c r="CI489" i="1"/>
  <c r="CH489" i="1"/>
  <c r="CG489" i="1"/>
  <c r="CF489" i="1"/>
  <c r="CE489" i="1"/>
  <c r="CC489" i="1"/>
  <c r="CD489" i="1"/>
  <c r="CB489" i="1"/>
  <c r="CA489" i="1"/>
  <c r="BZ489" i="1"/>
  <c r="BY489" i="1"/>
  <c r="CL511" i="1"/>
  <c r="CJ511" i="1"/>
  <c r="CK511" i="1"/>
  <c r="CI511" i="1"/>
  <c r="CH511" i="1"/>
  <c r="CF511" i="1"/>
  <c r="CE511" i="1"/>
  <c r="CD511" i="1"/>
  <c r="CG511" i="1"/>
  <c r="CB511" i="1"/>
  <c r="CC511" i="1"/>
  <c r="CA511" i="1"/>
  <c r="BZ511" i="1"/>
  <c r="BY511" i="1"/>
  <c r="CL281" i="1"/>
  <c r="CK281" i="1"/>
  <c r="CJ281" i="1"/>
  <c r="CI281" i="1"/>
  <c r="CH281" i="1"/>
  <c r="CG281" i="1"/>
  <c r="CF281" i="1"/>
  <c r="CE281" i="1"/>
  <c r="CD281" i="1"/>
  <c r="CB281" i="1"/>
  <c r="CA281" i="1"/>
  <c r="CC281" i="1"/>
  <c r="BY281" i="1"/>
  <c r="BZ281" i="1"/>
  <c r="CL582" i="1"/>
  <c r="CK582" i="1"/>
  <c r="CJ582" i="1"/>
  <c r="CI582" i="1"/>
  <c r="CH582" i="1"/>
  <c r="CG582" i="1"/>
  <c r="CD582" i="1"/>
  <c r="CE582" i="1"/>
  <c r="CF582" i="1"/>
  <c r="CB582" i="1"/>
  <c r="BY582" i="1"/>
  <c r="BZ582" i="1"/>
  <c r="CC582" i="1"/>
  <c r="CA582" i="1"/>
  <c r="CL152" i="1"/>
  <c r="CK152" i="1"/>
  <c r="CJ152" i="1"/>
  <c r="CI152" i="1"/>
  <c r="CH152" i="1"/>
  <c r="CG152" i="1"/>
  <c r="CF152" i="1"/>
  <c r="CE152" i="1"/>
  <c r="CD152" i="1"/>
  <c r="CC152" i="1"/>
  <c r="CA152" i="1"/>
  <c r="BY152" i="1"/>
  <c r="BZ152" i="1"/>
  <c r="CB152" i="1"/>
  <c r="CL393" i="1"/>
  <c r="CK393" i="1"/>
  <c r="CJ393" i="1"/>
  <c r="CH393" i="1"/>
  <c r="CG393" i="1"/>
  <c r="CF393" i="1"/>
  <c r="CI393" i="1"/>
  <c r="CE393" i="1"/>
  <c r="CD393" i="1"/>
  <c r="CC393" i="1"/>
  <c r="CB393" i="1"/>
  <c r="CA393" i="1"/>
  <c r="BY393" i="1"/>
  <c r="BZ393" i="1"/>
  <c r="CL11" i="1"/>
  <c r="CK11" i="1"/>
  <c r="CJ11" i="1"/>
  <c r="CI11" i="1"/>
  <c r="CG11" i="1"/>
  <c r="CF11" i="1"/>
  <c r="CH11" i="1"/>
  <c r="CE11" i="1"/>
  <c r="CD11" i="1"/>
  <c r="CC11" i="1"/>
  <c r="CB11" i="1"/>
  <c r="CA11" i="1"/>
  <c r="BZ11" i="1"/>
  <c r="BY11" i="1"/>
  <c r="CL299" i="1"/>
  <c r="CK299" i="1"/>
  <c r="CJ299" i="1"/>
  <c r="CI299" i="1"/>
  <c r="CG299" i="1"/>
  <c r="CH299" i="1"/>
  <c r="CF299" i="1"/>
  <c r="CE299" i="1"/>
  <c r="CD299" i="1"/>
  <c r="CC299" i="1"/>
  <c r="CA299" i="1"/>
  <c r="BZ299" i="1"/>
  <c r="CB299" i="1"/>
  <c r="BY299" i="1"/>
  <c r="CL587" i="1"/>
  <c r="CK587" i="1"/>
  <c r="CJ587" i="1"/>
  <c r="CI587" i="1"/>
  <c r="CG587" i="1"/>
  <c r="CF587" i="1"/>
  <c r="CH587" i="1"/>
  <c r="CE587" i="1"/>
  <c r="CD587" i="1"/>
  <c r="CC587" i="1"/>
  <c r="CB587" i="1"/>
  <c r="CA587" i="1"/>
  <c r="BZ587" i="1"/>
  <c r="BY587" i="1"/>
  <c r="CL559" i="1"/>
  <c r="CK559" i="1"/>
  <c r="CJ559" i="1"/>
  <c r="CI559" i="1"/>
  <c r="CH559" i="1"/>
  <c r="CG559" i="1"/>
  <c r="CF559" i="1"/>
  <c r="CE559" i="1"/>
  <c r="CD559" i="1"/>
  <c r="CB559" i="1"/>
  <c r="CA559" i="1"/>
  <c r="CC559" i="1"/>
  <c r="BY559" i="1"/>
  <c r="BZ559" i="1"/>
  <c r="CK252" i="1"/>
  <c r="CL252" i="1"/>
  <c r="CI252" i="1"/>
  <c r="CJ252" i="1"/>
  <c r="CF252" i="1"/>
  <c r="CH252" i="1"/>
  <c r="CG252" i="1"/>
  <c r="CD252" i="1"/>
  <c r="CE252" i="1"/>
  <c r="CC252" i="1"/>
  <c r="CB252" i="1"/>
  <c r="CA252" i="1"/>
  <c r="BZ252" i="1"/>
  <c r="BY252" i="1"/>
  <c r="CL376" i="1"/>
  <c r="CK376" i="1"/>
  <c r="CJ376" i="1"/>
  <c r="CI376" i="1"/>
  <c r="CH376" i="1"/>
  <c r="CG376" i="1"/>
  <c r="CE376" i="1"/>
  <c r="CF376" i="1"/>
  <c r="CC376" i="1"/>
  <c r="CD376" i="1"/>
  <c r="CA376" i="1"/>
  <c r="CB376" i="1"/>
  <c r="BY376" i="1"/>
  <c r="BZ376" i="1"/>
  <c r="CL111" i="1"/>
  <c r="CK111" i="1"/>
  <c r="CJ111" i="1"/>
  <c r="CI111" i="1"/>
  <c r="CH111" i="1"/>
  <c r="CF111" i="1"/>
  <c r="CG111" i="1"/>
  <c r="CD111" i="1"/>
  <c r="CE111" i="1"/>
  <c r="CC111" i="1"/>
  <c r="CB111" i="1"/>
  <c r="BZ111" i="1"/>
  <c r="CA111" i="1"/>
  <c r="BY111" i="1"/>
  <c r="CL279" i="1"/>
  <c r="CK279" i="1"/>
  <c r="CJ279" i="1"/>
  <c r="CH279" i="1"/>
  <c r="CI279" i="1"/>
  <c r="CF279" i="1"/>
  <c r="CG279" i="1"/>
  <c r="CD279" i="1"/>
  <c r="CC279" i="1"/>
  <c r="CB279" i="1"/>
  <c r="CE279" i="1"/>
  <c r="BY279" i="1"/>
  <c r="CA279" i="1"/>
  <c r="BZ279" i="1"/>
  <c r="CL55" i="1"/>
  <c r="CK55" i="1"/>
  <c r="CJ55" i="1"/>
  <c r="CH55" i="1"/>
  <c r="CI55" i="1"/>
  <c r="CF55" i="1"/>
  <c r="CE55" i="1"/>
  <c r="CG55" i="1"/>
  <c r="CD55" i="1"/>
  <c r="CC55" i="1"/>
  <c r="CB55" i="1"/>
  <c r="BZ55" i="1"/>
  <c r="BY55" i="1"/>
  <c r="CA55" i="1"/>
  <c r="CL293" i="1"/>
  <c r="CK293" i="1"/>
  <c r="CJ293" i="1"/>
  <c r="CI293" i="1"/>
  <c r="CH293" i="1"/>
  <c r="CG293" i="1"/>
  <c r="CF293" i="1"/>
  <c r="CD293" i="1"/>
  <c r="CE293" i="1"/>
  <c r="CC293" i="1"/>
  <c r="CB293" i="1"/>
  <c r="CA293" i="1"/>
  <c r="BZ293" i="1"/>
  <c r="BY293" i="1"/>
  <c r="CL466" i="1"/>
  <c r="CK466" i="1"/>
  <c r="CJ466" i="1"/>
  <c r="CI466" i="1"/>
  <c r="CH466" i="1"/>
  <c r="CG466" i="1"/>
  <c r="CF466" i="1"/>
  <c r="CE466" i="1"/>
  <c r="CD466" i="1"/>
  <c r="CC466" i="1"/>
  <c r="CA466" i="1"/>
  <c r="CB466" i="1"/>
  <c r="BZ466" i="1"/>
  <c r="BY466" i="1"/>
  <c r="CL596" i="1"/>
  <c r="CK596" i="1"/>
  <c r="CJ596" i="1"/>
  <c r="CI596" i="1"/>
  <c r="CH596" i="1"/>
  <c r="CG596" i="1"/>
  <c r="CF596" i="1"/>
  <c r="CD596" i="1"/>
  <c r="CE596" i="1"/>
  <c r="CB596" i="1"/>
  <c r="CC596" i="1"/>
  <c r="CA596" i="1"/>
  <c r="BZ596" i="1"/>
  <c r="BY596" i="1"/>
  <c r="CL2" i="1"/>
  <c r="CK2" i="1"/>
  <c r="CJ2" i="1"/>
  <c r="CI2" i="1"/>
  <c r="CH2" i="1"/>
  <c r="CG2" i="1"/>
  <c r="CF2" i="1"/>
  <c r="CC2" i="1"/>
  <c r="CD2" i="1"/>
  <c r="CE2" i="1"/>
  <c r="CA2" i="1"/>
  <c r="CB2" i="1"/>
  <c r="BZ2" i="1"/>
  <c r="BY2" i="1"/>
  <c r="BX2" i="1"/>
  <c r="CL66" i="1"/>
  <c r="CK66" i="1"/>
  <c r="CJ66" i="1"/>
  <c r="CI66" i="1"/>
  <c r="CH66" i="1"/>
  <c r="CG66" i="1"/>
  <c r="CF66" i="1"/>
  <c r="CE66" i="1"/>
  <c r="CC66" i="1"/>
  <c r="CD66" i="1"/>
  <c r="CA66" i="1"/>
  <c r="BZ66" i="1"/>
  <c r="BY66" i="1"/>
  <c r="CB66" i="1"/>
  <c r="CL130" i="1"/>
  <c r="CK130" i="1"/>
  <c r="CJ130" i="1"/>
  <c r="CI130" i="1"/>
  <c r="CH130" i="1"/>
  <c r="CG130" i="1"/>
  <c r="CF130" i="1"/>
  <c r="CE130" i="1"/>
  <c r="CC130" i="1"/>
  <c r="CD130" i="1"/>
  <c r="CA130" i="1"/>
  <c r="CB130" i="1"/>
  <c r="BY130" i="1"/>
  <c r="BZ130" i="1"/>
  <c r="CL194" i="1"/>
  <c r="CK194" i="1"/>
  <c r="CJ194" i="1"/>
  <c r="CI194" i="1"/>
  <c r="CH194" i="1"/>
  <c r="CG194" i="1"/>
  <c r="CF194" i="1"/>
  <c r="CE194" i="1"/>
  <c r="CC194" i="1"/>
  <c r="CD194" i="1"/>
  <c r="CA194" i="1"/>
  <c r="BZ194" i="1"/>
  <c r="CB194" i="1"/>
  <c r="BY194" i="1"/>
  <c r="CL266" i="1"/>
  <c r="CJ266" i="1"/>
  <c r="CK266" i="1"/>
  <c r="CI266" i="1"/>
  <c r="CH266" i="1"/>
  <c r="CG266" i="1"/>
  <c r="CF266" i="1"/>
  <c r="CE266" i="1"/>
  <c r="CC266" i="1"/>
  <c r="CB266" i="1"/>
  <c r="CD266" i="1"/>
  <c r="CA266" i="1"/>
  <c r="BZ266" i="1"/>
  <c r="BY266" i="1"/>
  <c r="CL166" i="1"/>
  <c r="CK166" i="1"/>
  <c r="CJ166" i="1"/>
  <c r="CI166" i="1"/>
  <c r="CH166" i="1"/>
  <c r="CG166" i="1"/>
  <c r="CF166" i="1"/>
  <c r="CE166" i="1"/>
  <c r="CD166" i="1"/>
  <c r="CC166" i="1"/>
  <c r="CB166" i="1"/>
  <c r="BY166" i="1"/>
  <c r="BZ166" i="1"/>
  <c r="CA166" i="1"/>
  <c r="CL494" i="1"/>
  <c r="CK494" i="1"/>
  <c r="CJ494" i="1"/>
  <c r="CI494" i="1"/>
  <c r="CH494" i="1"/>
  <c r="CG494" i="1"/>
  <c r="CF494" i="1"/>
  <c r="CD494" i="1"/>
  <c r="CB494" i="1"/>
  <c r="CE494" i="1"/>
  <c r="CA494" i="1"/>
  <c r="BY494" i="1"/>
  <c r="BZ494" i="1"/>
  <c r="CC494" i="1"/>
  <c r="CL272" i="1"/>
  <c r="CK272" i="1"/>
  <c r="CJ272" i="1"/>
  <c r="CI272" i="1"/>
  <c r="CH272" i="1"/>
  <c r="CG272" i="1"/>
  <c r="CF272" i="1"/>
  <c r="CE272" i="1"/>
  <c r="CD272" i="1"/>
  <c r="CC272" i="1"/>
  <c r="CA272" i="1"/>
  <c r="CB272" i="1"/>
  <c r="BY272" i="1"/>
  <c r="BZ272" i="1"/>
  <c r="CL569" i="1"/>
  <c r="CK569" i="1"/>
  <c r="CJ569" i="1"/>
  <c r="CI569" i="1"/>
  <c r="CG569" i="1"/>
  <c r="CH569" i="1"/>
  <c r="CE569" i="1"/>
  <c r="CF569" i="1"/>
  <c r="CD569" i="1"/>
  <c r="CC569" i="1"/>
  <c r="CB569" i="1"/>
  <c r="CA569" i="1"/>
  <c r="BZ569" i="1"/>
  <c r="BY569" i="1"/>
  <c r="CL94" i="1"/>
  <c r="CK94" i="1"/>
  <c r="CJ94" i="1"/>
  <c r="CH94" i="1"/>
  <c r="CI94" i="1"/>
  <c r="CG94" i="1"/>
  <c r="CF94" i="1"/>
  <c r="CD94" i="1"/>
  <c r="CE94" i="1"/>
  <c r="CB94" i="1"/>
  <c r="CC94" i="1"/>
  <c r="BZ94" i="1"/>
  <c r="BY94" i="1"/>
  <c r="CA94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CL597" i="1"/>
  <c r="CK597" i="1"/>
  <c r="CJ597" i="1"/>
  <c r="CI597" i="1"/>
  <c r="CH597" i="1"/>
  <c r="CG597" i="1"/>
  <c r="CF597" i="1"/>
  <c r="CE597" i="1"/>
  <c r="CD597" i="1"/>
  <c r="CB597" i="1"/>
  <c r="CC597" i="1"/>
  <c r="CA597" i="1"/>
  <c r="BZ597" i="1"/>
  <c r="BY597" i="1"/>
  <c r="CL67" i="1"/>
  <c r="CK67" i="1"/>
  <c r="CJ67" i="1"/>
  <c r="CI67" i="1"/>
  <c r="CH67" i="1"/>
  <c r="CG67" i="1"/>
  <c r="CF67" i="1"/>
  <c r="CE67" i="1"/>
  <c r="CC67" i="1"/>
  <c r="CD67" i="1"/>
  <c r="CA67" i="1"/>
  <c r="BZ67" i="1"/>
  <c r="CB67" i="1"/>
  <c r="BY67" i="1"/>
  <c r="CK139" i="1"/>
  <c r="CL139" i="1"/>
  <c r="CJ139" i="1"/>
  <c r="CI139" i="1"/>
  <c r="CG139" i="1"/>
  <c r="CH139" i="1"/>
  <c r="CF139" i="1"/>
  <c r="CE139" i="1"/>
  <c r="CD139" i="1"/>
  <c r="CC139" i="1"/>
  <c r="CB139" i="1"/>
  <c r="CA139" i="1"/>
  <c r="BZ139" i="1"/>
  <c r="BY139" i="1"/>
  <c r="CK163" i="1"/>
  <c r="CL163" i="1"/>
  <c r="CJ163" i="1"/>
  <c r="CI163" i="1"/>
  <c r="CH163" i="1"/>
  <c r="CG163" i="1"/>
  <c r="CE163" i="1"/>
  <c r="CC163" i="1"/>
  <c r="CD163" i="1"/>
  <c r="CF163" i="1"/>
  <c r="CB163" i="1"/>
  <c r="CA163" i="1"/>
  <c r="BZ163" i="1"/>
  <c r="BY163" i="1"/>
  <c r="CL347" i="1"/>
  <c r="CK347" i="1"/>
  <c r="CJ347" i="1"/>
  <c r="CI347" i="1"/>
  <c r="CH347" i="1"/>
  <c r="CG347" i="1"/>
  <c r="CF347" i="1"/>
  <c r="CE347" i="1"/>
  <c r="CC347" i="1"/>
  <c r="CB347" i="1"/>
  <c r="CD347" i="1"/>
  <c r="CA347" i="1"/>
  <c r="BZ347" i="1"/>
  <c r="BY347" i="1"/>
  <c r="CK435" i="1"/>
  <c r="CJ435" i="1"/>
  <c r="CL435" i="1"/>
  <c r="CI435" i="1"/>
  <c r="CG435" i="1"/>
  <c r="CH435" i="1"/>
  <c r="CF435" i="1"/>
  <c r="CE435" i="1"/>
  <c r="CD435" i="1"/>
  <c r="CC435" i="1"/>
  <c r="CB435" i="1"/>
  <c r="CA435" i="1"/>
  <c r="BZ435" i="1"/>
  <c r="BY435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CK547" i="1"/>
  <c r="CL547" i="1"/>
  <c r="CJ547" i="1"/>
  <c r="CI547" i="1"/>
  <c r="CG547" i="1"/>
  <c r="CH547" i="1"/>
  <c r="CF547" i="1"/>
  <c r="CE547" i="1"/>
  <c r="CD547" i="1"/>
  <c r="CC547" i="1"/>
  <c r="CB547" i="1"/>
  <c r="CA547" i="1"/>
  <c r="BZ547" i="1"/>
  <c r="BY547" i="1"/>
  <c r="CK611" i="1"/>
  <c r="CJ611" i="1"/>
  <c r="CL611" i="1"/>
  <c r="CI611" i="1"/>
  <c r="CG611" i="1"/>
  <c r="CF611" i="1"/>
  <c r="CH611" i="1"/>
  <c r="CE611" i="1"/>
  <c r="CD611" i="1"/>
  <c r="CC611" i="1"/>
  <c r="CB611" i="1"/>
  <c r="CA611" i="1"/>
  <c r="BZ611" i="1"/>
  <c r="BY611" i="1"/>
  <c r="CK675" i="1"/>
  <c r="CL675" i="1"/>
  <c r="CI675" i="1"/>
  <c r="CJ675" i="1"/>
  <c r="CG675" i="1"/>
  <c r="CF675" i="1"/>
  <c r="CH675" i="1"/>
  <c r="CE675" i="1"/>
  <c r="CD675" i="1"/>
  <c r="CC675" i="1"/>
  <c r="CA675" i="1"/>
  <c r="BZ675" i="1"/>
  <c r="CB675" i="1"/>
  <c r="BY675" i="1"/>
  <c r="CL62" i="1"/>
  <c r="CJ62" i="1"/>
  <c r="CK62" i="1"/>
  <c r="CH62" i="1"/>
  <c r="CF62" i="1"/>
  <c r="CI62" i="1"/>
  <c r="CG62" i="1"/>
  <c r="CE62" i="1"/>
  <c r="CD62" i="1"/>
  <c r="CB62" i="1"/>
  <c r="CC62" i="1"/>
  <c r="BZ62" i="1"/>
  <c r="BY62" i="1"/>
  <c r="CA62" i="1"/>
  <c r="CL280" i="1"/>
  <c r="CK280" i="1"/>
  <c r="CJ280" i="1"/>
  <c r="CI280" i="1"/>
  <c r="CH280" i="1"/>
  <c r="CG280" i="1"/>
  <c r="CE280" i="1"/>
  <c r="CD280" i="1"/>
  <c r="CF280" i="1"/>
  <c r="CC280" i="1"/>
  <c r="CA280" i="1"/>
  <c r="CB280" i="1"/>
  <c r="BY280" i="1"/>
  <c r="BZ280" i="1"/>
  <c r="CL560" i="1"/>
  <c r="CK560" i="1"/>
  <c r="CJ560" i="1"/>
  <c r="CI560" i="1"/>
  <c r="CG560" i="1"/>
  <c r="CH560" i="1"/>
  <c r="CE560" i="1"/>
  <c r="CF560" i="1"/>
  <c r="CD560" i="1"/>
  <c r="CC560" i="1"/>
  <c r="CA560" i="1"/>
  <c r="CB560" i="1"/>
  <c r="BZ560" i="1"/>
  <c r="BY560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Y185" i="1"/>
  <c r="BZ185" i="1"/>
  <c r="CL95" i="1"/>
  <c r="CK95" i="1"/>
  <c r="CJ95" i="1"/>
  <c r="CI95" i="1"/>
  <c r="CH95" i="1"/>
  <c r="CF95" i="1"/>
  <c r="CG95" i="1"/>
  <c r="CC95" i="1"/>
  <c r="CE95" i="1"/>
  <c r="CB95" i="1"/>
  <c r="CD95" i="1"/>
  <c r="BZ95" i="1"/>
  <c r="BY95" i="1"/>
  <c r="CA95" i="1"/>
  <c r="CK364" i="1"/>
  <c r="CL364" i="1"/>
  <c r="CJ364" i="1"/>
  <c r="CI364" i="1"/>
  <c r="CG364" i="1"/>
  <c r="CH364" i="1"/>
  <c r="CF364" i="1"/>
  <c r="CD364" i="1"/>
  <c r="CC364" i="1"/>
  <c r="CE364" i="1"/>
  <c r="CB364" i="1"/>
  <c r="CA364" i="1"/>
  <c r="BZ364" i="1"/>
  <c r="BY364" i="1"/>
  <c r="CL573" i="1"/>
  <c r="CK573" i="1"/>
  <c r="CJ573" i="1"/>
  <c r="CI573" i="1"/>
  <c r="CH573" i="1"/>
  <c r="CG573" i="1"/>
  <c r="CF573" i="1"/>
  <c r="CE573" i="1"/>
  <c r="CD573" i="1"/>
  <c r="CB573" i="1"/>
  <c r="CC573" i="1"/>
  <c r="CA573" i="1"/>
  <c r="BZ573" i="1"/>
  <c r="BY573" i="1"/>
  <c r="CL678" i="1"/>
  <c r="CK678" i="1"/>
  <c r="CI678" i="1"/>
  <c r="CJ678" i="1"/>
  <c r="CH678" i="1"/>
  <c r="CG678" i="1"/>
  <c r="CF678" i="1"/>
  <c r="CD678" i="1"/>
  <c r="CE678" i="1"/>
  <c r="CB678" i="1"/>
  <c r="CC678" i="1"/>
  <c r="BZ678" i="1"/>
  <c r="CA678" i="1"/>
  <c r="BY678" i="1"/>
  <c r="CK76" i="1"/>
  <c r="CL76" i="1"/>
  <c r="CJ76" i="1"/>
  <c r="CI76" i="1"/>
  <c r="CF76" i="1"/>
  <c r="CG76" i="1"/>
  <c r="CH76" i="1"/>
  <c r="CD76" i="1"/>
  <c r="CE76" i="1"/>
  <c r="CC76" i="1"/>
  <c r="CB76" i="1"/>
  <c r="BZ76" i="1"/>
  <c r="CA76" i="1"/>
  <c r="BY76" i="1"/>
  <c r="CK164" i="1"/>
  <c r="CL164" i="1"/>
  <c r="CJ164" i="1"/>
  <c r="CI164" i="1"/>
  <c r="CF164" i="1"/>
  <c r="CH164" i="1"/>
  <c r="CG164" i="1"/>
  <c r="CD164" i="1"/>
  <c r="CE164" i="1"/>
  <c r="CC164" i="1"/>
  <c r="CB164" i="1"/>
  <c r="CA164" i="1"/>
  <c r="BZ164" i="1"/>
  <c r="BY164" i="1"/>
  <c r="CK188" i="1"/>
  <c r="CL188" i="1"/>
  <c r="CI188" i="1"/>
  <c r="CJ188" i="1"/>
  <c r="CF188" i="1"/>
  <c r="CH188" i="1"/>
  <c r="CG188" i="1"/>
  <c r="CD188" i="1"/>
  <c r="CE188" i="1"/>
  <c r="CC188" i="1"/>
  <c r="CB188" i="1"/>
  <c r="CA188" i="1"/>
  <c r="BZ188" i="1"/>
  <c r="BY188" i="1"/>
  <c r="CL550" i="1"/>
  <c r="CK550" i="1"/>
  <c r="CJ550" i="1"/>
  <c r="CI550" i="1"/>
  <c r="CH550" i="1"/>
  <c r="CG550" i="1"/>
  <c r="CF550" i="1"/>
  <c r="CE550" i="1"/>
  <c r="CB550" i="1"/>
  <c r="CD550" i="1"/>
  <c r="CC550" i="1"/>
  <c r="BY550" i="1"/>
  <c r="BZ550" i="1"/>
  <c r="CA550" i="1"/>
  <c r="CL478" i="1"/>
  <c r="CK478" i="1"/>
  <c r="CJ478" i="1"/>
  <c r="CI478" i="1"/>
  <c r="CH478" i="1"/>
  <c r="CG478" i="1"/>
  <c r="CD478" i="1"/>
  <c r="CE478" i="1"/>
  <c r="CB478" i="1"/>
  <c r="CF478" i="1"/>
  <c r="CC478" i="1"/>
  <c r="BY478" i="1"/>
  <c r="CA478" i="1"/>
  <c r="BZ478" i="1"/>
  <c r="CL304" i="1"/>
  <c r="CK304" i="1"/>
  <c r="CJ304" i="1"/>
  <c r="CI304" i="1"/>
  <c r="CH304" i="1"/>
  <c r="CG304" i="1"/>
  <c r="CE304" i="1"/>
  <c r="CF304" i="1"/>
  <c r="CD304" i="1"/>
  <c r="CA304" i="1"/>
  <c r="BY304" i="1"/>
  <c r="CC304" i="1"/>
  <c r="CB304" i="1"/>
  <c r="BZ304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CL209" i="1"/>
  <c r="CK209" i="1"/>
  <c r="CJ209" i="1"/>
  <c r="CI209" i="1"/>
  <c r="CH209" i="1"/>
  <c r="CG209" i="1"/>
  <c r="CF209" i="1"/>
  <c r="CE209" i="1"/>
  <c r="CC209" i="1"/>
  <c r="CD209" i="1"/>
  <c r="CB209" i="1"/>
  <c r="CA209" i="1"/>
  <c r="BY209" i="1"/>
  <c r="BZ209" i="1"/>
  <c r="CL369" i="1"/>
  <c r="CK369" i="1"/>
  <c r="CJ369" i="1"/>
  <c r="CH369" i="1"/>
  <c r="CG369" i="1"/>
  <c r="CI369" i="1"/>
  <c r="CF369" i="1"/>
  <c r="CE369" i="1"/>
  <c r="CD369" i="1"/>
  <c r="CB369" i="1"/>
  <c r="CC369" i="1"/>
  <c r="CA369" i="1"/>
  <c r="BZ369" i="1"/>
  <c r="BY369" i="1"/>
  <c r="CL473" i="1"/>
  <c r="CK473" i="1"/>
  <c r="CJ473" i="1"/>
  <c r="CI473" i="1"/>
  <c r="CG473" i="1"/>
  <c r="CH473" i="1"/>
  <c r="CF473" i="1"/>
  <c r="CE473" i="1"/>
  <c r="CD473" i="1"/>
  <c r="CC473" i="1"/>
  <c r="CB473" i="1"/>
  <c r="CA473" i="1"/>
  <c r="BY473" i="1"/>
  <c r="BZ473" i="1"/>
  <c r="CL601" i="1"/>
  <c r="CJ601" i="1"/>
  <c r="CK601" i="1"/>
  <c r="CG601" i="1"/>
  <c r="CI601" i="1"/>
  <c r="CH601" i="1"/>
  <c r="CE601" i="1"/>
  <c r="CF601" i="1"/>
  <c r="CD601" i="1"/>
  <c r="CC601" i="1"/>
  <c r="CB601" i="1"/>
  <c r="CA601" i="1"/>
  <c r="BY601" i="1"/>
  <c r="BZ601" i="1"/>
  <c r="CL69" i="1"/>
  <c r="CK69" i="1"/>
  <c r="CJ69" i="1"/>
  <c r="CI69" i="1"/>
  <c r="CH69" i="1"/>
  <c r="CF69" i="1"/>
  <c r="CG69" i="1"/>
  <c r="CE69" i="1"/>
  <c r="CD69" i="1"/>
  <c r="CC69" i="1"/>
  <c r="CB69" i="1"/>
  <c r="BZ69" i="1"/>
  <c r="CA69" i="1"/>
  <c r="BY69" i="1"/>
  <c r="CL534" i="1"/>
  <c r="CK534" i="1"/>
  <c r="CI534" i="1"/>
  <c r="CJ534" i="1"/>
  <c r="CH534" i="1"/>
  <c r="CG534" i="1"/>
  <c r="CF534" i="1"/>
  <c r="CE534" i="1"/>
  <c r="CD534" i="1"/>
  <c r="CB534" i="1"/>
  <c r="CC534" i="1"/>
  <c r="BY534" i="1"/>
  <c r="CA534" i="1"/>
  <c r="BZ534" i="1"/>
  <c r="CL669" i="1"/>
  <c r="CK669" i="1"/>
  <c r="CJ669" i="1"/>
  <c r="CI669" i="1"/>
  <c r="CH669" i="1"/>
  <c r="CG669" i="1"/>
  <c r="CF669" i="1"/>
  <c r="CC669" i="1"/>
  <c r="CB669" i="1"/>
  <c r="CD669" i="1"/>
  <c r="CA669" i="1"/>
  <c r="CE669" i="1"/>
  <c r="BY669" i="1"/>
  <c r="BZ669" i="1"/>
  <c r="CL77" i="1"/>
  <c r="CK77" i="1"/>
  <c r="CJ77" i="1"/>
  <c r="CI77" i="1"/>
  <c r="CH77" i="1"/>
  <c r="CF77" i="1"/>
  <c r="CG77" i="1"/>
  <c r="CD77" i="1"/>
  <c r="CE77" i="1"/>
  <c r="CC77" i="1"/>
  <c r="CB77" i="1"/>
  <c r="CA77" i="1"/>
  <c r="BZ77" i="1"/>
  <c r="BY77" i="1"/>
  <c r="CL125" i="1"/>
  <c r="CK125" i="1"/>
  <c r="CI125" i="1"/>
  <c r="CJ125" i="1"/>
  <c r="CH125" i="1"/>
  <c r="CF125" i="1"/>
  <c r="CG125" i="1"/>
  <c r="CD125" i="1"/>
  <c r="CE125" i="1"/>
  <c r="CC125" i="1"/>
  <c r="CB125" i="1"/>
  <c r="CA125" i="1"/>
  <c r="BZ125" i="1"/>
  <c r="BY125" i="1"/>
  <c r="CL149" i="1"/>
  <c r="CK149" i="1"/>
  <c r="CI149" i="1"/>
  <c r="CJ149" i="1"/>
  <c r="CH149" i="1"/>
  <c r="CF149" i="1"/>
  <c r="CG149" i="1"/>
  <c r="CD149" i="1"/>
  <c r="CE149" i="1"/>
  <c r="CC149" i="1"/>
  <c r="CB149" i="1"/>
  <c r="CA149" i="1"/>
  <c r="BZ149" i="1"/>
  <c r="BY149" i="1"/>
  <c r="CL221" i="1"/>
  <c r="CK221" i="1"/>
  <c r="CI221" i="1"/>
  <c r="CJ221" i="1"/>
  <c r="CH221" i="1"/>
  <c r="CF221" i="1"/>
  <c r="CG221" i="1"/>
  <c r="CD221" i="1"/>
  <c r="CE221" i="1"/>
  <c r="CC221" i="1"/>
  <c r="CB221" i="1"/>
  <c r="CA221" i="1"/>
  <c r="BZ221" i="1"/>
  <c r="BY221" i="1"/>
  <c r="CL245" i="1"/>
  <c r="CK245" i="1"/>
  <c r="CI245" i="1"/>
  <c r="CH245" i="1"/>
  <c r="CJ245" i="1"/>
  <c r="CF245" i="1"/>
  <c r="CG245" i="1"/>
  <c r="CD245" i="1"/>
  <c r="CE245" i="1"/>
  <c r="CC245" i="1"/>
  <c r="CB245" i="1"/>
  <c r="CA245" i="1"/>
  <c r="BZ245" i="1"/>
  <c r="BY245" i="1"/>
  <c r="CL398" i="1"/>
  <c r="CK398" i="1"/>
  <c r="CJ398" i="1"/>
  <c r="CI398" i="1"/>
  <c r="CH398" i="1"/>
  <c r="CG398" i="1"/>
  <c r="CE398" i="1"/>
  <c r="CF398" i="1"/>
  <c r="CC398" i="1"/>
  <c r="CB398" i="1"/>
  <c r="CD398" i="1"/>
  <c r="CA398" i="1"/>
  <c r="BY398" i="1"/>
  <c r="BZ398" i="1"/>
  <c r="CL176" i="1"/>
  <c r="CK176" i="1"/>
  <c r="CJ176" i="1"/>
  <c r="CI176" i="1"/>
  <c r="CH176" i="1"/>
  <c r="CG176" i="1"/>
  <c r="CE176" i="1"/>
  <c r="CF176" i="1"/>
  <c r="CD176" i="1"/>
  <c r="CA176" i="1"/>
  <c r="CC176" i="1"/>
  <c r="CB176" i="1"/>
  <c r="BY176" i="1"/>
  <c r="BZ176" i="1"/>
  <c r="CL512" i="1"/>
  <c r="CJ512" i="1"/>
  <c r="CK512" i="1"/>
  <c r="CI512" i="1"/>
  <c r="CG512" i="1"/>
  <c r="CH512" i="1"/>
  <c r="CE512" i="1"/>
  <c r="CF512" i="1"/>
  <c r="CD512" i="1"/>
  <c r="CC512" i="1"/>
  <c r="CA512" i="1"/>
  <c r="CB512" i="1"/>
  <c r="BZ512" i="1"/>
  <c r="BY512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CL113" i="1"/>
  <c r="CK113" i="1"/>
  <c r="CJ113" i="1"/>
  <c r="CI113" i="1"/>
  <c r="CH113" i="1"/>
  <c r="CG113" i="1"/>
  <c r="CF113" i="1"/>
  <c r="CE113" i="1"/>
  <c r="CD113" i="1"/>
  <c r="CB113" i="1"/>
  <c r="CA113" i="1"/>
  <c r="CC113" i="1"/>
  <c r="BZ113" i="1"/>
  <c r="BY113" i="1"/>
  <c r="CL241" i="1"/>
  <c r="CK241" i="1"/>
  <c r="CJ241" i="1"/>
  <c r="CI241" i="1"/>
  <c r="CH241" i="1"/>
  <c r="CG241" i="1"/>
  <c r="CF241" i="1"/>
  <c r="CE241" i="1"/>
  <c r="CB241" i="1"/>
  <c r="CA241" i="1"/>
  <c r="CC241" i="1"/>
  <c r="CD241" i="1"/>
  <c r="BZ241" i="1"/>
  <c r="BY241" i="1"/>
  <c r="CL345" i="1"/>
  <c r="CK345" i="1"/>
  <c r="CJ345" i="1"/>
  <c r="CI345" i="1"/>
  <c r="CH345" i="1"/>
  <c r="CG345" i="1"/>
  <c r="CF345" i="1"/>
  <c r="CE345" i="1"/>
  <c r="CD345" i="1"/>
  <c r="CB345" i="1"/>
  <c r="CA345" i="1"/>
  <c r="CC345" i="1"/>
  <c r="BY345" i="1"/>
  <c r="BZ345" i="1"/>
  <c r="CL366" i="1"/>
  <c r="CK366" i="1"/>
  <c r="CJ366" i="1"/>
  <c r="CI366" i="1"/>
  <c r="CH366" i="1"/>
  <c r="CG366" i="1"/>
  <c r="CF366" i="1"/>
  <c r="CD366" i="1"/>
  <c r="CB366" i="1"/>
  <c r="CC366" i="1"/>
  <c r="CE366" i="1"/>
  <c r="CA366" i="1"/>
  <c r="BY366" i="1"/>
  <c r="BZ366" i="1"/>
  <c r="CL486" i="1"/>
  <c r="CK486" i="1"/>
  <c r="CJ486" i="1"/>
  <c r="CI486" i="1"/>
  <c r="CH486" i="1"/>
  <c r="CG486" i="1"/>
  <c r="CF486" i="1"/>
  <c r="CE486" i="1"/>
  <c r="CD486" i="1"/>
  <c r="CB486" i="1"/>
  <c r="CC486" i="1"/>
  <c r="BY486" i="1"/>
  <c r="BZ486" i="1"/>
  <c r="CA486" i="1"/>
  <c r="CL120" i="1"/>
  <c r="CK120" i="1"/>
  <c r="CJ120" i="1"/>
  <c r="CI120" i="1"/>
  <c r="CH120" i="1"/>
  <c r="CG120" i="1"/>
  <c r="CF120" i="1"/>
  <c r="CE120" i="1"/>
  <c r="CD120" i="1"/>
  <c r="CC120" i="1"/>
  <c r="CA120" i="1"/>
  <c r="CB120" i="1"/>
  <c r="BZ120" i="1"/>
  <c r="BY120" i="1"/>
  <c r="CL392" i="1"/>
  <c r="CK392" i="1"/>
  <c r="CJ392" i="1"/>
  <c r="CI392" i="1"/>
  <c r="CH392" i="1"/>
  <c r="CG392" i="1"/>
  <c r="CE392" i="1"/>
  <c r="CF392" i="1"/>
  <c r="CD392" i="1"/>
  <c r="CB392" i="1"/>
  <c r="CA392" i="1"/>
  <c r="CC392" i="1"/>
  <c r="BY392" i="1"/>
  <c r="BZ392" i="1"/>
  <c r="CL648" i="1"/>
  <c r="CK648" i="1"/>
  <c r="CJ648" i="1"/>
  <c r="CI648" i="1"/>
  <c r="CG648" i="1"/>
  <c r="CH648" i="1"/>
  <c r="CF648" i="1"/>
  <c r="CE648" i="1"/>
  <c r="CD648" i="1"/>
  <c r="CC648" i="1"/>
  <c r="CA648" i="1"/>
  <c r="CB648" i="1"/>
  <c r="BZ648" i="1"/>
  <c r="BY648" i="1"/>
  <c r="CL413" i="1"/>
  <c r="CK413" i="1"/>
  <c r="CJ413" i="1"/>
  <c r="CI413" i="1"/>
  <c r="CH413" i="1"/>
  <c r="CG413" i="1"/>
  <c r="CF413" i="1"/>
  <c r="CE413" i="1"/>
  <c r="CC413" i="1"/>
  <c r="CD413" i="1"/>
  <c r="CB413" i="1"/>
  <c r="CA413" i="1"/>
  <c r="BZ413" i="1"/>
  <c r="BY413" i="1"/>
  <c r="CL87" i="1"/>
  <c r="CK87" i="1"/>
  <c r="CJ87" i="1"/>
  <c r="CH87" i="1"/>
  <c r="CI87" i="1"/>
  <c r="CF87" i="1"/>
  <c r="CE87" i="1"/>
  <c r="CG87" i="1"/>
  <c r="CD87" i="1"/>
  <c r="CC87" i="1"/>
  <c r="CB87" i="1"/>
  <c r="BZ87" i="1"/>
  <c r="BY87" i="1"/>
  <c r="CA87" i="1"/>
  <c r="CL303" i="1"/>
  <c r="CK303" i="1"/>
  <c r="CJ303" i="1"/>
  <c r="CI303" i="1"/>
  <c r="CH303" i="1"/>
  <c r="CG303" i="1"/>
  <c r="CF303" i="1"/>
  <c r="CD303" i="1"/>
  <c r="CE303" i="1"/>
  <c r="CC303" i="1"/>
  <c r="CB303" i="1"/>
  <c r="CA303" i="1"/>
  <c r="BY303" i="1"/>
  <c r="BZ303" i="1"/>
  <c r="CL367" i="1"/>
  <c r="CK367" i="1"/>
  <c r="CJ367" i="1"/>
  <c r="CH367" i="1"/>
  <c r="CI367" i="1"/>
  <c r="CG367" i="1"/>
  <c r="CF367" i="1"/>
  <c r="CE367" i="1"/>
  <c r="CC367" i="1"/>
  <c r="CD367" i="1"/>
  <c r="CB367" i="1"/>
  <c r="CA367" i="1"/>
  <c r="BY367" i="1"/>
  <c r="BZ367" i="1"/>
  <c r="CL431" i="1"/>
  <c r="CJ431" i="1"/>
  <c r="CK431" i="1"/>
  <c r="CH431" i="1"/>
  <c r="CI431" i="1"/>
  <c r="CG431" i="1"/>
  <c r="CF431" i="1"/>
  <c r="CE431" i="1"/>
  <c r="CC431" i="1"/>
  <c r="CB431" i="1"/>
  <c r="CD431" i="1"/>
  <c r="CA431" i="1"/>
  <c r="BY431" i="1"/>
  <c r="BZ431" i="1"/>
  <c r="CL495" i="1"/>
  <c r="CJ495" i="1"/>
  <c r="CK495" i="1"/>
  <c r="CI495" i="1"/>
  <c r="CH495" i="1"/>
  <c r="CG495" i="1"/>
  <c r="CF495" i="1"/>
  <c r="CE495" i="1"/>
  <c r="CB495" i="1"/>
  <c r="CD495" i="1"/>
  <c r="CA495" i="1"/>
  <c r="CC495" i="1"/>
  <c r="BY495" i="1"/>
  <c r="BZ495" i="1"/>
  <c r="CK497" i="1"/>
  <c r="CL497" i="1"/>
  <c r="CJ497" i="1"/>
  <c r="CI497" i="1"/>
  <c r="CG497" i="1"/>
  <c r="CH497" i="1"/>
  <c r="CF497" i="1"/>
  <c r="CE497" i="1"/>
  <c r="CC497" i="1"/>
  <c r="CD497" i="1"/>
  <c r="CB497" i="1"/>
  <c r="CA497" i="1"/>
  <c r="BY497" i="1"/>
  <c r="BZ497" i="1"/>
  <c r="CK348" i="1"/>
  <c r="CL348" i="1"/>
  <c r="CI348" i="1"/>
  <c r="CJ348" i="1"/>
  <c r="CH348" i="1"/>
  <c r="CG348" i="1"/>
  <c r="CF348" i="1"/>
  <c r="CD348" i="1"/>
  <c r="CC348" i="1"/>
  <c r="CE348" i="1"/>
  <c r="CB348" i="1"/>
  <c r="CA348" i="1"/>
  <c r="BZ348" i="1"/>
  <c r="BY348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CL210" i="1"/>
  <c r="CK210" i="1"/>
  <c r="CJ210" i="1"/>
  <c r="CI210" i="1"/>
  <c r="CH210" i="1"/>
  <c r="CG210" i="1"/>
  <c r="CF210" i="1"/>
  <c r="CE210" i="1"/>
  <c r="CC210" i="1"/>
  <c r="CD210" i="1"/>
  <c r="CA210" i="1"/>
  <c r="CB210" i="1"/>
  <c r="BZ210" i="1"/>
  <c r="BY210" i="1"/>
  <c r="CK19" i="1"/>
  <c r="CL19" i="1"/>
  <c r="CJ19" i="1"/>
  <c r="CI19" i="1"/>
  <c r="CH19" i="1"/>
  <c r="CG19" i="1"/>
  <c r="CF19" i="1"/>
  <c r="CE19" i="1"/>
  <c r="CC19" i="1"/>
  <c r="CD19" i="1"/>
  <c r="CA19" i="1"/>
  <c r="CB19" i="1"/>
  <c r="BZ19" i="1"/>
  <c r="BY19" i="1"/>
  <c r="CL451" i="1"/>
  <c r="CK451" i="1"/>
  <c r="CJ451" i="1"/>
  <c r="CI451" i="1"/>
  <c r="CG451" i="1"/>
  <c r="CH451" i="1"/>
  <c r="CF451" i="1"/>
  <c r="CE451" i="1"/>
  <c r="CC451" i="1"/>
  <c r="CA451" i="1"/>
  <c r="BZ451" i="1"/>
  <c r="CD451" i="1"/>
  <c r="CB451" i="1"/>
  <c r="BY451" i="1"/>
  <c r="CL548" i="1"/>
  <c r="CK548" i="1"/>
  <c r="CJ548" i="1"/>
  <c r="CI548" i="1"/>
  <c r="CG548" i="1"/>
  <c r="CF548" i="1"/>
  <c r="CH548" i="1"/>
  <c r="CD548" i="1"/>
  <c r="CE548" i="1"/>
  <c r="CB548" i="1"/>
  <c r="CC548" i="1"/>
  <c r="CA548" i="1"/>
  <c r="BZ548" i="1"/>
  <c r="BY548" i="1"/>
  <c r="CL493" i="1"/>
  <c r="CK493" i="1"/>
  <c r="CJ493" i="1"/>
  <c r="CI493" i="1"/>
  <c r="CH493" i="1"/>
  <c r="CG493" i="1"/>
  <c r="CF493" i="1"/>
  <c r="CE493" i="1"/>
  <c r="CD493" i="1"/>
  <c r="CB493" i="1"/>
  <c r="CC493" i="1"/>
  <c r="CA493" i="1"/>
  <c r="BZ493" i="1"/>
  <c r="BY493" i="1"/>
  <c r="CL73" i="1"/>
  <c r="CK73" i="1"/>
  <c r="CJ73" i="1"/>
  <c r="CI73" i="1"/>
  <c r="CH73" i="1"/>
  <c r="CG73" i="1"/>
  <c r="CF73" i="1"/>
  <c r="CE73" i="1"/>
  <c r="CC73" i="1"/>
  <c r="CB73" i="1"/>
  <c r="CA73" i="1"/>
  <c r="BZ73" i="1"/>
  <c r="CD73" i="1"/>
  <c r="BY73" i="1"/>
  <c r="CL447" i="1"/>
  <c r="CJ447" i="1"/>
  <c r="CK447" i="1"/>
  <c r="CH447" i="1"/>
  <c r="CI447" i="1"/>
  <c r="CF447" i="1"/>
  <c r="CG447" i="1"/>
  <c r="CD447" i="1"/>
  <c r="CE447" i="1"/>
  <c r="CC447" i="1"/>
  <c r="CB447" i="1"/>
  <c r="CA447" i="1"/>
  <c r="BZ447" i="1"/>
  <c r="BY447" i="1"/>
  <c r="CL676" i="1"/>
  <c r="CK676" i="1"/>
  <c r="CJ676" i="1"/>
  <c r="CI676" i="1"/>
  <c r="CH676" i="1"/>
  <c r="CF676" i="1"/>
  <c r="CG676" i="1"/>
  <c r="CE676" i="1"/>
  <c r="CD676" i="1"/>
  <c r="CB676" i="1"/>
  <c r="CC676" i="1"/>
  <c r="CA676" i="1"/>
  <c r="BZ676" i="1"/>
  <c r="BY676" i="1"/>
  <c r="CL170" i="1"/>
  <c r="CK170" i="1"/>
  <c r="CJ170" i="1"/>
  <c r="CI170" i="1"/>
  <c r="CH170" i="1"/>
  <c r="CG170" i="1"/>
  <c r="CF170" i="1"/>
  <c r="CE170" i="1"/>
  <c r="CC170" i="1"/>
  <c r="CD170" i="1"/>
  <c r="CA170" i="1"/>
  <c r="CB170" i="1"/>
  <c r="BZ170" i="1"/>
  <c r="BY170" i="1"/>
  <c r="CL169" i="1"/>
  <c r="CK169" i="1"/>
  <c r="CJ169" i="1"/>
  <c r="CI169" i="1"/>
  <c r="CH169" i="1"/>
  <c r="CG169" i="1"/>
  <c r="CF169" i="1"/>
  <c r="CE169" i="1"/>
  <c r="CD169" i="1"/>
  <c r="CB169" i="1"/>
  <c r="CA169" i="1"/>
  <c r="CC169" i="1"/>
  <c r="BY169" i="1"/>
  <c r="BZ169" i="1"/>
  <c r="CK115" i="1"/>
  <c r="CL115" i="1"/>
  <c r="CJ115" i="1"/>
  <c r="CI115" i="1"/>
  <c r="CG115" i="1"/>
  <c r="CE115" i="1"/>
  <c r="CH115" i="1"/>
  <c r="CF115" i="1"/>
  <c r="CC115" i="1"/>
  <c r="CD115" i="1"/>
  <c r="CB115" i="1"/>
  <c r="CA115" i="1"/>
  <c r="BZ115" i="1"/>
  <c r="BY115" i="1"/>
  <c r="CL323" i="1"/>
  <c r="CK323" i="1"/>
  <c r="CJ323" i="1"/>
  <c r="CI323" i="1"/>
  <c r="CH323" i="1"/>
  <c r="CG323" i="1"/>
  <c r="CF323" i="1"/>
  <c r="CE323" i="1"/>
  <c r="CC323" i="1"/>
  <c r="CD323" i="1"/>
  <c r="CA323" i="1"/>
  <c r="BZ323" i="1"/>
  <c r="CB323" i="1"/>
  <c r="BY323" i="1"/>
  <c r="CL168" i="1"/>
  <c r="CK168" i="1"/>
  <c r="CJ168" i="1"/>
  <c r="CI168" i="1"/>
  <c r="CH168" i="1"/>
  <c r="CG168" i="1"/>
  <c r="CF168" i="1"/>
  <c r="CE168" i="1"/>
  <c r="CD168" i="1"/>
  <c r="CC168" i="1"/>
  <c r="CA168" i="1"/>
  <c r="CB168" i="1"/>
  <c r="BY168" i="1"/>
  <c r="BZ168" i="1"/>
  <c r="CK52" i="1"/>
  <c r="CL52" i="1"/>
  <c r="CJ52" i="1"/>
  <c r="CI52" i="1"/>
  <c r="CF52" i="1"/>
  <c r="CG52" i="1"/>
  <c r="CH52" i="1"/>
  <c r="CD52" i="1"/>
  <c r="CE52" i="1"/>
  <c r="CC52" i="1"/>
  <c r="CB52" i="1"/>
  <c r="BZ52" i="1"/>
  <c r="CA52" i="1"/>
  <c r="BY52" i="1"/>
  <c r="CK228" i="1"/>
  <c r="CL228" i="1"/>
  <c r="CJ228" i="1"/>
  <c r="CI228" i="1"/>
  <c r="CF228" i="1"/>
  <c r="CH228" i="1"/>
  <c r="CG228" i="1"/>
  <c r="CD228" i="1"/>
  <c r="CE228" i="1"/>
  <c r="CC228" i="1"/>
  <c r="CB228" i="1"/>
  <c r="CA228" i="1"/>
  <c r="BZ228" i="1"/>
  <c r="BY228" i="1"/>
  <c r="CL342" i="1"/>
  <c r="CK342" i="1"/>
  <c r="CJ342" i="1"/>
  <c r="CH342" i="1"/>
  <c r="CI342" i="1"/>
  <c r="CF342" i="1"/>
  <c r="CG342" i="1"/>
  <c r="CE342" i="1"/>
  <c r="CB342" i="1"/>
  <c r="CD342" i="1"/>
  <c r="CC342" i="1"/>
  <c r="BY342" i="1"/>
  <c r="CA342" i="1"/>
  <c r="BZ342" i="1"/>
  <c r="CL516" i="1"/>
  <c r="CK516" i="1"/>
  <c r="CJ516" i="1"/>
  <c r="CI516" i="1"/>
  <c r="CG516" i="1"/>
  <c r="CH516" i="1"/>
  <c r="CF516" i="1"/>
  <c r="CD516" i="1"/>
  <c r="CE516" i="1"/>
  <c r="CB516" i="1"/>
  <c r="CA516" i="1"/>
  <c r="CC516" i="1"/>
  <c r="BZ516" i="1"/>
  <c r="BY516" i="1"/>
  <c r="CL56" i="1"/>
  <c r="CK56" i="1"/>
  <c r="CJ56" i="1"/>
  <c r="CI56" i="1"/>
  <c r="CH56" i="1"/>
  <c r="CG56" i="1"/>
  <c r="CE56" i="1"/>
  <c r="CF56" i="1"/>
  <c r="CD56" i="1"/>
  <c r="CC56" i="1"/>
  <c r="CA56" i="1"/>
  <c r="CB56" i="1"/>
  <c r="BZ56" i="1"/>
  <c r="BY56" i="1"/>
  <c r="CL617" i="1"/>
  <c r="CJ617" i="1"/>
  <c r="CK617" i="1"/>
  <c r="CG617" i="1"/>
  <c r="CI617" i="1"/>
  <c r="CH617" i="1"/>
  <c r="CE617" i="1"/>
  <c r="CF617" i="1"/>
  <c r="CC617" i="1"/>
  <c r="CD617" i="1"/>
  <c r="CB617" i="1"/>
  <c r="CA617" i="1"/>
  <c r="BZ617" i="1"/>
  <c r="BY617" i="1"/>
  <c r="CL361" i="1"/>
  <c r="CK361" i="1"/>
  <c r="CJ361" i="1"/>
  <c r="CI361" i="1"/>
  <c r="CH361" i="1"/>
  <c r="CG361" i="1"/>
  <c r="CF361" i="1"/>
  <c r="CE361" i="1"/>
  <c r="CD361" i="1"/>
  <c r="CB361" i="1"/>
  <c r="CA361" i="1"/>
  <c r="CC361" i="1"/>
  <c r="BY361" i="1"/>
  <c r="BZ361" i="1"/>
  <c r="CL231" i="1"/>
  <c r="CK231" i="1"/>
  <c r="CJ231" i="1"/>
  <c r="CH231" i="1"/>
  <c r="CI231" i="1"/>
  <c r="CF231" i="1"/>
  <c r="CG231" i="1"/>
  <c r="CE231" i="1"/>
  <c r="CC231" i="1"/>
  <c r="CD231" i="1"/>
  <c r="CB231" i="1"/>
  <c r="BY231" i="1"/>
  <c r="CA231" i="1"/>
  <c r="BZ231" i="1"/>
  <c r="CL407" i="1"/>
  <c r="CJ407" i="1"/>
  <c r="CK407" i="1"/>
  <c r="CH407" i="1"/>
  <c r="CI407" i="1"/>
  <c r="CG407" i="1"/>
  <c r="CF407" i="1"/>
  <c r="CC407" i="1"/>
  <c r="CD407" i="1"/>
  <c r="CE407" i="1"/>
  <c r="CB407" i="1"/>
  <c r="BY407" i="1"/>
  <c r="CA407" i="1"/>
  <c r="BZ407" i="1"/>
  <c r="CK91" i="1"/>
  <c r="CL91" i="1"/>
  <c r="CJ91" i="1"/>
  <c r="CI91" i="1"/>
  <c r="CH91" i="1"/>
  <c r="CG91" i="1"/>
  <c r="CF91" i="1"/>
  <c r="CE91" i="1"/>
  <c r="CC91" i="1"/>
  <c r="CB91" i="1"/>
  <c r="CA91" i="1"/>
  <c r="CD91" i="1"/>
  <c r="BZ91" i="1"/>
  <c r="BY91" i="1"/>
  <c r="CK316" i="1"/>
  <c r="CL316" i="1"/>
  <c r="CI316" i="1"/>
  <c r="CJ316" i="1"/>
  <c r="CH316" i="1"/>
  <c r="CG316" i="1"/>
  <c r="CF316" i="1"/>
  <c r="CD316" i="1"/>
  <c r="CE316" i="1"/>
  <c r="CC316" i="1"/>
  <c r="CB316" i="1"/>
  <c r="CA316" i="1"/>
  <c r="BZ316" i="1"/>
  <c r="BY316" i="1"/>
  <c r="CL485" i="1"/>
  <c r="CK485" i="1"/>
  <c r="CJ485" i="1"/>
  <c r="CI485" i="1"/>
  <c r="CH485" i="1"/>
  <c r="CG485" i="1"/>
  <c r="CF485" i="1"/>
  <c r="CE485" i="1"/>
  <c r="CD485" i="1"/>
  <c r="CB485" i="1"/>
  <c r="CC485" i="1"/>
  <c r="CA485" i="1"/>
  <c r="BZ485" i="1"/>
  <c r="BY485" i="1"/>
  <c r="CL607" i="1"/>
  <c r="CK607" i="1"/>
  <c r="CI607" i="1"/>
  <c r="CH607" i="1"/>
  <c r="CJ607" i="1"/>
  <c r="CG607" i="1"/>
  <c r="CF607" i="1"/>
  <c r="CE607" i="1"/>
  <c r="CD607" i="1"/>
  <c r="CB607" i="1"/>
  <c r="CC607" i="1"/>
  <c r="CA607" i="1"/>
  <c r="BZ607" i="1"/>
  <c r="BY607" i="1"/>
  <c r="CL26" i="1"/>
  <c r="CK26" i="1"/>
  <c r="CJ26" i="1"/>
  <c r="CH26" i="1"/>
  <c r="CI26" i="1"/>
  <c r="CG26" i="1"/>
  <c r="CE26" i="1"/>
  <c r="CF26" i="1"/>
  <c r="CC26" i="1"/>
  <c r="CD26" i="1"/>
  <c r="CA26" i="1"/>
  <c r="CB26" i="1"/>
  <c r="BY26" i="1"/>
  <c r="BZ26" i="1"/>
  <c r="CL90" i="1"/>
  <c r="CK90" i="1"/>
  <c r="CJ90" i="1"/>
  <c r="CI90" i="1"/>
  <c r="CH90" i="1"/>
  <c r="CG90" i="1"/>
  <c r="CF90" i="1"/>
  <c r="CE90" i="1"/>
  <c r="CC90" i="1"/>
  <c r="CD90" i="1"/>
  <c r="CA90" i="1"/>
  <c r="BZ90" i="1"/>
  <c r="CB90" i="1"/>
  <c r="BY90" i="1"/>
  <c r="CL154" i="1"/>
  <c r="CK154" i="1"/>
  <c r="CJ154" i="1"/>
  <c r="CI154" i="1"/>
  <c r="CH154" i="1"/>
  <c r="CG154" i="1"/>
  <c r="CF154" i="1"/>
  <c r="CE154" i="1"/>
  <c r="CC154" i="1"/>
  <c r="CD154" i="1"/>
  <c r="CA154" i="1"/>
  <c r="BZ154" i="1"/>
  <c r="BY154" i="1"/>
  <c r="CB154" i="1"/>
  <c r="CL242" i="1"/>
  <c r="CK242" i="1"/>
  <c r="CJ242" i="1"/>
  <c r="CI242" i="1"/>
  <c r="CH242" i="1"/>
  <c r="CG242" i="1"/>
  <c r="CF242" i="1"/>
  <c r="CE242" i="1"/>
  <c r="CC242" i="1"/>
  <c r="CD242" i="1"/>
  <c r="CB242" i="1"/>
  <c r="CA242" i="1"/>
  <c r="BZ242" i="1"/>
  <c r="BY242" i="1"/>
  <c r="CL278" i="1"/>
  <c r="CK278" i="1"/>
  <c r="CJ278" i="1"/>
  <c r="CH278" i="1"/>
  <c r="CI278" i="1"/>
  <c r="CF278" i="1"/>
  <c r="CG278" i="1"/>
  <c r="CE278" i="1"/>
  <c r="CD278" i="1"/>
  <c r="CB278" i="1"/>
  <c r="CC278" i="1"/>
  <c r="BY278" i="1"/>
  <c r="CA278" i="1"/>
  <c r="BZ278" i="1"/>
  <c r="CL72" i="1"/>
  <c r="CK72" i="1"/>
  <c r="CJ72" i="1"/>
  <c r="CI72" i="1"/>
  <c r="CH72" i="1"/>
  <c r="CG72" i="1"/>
  <c r="CF72" i="1"/>
  <c r="CE72" i="1"/>
  <c r="CD72" i="1"/>
  <c r="CB72" i="1"/>
  <c r="CA72" i="1"/>
  <c r="BZ72" i="1"/>
  <c r="BY72" i="1"/>
  <c r="CC72" i="1"/>
  <c r="CL408" i="1"/>
  <c r="CJ408" i="1"/>
  <c r="CK408" i="1"/>
  <c r="CI408" i="1"/>
  <c r="CH408" i="1"/>
  <c r="CG408" i="1"/>
  <c r="CE408" i="1"/>
  <c r="CF408" i="1"/>
  <c r="CD408" i="1"/>
  <c r="CC408" i="1"/>
  <c r="CA408" i="1"/>
  <c r="BY408" i="1"/>
  <c r="BZ408" i="1"/>
  <c r="CB408" i="1"/>
  <c r="CL129" i="1"/>
  <c r="CJ129" i="1"/>
  <c r="CK129" i="1"/>
  <c r="CI129" i="1"/>
  <c r="CH129" i="1"/>
  <c r="CG129" i="1"/>
  <c r="CF129" i="1"/>
  <c r="CE129" i="1"/>
  <c r="CD129" i="1"/>
  <c r="CC129" i="1"/>
  <c r="CB129" i="1"/>
  <c r="CA129" i="1"/>
  <c r="BZ129" i="1"/>
  <c r="BY129" i="1"/>
  <c r="CL404" i="1"/>
  <c r="CK404" i="1"/>
  <c r="CJ404" i="1"/>
  <c r="CI404" i="1"/>
  <c r="CG404" i="1"/>
  <c r="CF404" i="1"/>
  <c r="CD404" i="1"/>
  <c r="CH404" i="1"/>
  <c r="CE404" i="1"/>
  <c r="CC404" i="1"/>
  <c r="CB404" i="1"/>
  <c r="CA404" i="1"/>
  <c r="BZ404" i="1"/>
  <c r="BY404" i="1"/>
  <c r="CL645" i="1"/>
  <c r="CK645" i="1"/>
  <c r="CJ645" i="1"/>
  <c r="CI645" i="1"/>
  <c r="CH645" i="1"/>
  <c r="CG645" i="1"/>
  <c r="CF645" i="1"/>
  <c r="CE645" i="1"/>
  <c r="CB645" i="1"/>
  <c r="CC645" i="1"/>
  <c r="CA645" i="1"/>
  <c r="CD645" i="1"/>
  <c r="BY645" i="1"/>
  <c r="BZ645" i="1"/>
  <c r="CK251" i="1"/>
  <c r="CJ251" i="1"/>
  <c r="CL251" i="1"/>
  <c r="CI251" i="1"/>
  <c r="CH251" i="1"/>
  <c r="CG251" i="1"/>
  <c r="CF251" i="1"/>
  <c r="CE251" i="1"/>
  <c r="CC251" i="1"/>
  <c r="CD251" i="1"/>
  <c r="CA251" i="1"/>
  <c r="CB251" i="1"/>
  <c r="BZ251" i="1"/>
  <c r="BY251" i="1"/>
  <c r="CL371" i="1"/>
  <c r="CK371" i="1"/>
  <c r="CJ371" i="1"/>
  <c r="CI371" i="1"/>
  <c r="CG371" i="1"/>
  <c r="CF371" i="1"/>
  <c r="CH371" i="1"/>
  <c r="CE371" i="1"/>
  <c r="CD371" i="1"/>
  <c r="CC371" i="1"/>
  <c r="CB371" i="1"/>
  <c r="CA371" i="1"/>
  <c r="BZ371" i="1"/>
  <c r="BY371" i="1"/>
  <c r="CL395" i="1"/>
  <c r="CK395" i="1"/>
  <c r="CJ395" i="1"/>
  <c r="CI395" i="1"/>
  <c r="CG395" i="1"/>
  <c r="CH395" i="1"/>
  <c r="CF395" i="1"/>
  <c r="CE395" i="1"/>
  <c r="CC395" i="1"/>
  <c r="CD395" i="1"/>
  <c r="CB395" i="1"/>
  <c r="CA395" i="1"/>
  <c r="BZ395" i="1"/>
  <c r="BY395" i="1"/>
  <c r="CK483" i="1"/>
  <c r="CL483" i="1"/>
  <c r="CJ483" i="1"/>
  <c r="CI483" i="1"/>
  <c r="CG483" i="1"/>
  <c r="CH483" i="1"/>
  <c r="CF483" i="1"/>
  <c r="CE483" i="1"/>
  <c r="CD483" i="1"/>
  <c r="CC483" i="1"/>
  <c r="CB483" i="1"/>
  <c r="CA483" i="1"/>
  <c r="BZ483" i="1"/>
  <c r="BY483" i="1"/>
  <c r="CL571" i="1"/>
  <c r="CK571" i="1"/>
  <c r="CJ571" i="1"/>
  <c r="CI571" i="1"/>
  <c r="CG571" i="1"/>
  <c r="CF571" i="1"/>
  <c r="CH571" i="1"/>
  <c r="CE571" i="1"/>
  <c r="CC571" i="1"/>
  <c r="CA571" i="1"/>
  <c r="CB571" i="1"/>
  <c r="BZ571" i="1"/>
  <c r="BY571" i="1"/>
  <c r="CD571" i="1"/>
  <c r="CL635" i="1"/>
  <c r="CK635" i="1"/>
  <c r="CJ635" i="1"/>
  <c r="CI635" i="1"/>
  <c r="CG635" i="1"/>
  <c r="CF635" i="1"/>
  <c r="CH635" i="1"/>
  <c r="CE635" i="1"/>
  <c r="CD635" i="1"/>
  <c r="CC635" i="1"/>
  <c r="CA635" i="1"/>
  <c r="CB635" i="1"/>
  <c r="BZ635" i="1"/>
  <c r="BY635" i="1"/>
  <c r="CL70" i="1"/>
  <c r="CJ70" i="1"/>
  <c r="CK70" i="1"/>
  <c r="CI70" i="1"/>
  <c r="CH70" i="1"/>
  <c r="CG70" i="1"/>
  <c r="CF70" i="1"/>
  <c r="CE70" i="1"/>
  <c r="CD70" i="1"/>
  <c r="CB70" i="1"/>
  <c r="BZ70" i="1"/>
  <c r="BY70" i="1"/>
  <c r="CC70" i="1"/>
  <c r="CA70" i="1"/>
  <c r="CL302" i="1"/>
  <c r="CJ302" i="1"/>
  <c r="CK302" i="1"/>
  <c r="CI302" i="1"/>
  <c r="CH302" i="1"/>
  <c r="CG302" i="1"/>
  <c r="CF302" i="1"/>
  <c r="CD302" i="1"/>
  <c r="CE302" i="1"/>
  <c r="CB302" i="1"/>
  <c r="CC302" i="1"/>
  <c r="CA302" i="1"/>
  <c r="BY302" i="1"/>
  <c r="BZ302" i="1"/>
  <c r="CL462" i="1"/>
  <c r="CK462" i="1"/>
  <c r="CJ462" i="1"/>
  <c r="CI462" i="1"/>
  <c r="CH462" i="1"/>
  <c r="CG462" i="1"/>
  <c r="CE462" i="1"/>
  <c r="CF462" i="1"/>
  <c r="CD462" i="1"/>
  <c r="CB462" i="1"/>
  <c r="CC462" i="1"/>
  <c r="CA462" i="1"/>
  <c r="BY462" i="1"/>
  <c r="BZ462" i="1"/>
  <c r="CL641" i="1"/>
  <c r="CK641" i="1"/>
  <c r="CJ641" i="1"/>
  <c r="CI641" i="1"/>
  <c r="CG641" i="1"/>
  <c r="CH641" i="1"/>
  <c r="CE641" i="1"/>
  <c r="CF641" i="1"/>
  <c r="CC641" i="1"/>
  <c r="CB641" i="1"/>
  <c r="CA641" i="1"/>
  <c r="CD641" i="1"/>
  <c r="BY641" i="1"/>
  <c r="BZ641" i="1"/>
  <c r="CL96" i="1"/>
  <c r="CK96" i="1"/>
  <c r="CJ96" i="1"/>
  <c r="CI96" i="1"/>
  <c r="CH96" i="1"/>
  <c r="CG96" i="1"/>
  <c r="CF96" i="1"/>
  <c r="CE96" i="1"/>
  <c r="CC96" i="1"/>
  <c r="CD96" i="1"/>
  <c r="CA96" i="1"/>
  <c r="CB96" i="1"/>
  <c r="BZ96" i="1"/>
  <c r="BY96" i="1"/>
  <c r="CL384" i="1"/>
  <c r="CJ384" i="1"/>
  <c r="CK384" i="1"/>
  <c r="CI384" i="1"/>
  <c r="CH384" i="1"/>
  <c r="CG384" i="1"/>
  <c r="CE384" i="1"/>
  <c r="CF384" i="1"/>
  <c r="CD384" i="1"/>
  <c r="CA384" i="1"/>
  <c r="CC384" i="1"/>
  <c r="CB384" i="1"/>
  <c r="BY384" i="1"/>
  <c r="BZ384" i="1"/>
  <c r="CL640" i="1"/>
  <c r="CK640" i="1"/>
  <c r="CJ640" i="1"/>
  <c r="CI640" i="1"/>
  <c r="CG640" i="1"/>
  <c r="CH640" i="1"/>
  <c r="CE640" i="1"/>
  <c r="CF640" i="1"/>
  <c r="CD640" i="1"/>
  <c r="CC640" i="1"/>
  <c r="CA640" i="1"/>
  <c r="CB640" i="1"/>
  <c r="BZ640" i="1"/>
  <c r="BY640" i="1"/>
  <c r="CL133" i="1"/>
  <c r="CK133" i="1"/>
  <c r="CI133" i="1"/>
  <c r="CJ133" i="1"/>
  <c r="CH133" i="1"/>
  <c r="CF133" i="1"/>
  <c r="CG133" i="1"/>
  <c r="CD133" i="1"/>
  <c r="CE133" i="1"/>
  <c r="CC133" i="1"/>
  <c r="CB133" i="1"/>
  <c r="CA133" i="1"/>
  <c r="BZ133" i="1"/>
  <c r="BY133" i="1"/>
  <c r="CL405" i="1"/>
  <c r="CK405" i="1"/>
  <c r="CJ405" i="1"/>
  <c r="CI405" i="1"/>
  <c r="CH405" i="1"/>
  <c r="CG405" i="1"/>
  <c r="CF405" i="1"/>
  <c r="CE405" i="1"/>
  <c r="CC405" i="1"/>
  <c r="CD405" i="1"/>
  <c r="CB405" i="1"/>
  <c r="CA405" i="1"/>
  <c r="BZ405" i="1"/>
  <c r="BY405" i="1"/>
  <c r="CL598" i="1"/>
  <c r="CK598" i="1"/>
  <c r="CI598" i="1"/>
  <c r="CJ598" i="1"/>
  <c r="CH598" i="1"/>
  <c r="CF598" i="1"/>
  <c r="CG598" i="1"/>
  <c r="CE598" i="1"/>
  <c r="CB598" i="1"/>
  <c r="CD598" i="1"/>
  <c r="CC598" i="1"/>
  <c r="BY598" i="1"/>
  <c r="CA598" i="1"/>
  <c r="BZ598" i="1"/>
  <c r="CK100" i="1"/>
  <c r="CL100" i="1"/>
  <c r="CJ100" i="1"/>
  <c r="CI100" i="1"/>
  <c r="CF100" i="1"/>
  <c r="CH100" i="1"/>
  <c r="CG100" i="1"/>
  <c r="CD100" i="1"/>
  <c r="CE100" i="1"/>
  <c r="CC100" i="1"/>
  <c r="CB100" i="1"/>
  <c r="BZ100" i="1"/>
  <c r="CA100" i="1"/>
  <c r="BY100" i="1"/>
  <c r="CK124" i="1"/>
  <c r="CL124" i="1"/>
  <c r="CI124" i="1"/>
  <c r="CJ124" i="1"/>
  <c r="CF124" i="1"/>
  <c r="CH124" i="1"/>
  <c r="CG124" i="1"/>
  <c r="CD124" i="1"/>
  <c r="CE124" i="1"/>
  <c r="CC124" i="1"/>
  <c r="CB124" i="1"/>
  <c r="BZ124" i="1"/>
  <c r="CA124" i="1"/>
  <c r="BY124" i="1"/>
  <c r="CL148" i="1"/>
  <c r="CK148" i="1"/>
  <c r="CJ148" i="1"/>
  <c r="CI148" i="1"/>
  <c r="CF148" i="1"/>
  <c r="CG148" i="1"/>
  <c r="CD148" i="1"/>
  <c r="CE148" i="1"/>
  <c r="CH148" i="1"/>
  <c r="CC148" i="1"/>
  <c r="CB148" i="1"/>
  <c r="CA148" i="1"/>
  <c r="BZ148" i="1"/>
  <c r="BY148" i="1"/>
  <c r="CL212" i="1"/>
  <c r="CK212" i="1"/>
  <c r="CJ212" i="1"/>
  <c r="CI212" i="1"/>
  <c r="CF212" i="1"/>
  <c r="CG212" i="1"/>
  <c r="CH212" i="1"/>
  <c r="CD212" i="1"/>
  <c r="CE212" i="1"/>
  <c r="CC212" i="1"/>
  <c r="CB212" i="1"/>
  <c r="CA212" i="1"/>
  <c r="BZ212" i="1"/>
  <c r="BY212" i="1"/>
  <c r="CL236" i="1"/>
  <c r="CK236" i="1"/>
  <c r="CJ236" i="1"/>
  <c r="CI236" i="1"/>
  <c r="CF236" i="1"/>
  <c r="CG236" i="1"/>
  <c r="CH236" i="1"/>
  <c r="CD236" i="1"/>
  <c r="CC236" i="1"/>
  <c r="CE236" i="1"/>
  <c r="CB236" i="1"/>
  <c r="CA236" i="1"/>
  <c r="BZ236" i="1"/>
  <c r="BY236" i="1"/>
  <c r="CL681" i="1"/>
  <c r="CJ681" i="1"/>
  <c r="CK681" i="1"/>
  <c r="CG681" i="1"/>
  <c r="CI681" i="1"/>
  <c r="CH681" i="1"/>
  <c r="CE681" i="1"/>
  <c r="CF681" i="1"/>
  <c r="CD681" i="1"/>
  <c r="CC681" i="1"/>
  <c r="CA681" i="1"/>
  <c r="CB681" i="1"/>
  <c r="BZ681" i="1"/>
  <c r="BY681" i="1"/>
  <c r="CL254" i="1"/>
  <c r="CJ254" i="1"/>
  <c r="CK254" i="1"/>
  <c r="CH254" i="1"/>
  <c r="CI254" i="1"/>
  <c r="CG254" i="1"/>
  <c r="CF254" i="1"/>
  <c r="CE254" i="1"/>
  <c r="CD254" i="1"/>
  <c r="CB254" i="1"/>
  <c r="CC254" i="1"/>
  <c r="BY254" i="1"/>
  <c r="CA254" i="1"/>
  <c r="BZ254" i="1"/>
  <c r="CL24" i="1"/>
  <c r="CJ24" i="1"/>
  <c r="CK24" i="1"/>
  <c r="CI24" i="1"/>
  <c r="CH24" i="1"/>
  <c r="CG24" i="1"/>
  <c r="CE24" i="1"/>
  <c r="CF24" i="1"/>
  <c r="CD24" i="1"/>
  <c r="CC24" i="1"/>
  <c r="CA24" i="1"/>
  <c r="BZ24" i="1"/>
  <c r="CB24" i="1"/>
  <c r="BY24" i="1"/>
  <c r="CL456" i="1"/>
  <c r="CK456" i="1"/>
  <c r="CJ456" i="1"/>
  <c r="CI456" i="1"/>
  <c r="CH456" i="1"/>
  <c r="CG456" i="1"/>
  <c r="CE456" i="1"/>
  <c r="CF456" i="1"/>
  <c r="CD456" i="1"/>
  <c r="CC456" i="1"/>
  <c r="CB456" i="1"/>
  <c r="CA456" i="1"/>
  <c r="BY456" i="1"/>
  <c r="BZ456" i="1"/>
  <c r="CL103" i="1"/>
  <c r="CK103" i="1"/>
  <c r="CJ103" i="1"/>
  <c r="CH103" i="1"/>
  <c r="CF103" i="1"/>
  <c r="CI103" i="1"/>
  <c r="CG103" i="1"/>
  <c r="CE103" i="1"/>
  <c r="CC103" i="1"/>
  <c r="CB103" i="1"/>
  <c r="CD103" i="1"/>
  <c r="BZ103" i="1"/>
  <c r="BY103" i="1"/>
  <c r="CA103" i="1"/>
  <c r="CL549" i="1"/>
  <c r="CK549" i="1"/>
  <c r="CJ549" i="1"/>
  <c r="CI549" i="1"/>
  <c r="CH549" i="1"/>
  <c r="CG549" i="1"/>
  <c r="CF549" i="1"/>
  <c r="CE549" i="1"/>
  <c r="CD549" i="1"/>
  <c r="CB549" i="1"/>
  <c r="CC549" i="1"/>
  <c r="CA549" i="1"/>
  <c r="BZ549" i="1"/>
  <c r="BY549" i="1"/>
  <c r="CL29" i="1"/>
  <c r="CK29" i="1"/>
  <c r="CI29" i="1"/>
  <c r="CJ29" i="1"/>
  <c r="CH29" i="1"/>
  <c r="CF29" i="1"/>
  <c r="CG29" i="1"/>
  <c r="CD29" i="1"/>
  <c r="CE29" i="1"/>
  <c r="CC29" i="1"/>
  <c r="CB29" i="1"/>
  <c r="BZ29" i="1"/>
  <c r="CA29" i="1"/>
  <c r="BY29" i="1"/>
  <c r="CL101" i="1"/>
  <c r="CK101" i="1"/>
  <c r="CI101" i="1"/>
  <c r="CJ101" i="1"/>
  <c r="CH101" i="1"/>
  <c r="CF101" i="1"/>
  <c r="CG101" i="1"/>
  <c r="CD101" i="1"/>
  <c r="CE101" i="1"/>
  <c r="CC101" i="1"/>
  <c r="CB101" i="1"/>
  <c r="CA101" i="1"/>
  <c r="BZ101" i="1"/>
  <c r="BY101" i="1"/>
  <c r="CL269" i="1"/>
  <c r="CK269" i="1"/>
  <c r="CJ269" i="1"/>
  <c r="CH269" i="1"/>
  <c r="CI269" i="1"/>
  <c r="CG269" i="1"/>
  <c r="CD269" i="1"/>
  <c r="CF269" i="1"/>
  <c r="CE269" i="1"/>
  <c r="CC269" i="1"/>
  <c r="CB269" i="1"/>
  <c r="CA269" i="1"/>
  <c r="BZ269" i="1"/>
  <c r="BY269" i="1"/>
  <c r="CL150" i="1"/>
  <c r="CK150" i="1"/>
  <c r="CJ150" i="1"/>
  <c r="CI150" i="1"/>
  <c r="CH150" i="1"/>
  <c r="CF150" i="1"/>
  <c r="CG150" i="1"/>
  <c r="CB150" i="1"/>
  <c r="CD150" i="1"/>
  <c r="CE150" i="1"/>
  <c r="CC150" i="1"/>
  <c r="BY150" i="1"/>
  <c r="CA150" i="1"/>
  <c r="BZ150" i="1"/>
  <c r="CL296" i="1"/>
  <c r="CK296" i="1"/>
  <c r="CJ296" i="1"/>
  <c r="CI296" i="1"/>
  <c r="CH296" i="1"/>
  <c r="CG296" i="1"/>
  <c r="CE296" i="1"/>
  <c r="CF296" i="1"/>
  <c r="CD296" i="1"/>
  <c r="CC296" i="1"/>
  <c r="CA296" i="1"/>
  <c r="CB296" i="1"/>
  <c r="BY296" i="1"/>
  <c r="BZ296" i="1"/>
  <c r="CL632" i="1"/>
  <c r="CK632" i="1"/>
  <c r="CJ632" i="1"/>
  <c r="CI632" i="1"/>
  <c r="CG632" i="1"/>
  <c r="CH632" i="1"/>
  <c r="CE632" i="1"/>
  <c r="CC632" i="1"/>
  <c r="CD632" i="1"/>
  <c r="CF632" i="1"/>
  <c r="CA632" i="1"/>
  <c r="CB632" i="1"/>
  <c r="BZ632" i="1"/>
  <c r="BY632" i="1"/>
  <c r="CL457" i="1"/>
  <c r="CK457" i="1"/>
  <c r="CJ457" i="1"/>
  <c r="CH457" i="1"/>
  <c r="CG457" i="1"/>
  <c r="CI457" i="1"/>
  <c r="CF457" i="1"/>
  <c r="CE457" i="1"/>
  <c r="CD457" i="1"/>
  <c r="CC457" i="1"/>
  <c r="CB457" i="1"/>
  <c r="CA457" i="1"/>
  <c r="BY457" i="1"/>
  <c r="BZ457" i="1"/>
  <c r="CK545" i="1"/>
  <c r="CL545" i="1"/>
  <c r="CJ545" i="1"/>
  <c r="CI545" i="1"/>
  <c r="CG545" i="1"/>
  <c r="CH545" i="1"/>
  <c r="CF545" i="1"/>
  <c r="CE545" i="1"/>
  <c r="CD545" i="1"/>
  <c r="CC545" i="1"/>
  <c r="CB545" i="1"/>
  <c r="CA545" i="1"/>
  <c r="BZ545" i="1"/>
  <c r="BY545" i="1"/>
  <c r="CL224" i="1"/>
  <c r="CK224" i="1"/>
  <c r="CJ224" i="1"/>
  <c r="CI224" i="1"/>
  <c r="CH224" i="1"/>
  <c r="CG224" i="1"/>
  <c r="CE224" i="1"/>
  <c r="CF224" i="1"/>
  <c r="CC224" i="1"/>
  <c r="CD224" i="1"/>
  <c r="CA224" i="1"/>
  <c r="CB224" i="1"/>
  <c r="BY224" i="1"/>
  <c r="BZ224" i="1"/>
  <c r="CL488" i="1"/>
  <c r="CK488" i="1"/>
  <c r="CJ488" i="1"/>
  <c r="CI488" i="1"/>
  <c r="CH488" i="1"/>
  <c r="CG488" i="1"/>
  <c r="CE488" i="1"/>
  <c r="CF488" i="1"/>
  <c r="CC488" i="1"/>
  <c r="CD488" i="1"/>
  <c r="CA488" i="1"/>
  <c r="CB488" i="1"/>
  <c r="BZ488" i="1"/>
  <c r="BY488" i="1"/>
  <c r="CL521" i="1"/>
  <c r="CK521" i="1"/>
  <c r="CJ521" i="1"/>
  <c r="CH521" i="1"/>
  <c r="CG521" i="1"/>
  <c r="CI521" i="1"/>
  <c r="CF521" i="1"/>
  <c r="CE521" i="1"/>
  <c r="CD521" i="1"/>
  <c r="CC521" i="1"/>
  <c r="CB521" i="1"/>
  <c r="CA521" i="1"/>
  <c r="BZ521" i="1"/>
  <c r="BY521" i="1"/>
  <c r="CL477" i="1"/>
  <c r="CK477" i="1"/>
  <c r="CJ477" i="1"/>
  <c r="CI477" i="1"/>
  <c r="CH477" i="1"/>
  <c r="CG477" i="1"/>
  <c r="CF477" i="1"/>
  <c r="CE477" i="1"/>
  <c r="CB477" i="1"/>
  <c r="CC477" i="1"/>
  <c r="CD477" i="1"/>
  <c r="CA477" i="1"/>
  <c r="BZ477" i="1"/>
  <c r="BY477" i="1"/>
  <c r="CL23" i="1"/>
  <c r="CK23" i="1"/>
  <c r="CJ23" i="1"/>
  <c r="CH23" i="1"/>
  <c r="CI23" i="1"/>
  <c r="CF23" i="1"/>
  <c r="CE23" i="1"/>
  <c r="CG23" i="1"/>
  <c r="CD23" i="1"/>
  <c r="CC23" i="1"/>
  <c r="CB23" i="1"/>
  <c r="BZ23" i="1"/>
  <c r="BY23" i="1"/>
  <c r="CA23" i="1"/>
  <c r="CL191" i="1"/>
  <c r="CK191" i="1"/>
  <c r="CJ191" i="1"/>
  <c r="CI191" i="1"/>
  <c r="CH191" i="1"/>
  <c r="CF191" i="1"/>
  <c r="CG191" i="1"/>
  <c r="CC191" i="1"/>
  <c r="CD191" i="1"/>
  <c r="CB191" i="1"/>
  <c r="CE191" i="1"/>
  <c r="BY191" i="1"/>
  <c r="CA191" i="1"/>
  <c r="BZ191" i="1"/>
  <c r="CL215" i="1"/>
  <c r="CK215" i="1"/>
  <c r="CJ215" i="1"/>
  <c r="CH215" i="1"/>
  <c r="CI215" i="1"/>
  <c r="CF215" i="1"/>
  <c r="CG215" i="1"/>
  <c r="CD215" i="1"/>
  <c r="CE215" i="1"/>
  <c r="CC215" i="1"/>
  <c r="CB215" i="1"/>
  <c r="BY215" i="1"/>
  <c r="CA215" i="1"/>
  <c r="BZ215" i="1"/>
  <c r="CL263" i="1"/>
  <c r="CK263" i="1"/>
  <c r="CJ263" i="1"/>
  <c r="CI263" i="1"/>
  <c r="CH263" i="1"/>
  <c r="CF263" i="1"/>
  <c r="CG263" i="1"/>
  <c r="CC263" i="1"/>
  <c r="CE263" i="1"/>
  <c r="CB263" i="1"/>
  <c r="CD263" i="1"/>
  <c r="BY263" i="1"/>
  <c r="CA263" i="1"/>
  <c r="BZ263" i="1"/>
  <c r="CL327" i="1"/>
  <c r="CK327" i="1"/>
  <c r="CJ327" i="1"/>
  <c r="CI327" i="1"/>
  <c r="CH327" i="1"/>
  <c r="CG327" i="1"/>
  <c r="CF327" i="1"/>
  <c r="CC327" i="1"/>
  <c r="CE327" i="1"/>
  <c r="CB327" i="1"/>
  <c r="CD327" i="1"/>
  <c r="BY327" i="1"/>
  <c r="CA327" i="1"/>
  <c r="BZ327" i="1"/>
  <c r="CL391" i="1"/>
  <c r="CK391" i="1"/>
  <c r="CJ391" i="1"/>
  <c r="CH391" i="1"/>
  <c r="CG391" i="1"/>
  <c r="CI391" i="1"/>
  <c r="CF391" i="1"/>
  <c r="CD391" i="1"/>
  <c r="CC391" i="1"/>
  <c r="CE391" i="1"/>
  <c r="CB391" i="1"/>
  <c r="BY391" i="1"/>
  <c r="CA391" i="1"/>
  <c r="BZ391" i="1"/>
  <c r="CL455" i="1"/>
  <c r="CK455" i="1"/>
  <c r="CJ455" i="1"/>
  <c r="CI455" i="1"/>
  <c r="CG455" i="1"/>
  <c r="CH455" i="1"/>
  <c r="CF455" i="1"/>
  <c r="CD455" i="1"/>
  <c r="CE455" i="1"/>
  <c r="CB455" i="1"/>
  <c r="CC455" i="1"/>
  <c r="CA455" i="1"/>
  <c r="BZ455" i="1"/>
  <c r="BY455" i="1"/>
  <c r="CL519" i="1"/>
  <c r="CK519" i="1"/>
  <c r="CJ519" i="1"/>
  <c r="CI519" i="1"/>
  <c r="CH519" i="1"/>
  <c r="CG519" i="1"/>
  <c r="CF519" i="1"/>
  <c r="CD519" i="1"/>
  <c r="CB519" i="1"/>
  <c r="CC519" i="1"/>
  <c r="CE519" i="1"/>
  <c r="CA519" i="1"/>
  <c r="BY519" i="1"/>
  <c r="BZ519" i="1"/>
  <c r="CL305" i="1"/>
  <c r="CK305" i="1"/>
  <c r="CJ305" i="1"/>
  <c r="CI305" i="1"/>
  <c r="CH305" i="1"/>
  <c r="CG305" i="1"/>
  <c r="CF305" i="1"/>
  <c r="CE305" i="1"/>
  <c r="CD305" i="1"/>
  <c r="CB305" i="1"/>
  <c r="CC305" i="1"/>
  <c r="CA305" i="1"/>
  <c r="BZ305" i="1"/>
  <c r="BY305" i="1"/>
  <c r="CL625" i="1"/>
  <c r="CK625" i="1"/>
  <c r="CJ625" i="1"/>
  <c r="CI625" i="1"/>
  <c r="CG625" i="1"/>
  <c r="CH625" i="1"/>
  <c r="CE625" i="1"/>
  <c r="CF625" i="1"/>
  <c r="CC625" i="1"/>
  <c r="CB625" i="1"/>
  <c r="CA625" i="1"/>
  <c r="CD625" i="1"/>
  <c r="BY625" i="1"/>
  <c r="BZ625" i="1"/>
  <c r="CL594" i="1"/>
  <c r="CK594" i="1"/>
  <c r="CJ594" i="1"/>
  <c r="CI594" i="1"/>
  <c r="CG594" i="1"/>
  <c r="CH594" i="1"/>
  <c r="CE594" i="1"/>
  <c r="CD594" i="1"/>
  <c r="CF594" i="1"/>
  <c r="CC594" i="1"/>
  <c r="CA594" i="1"/>
  <c r="CB594" i="1"/>
  <c r="BZ594" i="1"/>
  <c r="BY594" i="1"/>
  <c r="CL580" i="1"/>
  <c r="CK580" i="1"/>
  <c r="CJ580" i="1"/>
  <c r="CI580" i="1"/>
  <c r="CH580" i="1"/>
  <c r="CG580" i="1"/>
  <c r="CF580" i="1"/>
  <c r="CD580" i="1"/>
  <c r="CE580" i="1"/>
  <c r="CB580" i="1"/>
  <c r="CA580" i="1"/>
  <c r="BZ580" i="1"/>
  <c r="BY580" i="1"/>
  <c r="CC580" i="1"/>
  <c r="CL665" i="1"/>
  <c r="CJ665" i="1"/>
  <c r="CK665" i="1"/>
  <c r="CG665" i="1"/>
  <c r="CI665" i="1"/>
  <c r="CH665" i="1"/>
  <c r="CE665" i="1"/>
  <c r="CF665" i="1"/>
  <c r="CD665" i="1"/>
  <c r="CC665" i="1"/>
  <c r="CA665" i="1"/>
  <c r="CB665" i="1"/>
  <c r="BY665" i="1"/>
  <c r="BZ665" i="1"/>
  <c r="CL146" i="1"/>
  <c r="CK146" i="1"/>
  <c r="CJ146" i="1"/>
  <c r="CI146" i="1"/>
  <c r="CH146" i="1"/>
  <c r="CG146" i="1"/>
  <c r="CF146" i="1"/>
  <c r="CE146" i="1"/>
  <c r="CC146" i="1"/>
  <c r="CD146" i="1"/>
  <c r="CA146" i="1"/>
  <c r="CB146" i="1"/>
  <c r="BZ146" i="1"/>
  <c r="BY146" i="1"/>
  <c r="CK187" i="1"/>
  <c r="CL187" i="1"/>
  <c r="CJ187" i="1"/>
  <c r="CI187" i="1"/>
  <c r="CH187" i="1"/>
  <c r="CG187" i="1"/>
  <c r="CF187" i="1"/>
  <c r="CE187" i="1"/>
  <c r="CC187" i="1"/>
  <c r="CD187" i="1"/>
  <c r="CA187" i="1"/>
  <c r="CB187" i="1"/>
  <c r="BZ187" i="1"/>
  <c r="BY187" i="1"/>
  <c r="CK387" i="1"/>
  <c r="CL387" i="1"/>
  <c r="CJ387" i="1"/>
  <c r="CI387" i="1"/>
  <c r="CH387" i="1"/>
  <c r="CG387" i="1"/>
  <c r="CF387" i="1"/>
  <c r="CE387" i="1"/>
  <c r="CC387" i="1"/>
  <c r="CD387" i="1"/>
  <c r="CA387" i="1"/>
  <c r="BZ387" i="1"/>
  <c r="CB387" i="1"/>
  <c r="BY387" i="1"/>
  <c r="CL64" i="1"/>
  <c r="CJ64" i="1"/>
  <c r="CK64" i="1"/>
  <c r="CI64" i="1"/>
  <c r="CH64" i="1"/>
  <c r="CG64" i="1"/>
  <c r="CE64" i="1"/>
  <c r="CF64" i="1"/>
  <c r="CD64" i="1"/>
  <c r="CA64" i="1"/>
  <c r="BZ64" i="1"/>
  <c r="CC64" i="1"/>
  <c r="CB64" i="1"/>
  <c r="BY64" i="1"/>
  <c r="CL657" i="1"/>
  <c r="CK657" i="1"/>
  <c r="CJ657" i="1"/>
  <c r="CI657" i="1"/>
  <c r="CG657" i="1"/>
  <c r="CH657" i="1"/>
  <c r="CE657" i="1"/>
  <c r="CF657" i="1"/>
  <c r="CD657" i="1"/>
  <c r="CC657" i="1"/>
  <c r="CB657" i="1"/>
  <c r="CA657" i="1"/>
  <c r="BZ657" i="1"/>
  <c r="BY657" i="1"/>
  <c r="CL647" i="1"/>
  <c r="CK647" i="1"/>
  <c r="CJ647" i="1"/>
  <c r="CI647" i="1"/>
  <c r="CH647" i="1"/>
  <c r="CG647" i="1"/>
  <c r="CD647" i="1"/>
  <c r="CE647" i="1"/>
  <c r="CF647" i="1"/>
  <c r="CC647" i="1"/>
  <c r="CB647" i="1"/>
  <c r="CA647" i="1"/>
  <c r="BY647" i="1"/>
  <c r="BZ647" i="1"/>
  <c r="CL470" i="1"/>
  <c r="CK470" i="1"/>
  <c r="CI470" i="1"/>
  <c r="CH470" i="1"/>
  <c r="CJ470" i="1"/>
  <c r="CF470" i="1"/>
  <c r="CG470" i="1"/>
  <c r="CE470" i="1"/>
  <c r="CB470" i="1"/>
  <c r="CD470" i="1"/>
  <c r="CC470" i="1"/>
  <c r="BY470" i="1"/>
  <c r="CA470" i="1"/>
  <c r="BZ470" i="1"/>
  <c r="CL584" i="1"/>
  <c r="CK584" i="1"/>
  <c r="CJ584" i="1"/>
  <c r="CI584" i="1"/>
  <c r="CG584" i="1"/>
  <c r="CH584" i="1"/>
  <c r="CF584" i="1"/>
  <c r="CE584" i="1"/>
  <c r="CD584" i="1"/>
  <c r="CC584" i="1"/>
  <c r="CB584" i="1"/>
  <c r="CA584" i="1"/>
  <c r="BZ584" i="1"/>
  <c r="BY584" i="1"/>
  <c r="CL446" i="1"/>
  <c r="CK446" i="1"/>
  <c r="CJ446" i="1"/>
  <c r="CI446" i="1"/>
  <c r="CH446" i="1"/>
  <c r="CG446" i="1"/>
  <c r="CD446" i="1"/>
  <c r="CE446" i="1"/>
  <c r="CF446" i="1"/>
  <c r="CB446" i="1"/>
  <c r="CC446" i="1"/>
  <c r="BY446" i="1"/>
  <c r="CA446" i="1"/>
  <c r="BZ446" i="1"/>
  <c r="CL137" i="1"/>
  <c r="CK137" i="1"/>
  <c r="CJ137" i="1"/>
  <c r="CI137" i="1"/>
  <c r="CH137" i="1"/>
  <c r="CG137" i="1"/>
  <c r="CF137" i="1"/>
  <c r="CE137" i="1"/>
  <c r="CC137" i="1"/>
  <c r="CD137" i="1"/>
  <c r="CB137" i="1"/>
  <c r="CA137" i="1"/>
  <c r="BZ137" i="1"/>
  <c r="BY137" i="1"/>
  <c r="CL319" i="1"/>
  <c r="CK319" i="1"/>
  <c r="CJ319" i="1"/>
  <c r="CI319" i="1"/>
  <c r="CH319" i="1"/>
  <c r="CF319" i="1"/>
  <c r="CG319" i="1"/>
  <c r="CE319" i="1"/>
  <c r="CC319" i="1"/>
  <c r="CB319" i="1"/>
  <c r="BY319" i="1"/>
  <c r="CA319" i="1"/>
  <c r="CD319" i="1"/>
  <c r="BZ319" i="1"/>
  <c r="CL42" i="1"/>
  <c r="CK42" i="1"/>
  <c r="CJ42" i="1"/>
  <c r="CH42" i="1"/>
  <c r="CI42" i="1"/>
  <c r="CG42" i="1"/>
  <c r="CF42" i="1"/>
  <c r="CE42" i="1"/>
  <c r="CC42" i="1"/>
  <c r="CA42" i="1"/>
  <c r="CD42" i="1"/>
  <c r="CB42" i="1"/>
  <c r="BZ42" i="1"/>
  <c r="BY42" i="1"/>
  <c r="CK289" i="1"/>
  <c r="CL289" i="1"/>
  <c r="CJ289" i="1"/>
  <c r="CH289" i="1"/>
  <c r="CG289" i="1"/>
  <c r="CF289" i="1"/>
  <c r="CI289" i="1"/>
  <c r="CE289" i="1"/>
  <c r="CD289" i="1"/>
  <c r="CC289" i="1"/>
  <c r="CB289" i="1"/>
  <c r="CA289" i="1"/>
  <c r="BZ289" i="1"/>
  <c r="BY289" i="1"/>
  <c r="CL583" i="1"/>
  <c r="CK583" i="1"/>
  <c r="CJ583" i="1"/>
  <c r="CI583" i="1"/>
  <c r="CH583" i="1"/>
  <c r="CG583" i="1"/>
  <c r="CD583" i="1"/>
  <c r="CF583" i="1"/>
  <c r="CB583" i="1"/>
  <c r="CC583" i="1"/>
  <c r="CE583" i="1"/>
  <c r="CA583" i="1"/>
  <c r="BY583" i="1"/>
  <c r="BZ583" i="1"/>
  <c r="CK275" i="1"/>
  <c r="CL275" i="1"/>
  <c r="CJ275" i="1"/>
  <c r="CI275" i="1"/>
  <c r="CG275" i="1"/>
  <c r="CH275" i="1"/>
  <c r="CE275" i="1"/>
  <c r="CF275" i="1"/>
  <c r="CC275" i="1"/>
  <c r="CD275" i="1"/>
  <c r="CA275" i="1"/>
  <c r="CB275" i="1"/>
  <c r="BZ275" i="1"/>
  <c r="BY275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CL341" i="1"/>
  <c r="CK341" i="1"/>
  <c r="CI341" i="1"/>
  <c r="CH341" i="1"/>
  <c r="CJ341" i="1"/>
  <c r="CG341" i="1"/>
  <c r="CF341" i="1"/>
  <c r="CD341" i="1"/>
  <c r="CE341" i="1"/>
  <c r="CC341" i="1"/>
  <c r="CB341" i="1"/>
  <c r="CA341" i="1"/>
  <c r="BZ341" i="1"/>
  <c r="BY341" i="1"/>
  <c r="CL102" i="1"/>
  <c r="CK102" i="1"/>
  <c r="CJ102" i="1"/>
  <c r="CI102" i="1"/>
  <c r="CH102" i="1"/>
  <c r="CG102" i="1"/>
  <c r="CF102" i="1"/>
  <c r="CE102" i="1"/>
  <c r="CD102" i="1"/>
  <c r="CC102" i="1"/>
  <c r="CB102" i="1"/>
  <c r="BZ102" i="1"/>
  <c r="BY102" i="1"/>
  <c r="CA102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CL222" i="1"/>
  <c r="CJ222" i="1"/>
  <c r="CK222" i="1"/>
  <c r="CH222" i="1"/>
  <c r="CI222" i="1"/>
  <c r="CG222" i="1"/>
  <c r="CF222" i="1"/>
  <c r="CD222" i="1"/>
  <c r="CE222" i="1"/>
  <c r="CB222" i="1"/>
  <c r="CC222" i="1"/>
  <c r="BY222" i="1"/>
  <c r="CA222" i="1"/>
  <c r="BZ222" i="1"/>
  <c r="CL8" i="1"/>
  <c r="CK8" i="1"/>
  <c r="CJ8" i="1"/>
  <c r="CI8" i="1"/>
  <c r="CH8" i="1"/>
  <c r="CG8" i="1"/>
  <c r="CF8" i="1"/>
  <c r="CE8" i="1"/>
  <c r="CD8" i="1"/>
  <c r="CB8" i="1"/>
  <c r="CA8" i="1"/>
  <c r="BZ8" i="1"/>
  <c r="CC8" i="1"/>
  <c r="BY8" i="1"/>
  <c r="CL63" i="1"/>
  <c r="CK63" i="1"/>
  <c r="CJ63" i="1"/>
  <c r="CI63" i="1"/>
  <c r="CH63" i="1"/>
  <c r="CF63" i="1"/>
  <c r="CE63" i="1"/>
  <c r="CG63" i="1"/>
  <c r="CC63" i="1"/>
  <c r="CB63" i="1"/>
  <c r="BZ63" i="1"/>
  <c r="CD63" i="1"/>
  <c r="BY63" i="1"/>
  <c r="CA63" i="1"/>
  <c r="CL4" i="1"/>
  <c r="CK4" i="1"/>
  <c r="CJ4" i="1"/>
  <c r="CI4" i="1"/>
  <c r="CH4" i="1"/>
  <c r="CF4" i="1"/>
  <c r="CG4" i="1"/>
  <c r="CD4" i="1"/>
  <c r="CE4" i="1"/>
  <c r="CC4" i="1"/>
  <c r="CB4" i="1"/>
  <c r="BZ4" i="1"/>
  <c r="CA4" i="1"/>
  <c r="BY4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CL621" i="1"/>
  <c r="CK621" i="1"/>
  <c r="CJ621" i="1"/>
  <c r="CI621" i="1"/>
  <c r="CH621" i="1"/>
  <c r="CG621" i="1"/>
  <c r="CF621" i="1"/>
  <c r="CE621" i="1"/>
  <c r="CD621" i="1"/>
  <c r="CB621" i="1"/>
  <c r="CC621" i="1"/>
  <c r="CA621" i="1"/>
  <c r="BZ621" i="1"/>
  <c r="BY621" i="1"/>
  <c r="CL50" i="1"/>
  <c r="CK50" i="1"/>
  <c r="CJ50" i="1"/>
  <c r="CI50" i="1"/>
  <c r="CH50" i="1"/>
  <c r="CG50" i="1"/>
  <c r="CF50" i="1"/>
  <c r="CE50" i="1"/>
  <c r="CC50" i="1"/>
  <c r="CD50" i="1"/>
  <c r="CB50" i="1"/>
  <c r="CA50" i="1"/>
  <c r="BZ50" i="1"/>
  <c r="BY50" i="1"/>
  <c r="CL114" i="1"/>
  <c r="CK114" i="1"/>
  <c r="CJ114" i="1"/>
  <c r="CI114" i="1"/>
  <c r="CH114" i="1"/>
  <c r="CG114" i="1"/>
  <c r="CF114" i="1"/>
  <c r="CE114" i="1"/>
  <c r="CC114" i="1"/>
  <c r="CD114" i="1"/>
  <c r="CB114" i="1"/>
  <c r="CA114" i="1"/>
  <c r="BZ114" i="1"/>
  <c r="BY114" i="1"/>
  <c r="CL178" i="1"/>
  <c r="CK178" i="1"/>
  <c r="CJ178" i="1"/>
  <c r="CI178" i="1"/>
  <c r="CH178" i="1"/>
  <c r="CG178" i="1"/>
  <c r="CF178" i="1"/>
  <c r="CE178" i="1"/>
  <c r="CC178" i="1"/>
  <c r="CD178" i="1"/>
  <c r="CB178" i="1"/>
  <c r="CA178" i="1"/>
  <c r="BZ178" i="1"/>
  <c r="BY178" i="1"/>
  <c r="CL14" i="1"/>
  <c r="CJ14" i="1"/>
  <c r="CK14" i="1"/>
  <c r="CH14" i="1"/>
  <c r="CI14" i="1"/>
  <c r="CF14" i="1"/>
  <c r="CG14" i="1"/>
  <c r="CE14" i="1"/>
  <c r="CD14" i="1"/>
  <c r="CC14" i="1"/>
  <c r="CB14" i="1"/>
  <c r="BZ14" i="1"/>
  <c r="CA14" i="1"/>
  <c r="BY14" i="1"/>
  <c r="CL110" i="1"/>
  <c r="CJ110" i="1"/>
  <c r="CK110" i="1"/>
  <c r="CI110" i="1"/>
  <c r="CH110" i="1"/>
  <c r="CG110" i="1"/>
  <c r="CF110" i="1"/>
  <c r="CD110" i="1"/>
  <c r="CE110" i="1"/>
  <c r="CB110" i="1"/>
  <c r="CC110" i="1"/>
  <c r="BZ110" i="1"/>
  <c r="CA110" i="1"/>
  <c r="BY110" i="1"/>
  <c r="CL406" i="1"/>
  <c r="CK406" i="1"/>
  <c r="CJ406" i="1"/>
  <c r="CI406" i="1"/>
  <c r="CH406" i="1"/>
  <c r="CG406" i="1"/>
  <c r="CF406" i="1"/>
  <c r="CE406" i="1"/>
  <c r="CB406" i="1"/>
  <c r="CD406" i="1"/>
  <c r="CC406" i="1"/>
  <c r="BY406" i="1"/>
  <c r="CA406" i="1"/>
  <c r="BZ406" i="1"/>
  <c r="CL192" i="1"/>
  <c r="CK192" i="1"/>
  <c r="CJ192" i="1"/>
  <c r="CI192" i="1"/>
  <c r="CH192" i="1"/>
  <c r="CG192" i="1"/>
  <c r="CE192" i="1"/>
  <c r="CF192" i="1"/>
  <c r="CD192" i="1"/>
  <c r="CA192" i="1"/>
  <c r="CB192" i="1"/>
  <c r="CC192" i="1"/>
  <c r="BY192" i="1"/>
  <c r="BZ192" i="1"/>
  <c r="CL544" i="1"/>
  <c r="CJ544" i="1"/>
  <c r="CK544" i="1"/>
  <c r="CI544" i="1"/>
  <c r="CG544" i="1"/>
  <c r="CH544" i="1"/>
  <c r="CE544" i="1"/>
  <c r="CF544" i="1"/>
  <c r="CC544" i="1"/>
  <c r="CD544" i="1"/>
  <c r="CA544" i="1"/>
  <c r="CB544" i="1"/>
  <c r="BZ544" i="1"/>
  <c r="BY544" i="1"/>
  <c r="CL33" i="1"/>
  <c r="CK33" i="1"/>
  <c r="CJ33" i="1"/>
  <c r="CI33" i="1"/>
  <c r="CG33" i="1"/>
  <c r="CH33" i="1"/>
  <c r="CF33" i="1"/>
  <c r="CE33" i="1"/>
  <c r="CD33" i="1"/>
  <c r="CC33" i="1"/>
  <c r="CB33" i="1"/>
  <c r="CA33" i="1"/>
  <c r="BZ33" i="1"/>
  <c r="BY33" i="1"/>
  <c r="CL321" i="1"/>
  <c r="CK321" i="1"/>
  <c r="CJ321" i="1"/>
  <c r="CH321" i="1"/>
  <c r="CI321" i="1"/>
  <c r="CG321" i="1"/>
  <c r="CF321" i="1"/>
  <c r="CE321" i="1"/>
  <c r="CD321" i="1"/>
  <c r="CC321" i="1"/>
  <c r="CB321" i="1"/>
  <c r="CA321" i="1"/>
  <c r="BZ321" i="1"/>
  <c r="BY321" i="1"/>
  <c r="CK433" i="1"/>
  <c r="CL433" i="1"/>
  <c r="CJ433" i="1"/>
  <c r="CG433" i="1"/>
  <c r="CI433" i="1"/>
  <c r="CH433" i="1"/>
  <c r="CF433" i="1"/>
  <c r="CE433" i="1"/>
  <c r="CD433" i="1"/>
  <c r="CC433" i="1"/>
  <c r="CB433" i="1"/>
  <c r="CA433" i="1"/>
  <c r="BZ433" i="1"/>
  <c r="BY433" i="1"/>
  <c r="CK609" i="1"/>
  <c r="CJ609" i="1"/>
  <c r="CL609" i="1"/>
  <c r="CI609" i="1"/>
  <c r="CG609" i="1"/>
  <c r="CH609" i="1"/>
  <c r="CF609" i="1"/>
  <c r="CE609" i="1"/>
  <c r="CD609" i="1"/>
  <c r="CC609" i="1"/>
  <c r="CB609" i="1"/>
  <c r="CA609" i="1"/>
  <c r="BY609" i="1"/>
  <c r="BZ609" i="1"/>
  <c r="CL159" i="1"/>
  <c r="CK159" i="1"/>
  <c r="CJ159" i="1"/>
  <c r="CI159" i="1"/>
  <c r="CH159" i="1"/>
  <c r="CF159" i="1"/>
  <c r="CG159" i="1"/>
  <c r="CC159" i="1"/>
  <c r="CB159" i="1"/>
  <c r="CE159" i="1"/>
  <c r="BY159" i="1"/>
  <c r="CD159" i="1"/>
  <c r="CA159" i="1"/>
  <c r="BZ159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CL655" i="1"/>
  <c r="CK655" i="1"/>
  <c r="CJ655" i="1"/>
  <c r="CI655" i="1"/>
  <c r="CH655" i="1"/>
  <c r="CG655" i="1"/>
  <c r="CF655" i="1"/>
  <c r="CD655" i="1"/>
  <c r="CE655" i="1"/>
  <c r="CC655" i="1"/>
  <c r="CA655" i="1"/>
  <c r="BZ655" i="1"/>
  <c r="BY655" i="1"/>
  <c r="CB655" i="1"/>
  <c r="CK99" i="1"/>
  <c r="CL99" i="1"/>
  <c r="CJ99" i="1"/>
  <c r="CI99" i="1"/>
  <c r="CH99" i="1"/>
  <c r="CG99" i="1"/>
  <c r="CF99" i="1"/>
  <c r="CE99" i="1"/>
  <c r="CC99" i="1"/>
  <c r="CD99" i="1"/>
  <c r="CB99" i="1"/>
  <c r="CA99" i="1"/>
  <c r="BZ99" i="1"/>
  <c r="BY99" i="1"/>
  <c r="CK283" i="1"/>
  <c r="CL283" i="1"/>
  <c r="CJ283" i="1"/>
  <c r="CI283" i="1"/>
  <c r="CH283" i="1"/>
  <c r="CG283" i="1"/>
  <c r="CF283" i="1"/>
  <c r="CE283" i="1"/>
  <c r="CC283" i="1"/>
  <c r="CD283" i="1"/>
  <c r="CB283" i="1"/>
  <c r="CA283" i="1"/>
  <c r="BZ283" i="1"/>
  <c r="BY283" i="1"/>
  <c r="CK307" i="1"/>
  <c r="CL307" i="1"/>
  <c r="CJ307" i="1"/>
  <c r="CI307" i="1"/>
  <c r="CG307" i="1"/>
  <c r="CH307" i="1"/>
  <c r="CF307" i="1"/>
  <c r="CE307" i="1"/>
  <c r="CC307" i="1"/>
  <c r="CD307" i="1"/>
  <c r="CB307" i="1"/>
  <c r="CA307" i="1"/>
  <c r="BZ307" i="1"/>
  <c r="BY307" i="1"/>
  <c r="CK331" i="1"/>
  <c r="CL331" i="1"/>
  <c r="CJ331" i="1"/>
  <c r="CI331" i="1"/>
  <c r="CG331" i="1"/>
  <c r="CH331" i="1"/>
  <c r="CF331" i="1"/>
  <c r="CE331" i="1"/>
  <c r="CD331" i="1"/>
  <c r="CC331" i="1"/>
  <c r="CB331" i="1"/>
  <c r="CA331" i="1"/>
  <c r="BZ331" i="1"/>
  <c r="BY331" i="1"/>
  <c r="CK419" i="1"/>
  <c r="CL419" i="1"/>
  <c r="CJ419" i="1"/>
  <c r="CI419" i="1"/>
  <c r="CG419" i="1"/>
  <c r="CH419" i="1"/>
  <c r="CF419" i="1"/>
  <c r="CE419" i="1"/>
  <c r="CC419" i="1"/>
  <c r="CD419" i="1"/>
  <c r="CB419" i="1"/>
  <c r="CA419" i="1"/>
  <c r="BZ419" i="1"/>
  <c r="BY419" i="1"/>
  <c r="CL507" i="1"/>
  <c r="CK507" i="1"/>
  <c r="CJ507" i="1"/>
  <c r="CI507" i="1"/>
  <c r="CG507" i="1"/>
  <c r="CF507" i="1"/>
  <c r="CE507" i="1"/>
  <c r="CH507" i="1"/>
  <c r="CD507" i="1"/>
  <c r="CC507" i="1"/>
  <c r="CA507" i="1"/>
  <c r="CB507" i="1"/>
  <c r="BZ507" i="1"/>
  <c r="BY507" i="1"/>
  <c r="CL531" i="1"/>
  <c r="CK531" i="1"/>
  <c r="CJ531" i="1"/>
  <c r="CI531" i="1"/>
  <c r="CH531" i="1"/>
  <c r="CG531" i="1"/>
  <c r="CF531" i="1"/>
  <c r="CE531" i="1"/>
  <c r="CD531" i="1"/>
  <c r="CC531" i="1"/>
  <c r="CA531" i="1"/>
  <c r="CB531" i="1"/>
  <c r="BZ531" i="1"/>
  <c r="BY531" i="1"/>
  <c r="CK595" i="1"/>
  <c r="CL595" i="1"/>
  <c r="CJ595" i="1"/>
  <c r="CI595" i="1"/>
  <c r="CG595" i="1"/>
  <c r="CF595" i="1"/>
  <c r="CH595" i="1"/>
  <c r="CE595" i="1"/>
  <c r="CC595" i="1"/>
  <c r="CD595" i="1"/>
  <c r="CA595" i="1"/>
  <c r="CB595" i="1"/>
  <c r="BZ595" i="1"/>
  <c r="BY595" i="1"/>
  <c r="CL659" i="1"/>
  <c r="CK659" i="1"/>
  <c r="CI659" i="1"/>
  <c r="CG659" i="1"/>
  <c r="CJ659" i="1"/>
  <c r="CF659" i="1"/>
  <c r="CH659" i="1"/>
  <c r="CD659" i="1"/>
  <c r="CE659" i="1"/>
  <c r="CC659" i="1"/>
  <c r="CB659" i="1"/>
  <c r="CA659" i="1"/>
  <c r="BZ659" i="1"/>
  <c r="BY659" i="1"/>
  <c r="CL206" i="1"/>
  <c r="CJ206" i="1"/>
  <c r="CK206" i="1"/>
  <c r="CH206" i="1"/>
  <c r="CI206" i="1"/>
  <c r="CG206" i="1"/>
  <c r="CF206" i="1"/>
  <c r="CD206" i="1"/>
  <c r="CE206" i="1"/>
  <c r="CC206" i="1"/>
  <c r="CB206" i="1"/>
  <c r="CA206" i="1"/>
  <c r="BY206" i="1"/>
  <c r="BZ206" i="1"/>
  <c r="CL390" i="1"/>
  <c r="CK390" i="1"/>
  <c r="CJ390" i="1"/>
  <c r="CI390" i="1"/>
  <c r="CH390" i="1"/>
  <c r="CG390" i="1"/>
  <c r="CF390" i="1"/>
  <c r="CD390" i="1"/>
  <c r="CE390" i="1"/>
  <c r="CB390" i="1"/>
  <c r="CC390" i="1"/>
  <c r="BY390" i="1"/>
  <c r="BZ390" i="1"/>
  <c r="CA390" i="1"/>
  <c r="CL673" i="1"/>
  <c r="CK673" i="1"/>
  <c r="CJ673" i="1"/>
  <c r="CI673" i="1"/>
  <c r="CG673" i="1"/>
  <c r="CH673" i="1"/>
  <c r="CF673" i="1"/>
  <c r="CE673" i="1"/>
  <c r="CD673" i="1"/>
  <c r="CC673" i="1"/>
  <c r="CA673" i="1"/>
  <c r="CB673" i="1"/>
  <c r="BY673" i="1"/>
  <c r="BZ673" i="1"/>
  <c r="CL208" i="1"/>
  <c r="CK208" i="1"/>
  <c r="CJ208" i="1"/>
  <c r="CI208" i="1"/>
  <c r="CH208" i="1"/>
  <c r="CG208" i="1"/>
  <c r="CE208" i="1"/>
  <c r="CF208" i="1"/>
  <c r="CD208" i="1"/>
  <c r="CC208" i="1"/>
  <c r="CA208" i="1"/>
  <c r="CB208" i="1"/>
  <c r="BY208" i="1"/>
  <c r="BZ208" i="1"/>
  <c r="CL480" i="1"/>
  <c r="CJ480" i="1"/>
  <c r="CK480" i="1"/>
  <c r="CI480" i="1"/>
  <c r="CG480" i="1"/>
  <c r="CH480" i="1"/>
  <c r="CE480" i="1"/>
  <c r="CF480" i="1"/>
  <c r="CD480" i="1"/>
  <c r="CC480" i="1"/>
  <c r="CA480" i="1"/>
  <c r="CB480" i="1"/>
  <c r="BZ480" i="1"/>
  <c r="BY480" i="1"/>
  <c r="CL167" i="1"/>
  <c r="CK167" i="1"/>
  <c r="CJ167" i="1"/>
  <c r="CI167" i="1"/>
  <c r="CH167" i="1"/>
  <c r="CF167" i="1"/>
  <c r="CG167" i="1"/>
  <c r="CE167" i="1"/>
  <c r="CC167" i="1"/>
  <c r="CD167" i="1"/>
  <c r="CB167" i="1"/>
  <c r="BY167" i="1"/>
  <c r="CA167" i="1"/>
  <c r="BZ167" i="1"/>
  <c r="CK428" i="1"/>
  <c r="CL428" i="1"/>
  <c r="CJ428" i="1"/>
  <c r="CI428" i="1"/>
  <c r="CH428" i="1"/>
  <c r="CG428" i="1"/>
  <c r="CF428" i="1"/>
  <c r="CD428" i="1"/>
  <c r="CC428" i="1"/>
  <c r="CE428" i="1"/>
  <c r="CB428" i="1"/>
  <c r="CA428" i="1"/>
  <c r="BZ428" i="1"/>
  <c r="BY428" i="1"/>
  <c r="CL612" i="1"/>
  <c r="CK612" i="1"/>
  <c r="CJ612" i="1"/>
  <c r="CI612" i="1"/>
  <c r="CH612" i="1"/>
  <c r="CG612" i="1"/>
  <c r="CF612" i="1"/>
  <c r="CD612" i="1"/>
  <c r="CE612" i="1"/>
  <c r="CB612" i="1"/>
  <c r="CC612" i="1"/>
  <c r="CA612" i="1"/>
  <c r="BZ612" i="1"/>
  <c r="BY612" i="1"/>
  <c r="CL12" i="1"/>
  <c r="CK12" i="1"/>
  <c r="CJ12" i="1"/>
  <c r="CI12" i="1"/>
  <c r="CF12" i="1"/>
  <c r="CG12" i="1"/>
  <c r="CD12" i="1"/>
  <c r="CH12" i="1"/>
  <c r="CC12" i="1"/>
  <c r="CE12" i="1"/>
  <c r="CB12" i="1"/>
  <c r="BZ12" i="1"/>
  <c r="CA12" i="1"/>
  <c r="BY12" i="1"/>
  <c r="CL36" i="1"/>
  <c r="CK36" i="1"/>
  <c r="CJ36" i="1"/>
  <c r="CI36" i="1"/>
  <c r="CH36" i="1"/>
  <c r="CF36" i="1"/>
  <c r="CG36" i="1"/>
  <c r="CE36" i="1"/>
  <c r="CD36" i="1"/>
  <c r="CC36" i="1"/>
  <c r="CB36" i="1"/>
  <c r="BZ36" i="1"/>
  <c r="CA36" i="1"/>
  <c r="BY36" i="1"/>
  <c r="CK60" i="1"/>
  <c r="CL60" i="1"/>
  <c r="CJ60" i="1"/>
  <c r="CI60" i="1"/>
  <c r="CF60" i="1"/>
  <c r="CH60" i="1"/>
  <c r="CG60" i="1"/>
  <c r="CD60" i="1"/>
  <c r="CE60" i="1"/>
  <c r="CC60" i="1"/>
  <c r="CB60" i="1"/>
  <c r="BZ60" i="1"/>
  <c r="CA60" i="1"/>
  <c r="BY60" i="1"/>
  <c r="CL84" i="1"/>
  <c r="CK84" i="1"/>
  <c r="CJ84" i="1"/>
  <c r="CI84" i="1"/>
  <c r="CF84" i="1"/>
  <c r="CG84" i="1"/>
  <c r="CH84" i="1"/>
  <c r="CD84" i="1"/>
  <c r="CE84" i="1"/>
  <c r="CC84" i="1"/>
  <c r="CB84" i="1"/>
  <c r="BZ84" i="1"/>
  <c r="CA84" i="1"/>
  <c r="BY84" i="1"/>
  <c r="CL172" i="1"/>
  <c r="CK172" i="1"/>
  <c r="CJ172" i="1"/>
  <c r="CI172" i="1"/>
  <c r="CF172" i="1"/>
  <c r="CG172" i="1"/>
  <c r="CH172" i="1"/>
  <c r="CD172" i="1"/>
  <c r="CE172" i="1"/>
  <c r="CC172" i="1"/>
  <c r="CB172" i="1"/>
  <c r="CA172" i="1"/>
  <c r="BZ172" i="1"/>
  <c r="BY172" i="1"/>
  <c r="CL260" i="1"/>
  <c r="CK260" i="1"/>
  <c r="CJ260" i="1"/>
  <c r="CI260" i="1"/>
  <c r="CF260" i="1"/>
  <c r="CH260" i="1"/>
  <c r="CG260" i="1"/>
  <c r="CD260" i="1"/>
  <c r="CC260" i="1"/>
  <c r="CB260" i="1"/>
  <c r="CE260" i="1"/>
  <c r="CA260" i="1"/>
  <c r="BZ260" i="1"/>
  <c r="BY260" i="1"/>
  <c r="CL382" i="1"/>
  <c r="CJ382" i="1"/>
  <c r="CK382" i="1"/>
  <c r="CI382" i="1"/>
  <c r="CH382" i="1"/>
  <c r="CG382" i="1"/>
  <c r="CD382" i="1"/>
  <c r="CE382" i="1"/>
  <c r="CF382" i="1"/>
  <c r="CB382" i="1"/>
  <c r="CC382" i="1"/>
  <c r="BY382" i="1"/>
  <c r="CA382" i="1"/>
  <c r="BZ382" i="1"/>
  <c r="CL200" i="1"/>
  <c r="CK200" i="1"/>
  <c r="CJ200" i="1"/>
  <c r="CI200" i="1"/>
  <c r="CH200" i="1"/>
  <c r="CG200" i="1"/>
  <c r="CF200" i="1"/>
  <c r="CE200" i="1"/>
  <c r="CD200" i="1"/>
  <c r="CB200" i="1"/>
  <c r="CA200" i="1"/>
  <c r="CC200" i="1"/>
  <c r="BY200" i="1"/>
  <c r="BZ200" i="1"/>
  <c r="CL608" i="1"/>
  <c r="CK608" i="1"/>
  <c r="CJ608" i="1"/>
  <c r="CI608" i="1"/>
  <c r="CG608" i="1"/>
  <c r="CH608" i="1"/>
  <c r="CE608" i="1"/>
  <c r="CF608" i="1"/>
  <c r="CC608" i="1"/>
  <c r="CD608" i="1"/>
  <c r="CA608" i="1"/>
  <c r="CB608" i="1"/>
  <c r="BZ608" i="1"/>
  <c r="BY608" i="1"/>
  <c r="CL41" i="1"/>
  <c r="CK41" i="1"/>
  <c r="CJ41" i="1"/>
  <c r="CI41" i="1"/>
  <c r="CH41" i="1"/>
  <c r="CG41" i="1"/>
  <c r="CF41" i="1"/>
  <c r="CE41" i="1"/>
  <c r="CD41" i="1"/>
  <c r="CB41" i="1"/>
  <c r="CA41" i="1"/>
  <c r="CC41" i="1"/>
  <c r="BZ41" i="1"/>
  <c r="BY41" i="1"/>
  <c r="CK297" i="1"/>
  <c r="CL297" i="1"/>
  <c r="CJ297" i="1"/>
  <c r="CI297" i="1"/>
  <c r="CH297" i="1"/>
  <c r="CG297" i="1"/>
  <c r="CF297" i="1"/>
  <c r="CE297" i="1"/>
  <c r="CB297" i="1"/>
  <c r="CA297" i="1"/>
  <c r="CD297" i="1"/>
  <c r="CC297" i="1"/>
  <c r="BY297" i="1"/>
  <c r="BZ297" i="1"/>
  <c r="CK513" i="1"/>
  <c r="CL513" i="1"/>
  <c r="CJ513" i="1"/>
  <c r="CI513" i="1"/>
  <c r="CG513" i="1"/>
  <c r="CH513" i="1"/>
  <c r="CF513" i="1"/>
  <c r="CE513" i="1"/>
  <c r="CC513" i="1"/>
  <c r="CD513" i="1"/>
  <c r="CB513" i="1"/>
  <c r="CA513" i="1"/>
  <c r="BZ513" i="1"/>
  <c r="BY513" i="1"/>
  <c r="CL229" i="1"/>
  <c r="CK229" i="1"/>
  <c r="CI229" i="1"/>
  <c r="CJ229" i="1"/>
  <c r="CH229" i="1"/>
  <c r="CF229" i="1"/>
  <c r="CG229" i="1"/>
  <c r="CD229" i="1"/>
  <c r="CE229" i="1"/>
  <c r="CC229" i="1"/>
  <c r="CB229" i="1"/>
  <c r="CA229" i="1"/>
  <c r="BZ229" i="1"/>
  <c r="BY229" i="1"/>
  <c r="CL574" i="1"/>
  <c r="CK574" i="1"/>
  <c r="CI574" i="1"/>
  <c r="CJ574" i="1"/>
  <c r="CH574" i="1"/>
  <c r="CG574" i="1"/>
  <c r="CF574" i="1"/>
  <c r="CD574" i="1"/>
  <c r="CB574" i="1"/>
  <c r="CE574" i="1"/>
  <c r="CC574" i="1"/>
  <c r="BY574" i="1"/>
  <c r="CA574" i="1"/>
  <c r="BZ574" i="1"/>
  <c r="CL205" i="1"/>
  <c r="CK205" i="1"/>
  <c r="CI205" i="1"/>
  <c r="CJ205" i="1"/>
  <c r="CH205" i="1"/>
  <c r="CF205" i="1"/>
  <c r="CG205" i="1"/>
  <c r="CD205" i="1"/>
  <c r="CE205" i="1"/>
  <c r="CC205" i="1"/>
  <c r="CB205" i="1"/>
  <c r="CA205" i="1"/>
  <c r="BZ205" i="1"/>
  <c r="BY205" i="1"/>
  <c r="CL334" i="1"/>
  <c r="CJ334" i="1"/>
  <c r="CK334" i="1"/>
  <c r="CI334" i="1"/>
  <c r="CH334" i="1"/>
  <c r="CG334" i="1"/>
  <c r="CE334" i="1"/>
  <c r="CD334" i="1"/>
  <c r="CF334" i="1"/>
  <c r="CC334" i="1"/>
  <c r="CB334" i="1"/>
  <c r="CA334" i="1"/>
  <c r="BY334" i="1"/>
  <c r="BZ334" i="1"/>
  <c r="CL510" i="1"/>
  <c r="CK510" i="1"/>
  <c r="CJ510" i="1"/>
  <c r="CI510" i="1"/>
  <c r="CH510" i="1"/>
  <c r="CG510" i="1"/>
  <c r="CD510" i="1"/>
  <c r="CF510" i="1"/>
  <c r="CB510" i="1"/>
  <c r="CE510" i="1"/>
  <c r="CC510" i="1"/>
  <c r="BY510" i="1"/>
  <c r="CA510" i="1"/>
  <c r="BZ510" i="1"/>
  <c r="CL104" i="1"/>
  <c r="CK104" i="1"/>
  <c r="CJ104" i="1"/>
  <c r="CI104" i="1"/>
  <c r="CH104" i="1"/>
  <c r="CG104" i="1"/>
  <c r="CF104" i="1"/>
  <c r="CE104" i="1"/>
  <c r="CD104" i="1"/>
  <c r="CC104" i="1"/>
  <c r="CA104" i="1"/>
  <c r="CB104" i="1"/>
  <c r="BZ104" i="1"/>
  <c r="BY104" i="1"/>
  <c r="CL424" i="1"/>
  <c r="CK424" i="1"/>
  <c r="CJ424" i="1"/>
  <c r="CI424" i="1"/>
  <c r="CG424" i="1"/>
  <c r="CH424" i="1"/>
  <c r="CE424" i="1"/>
  <c r="CF424" i="1"/>
  <c r="CC424" i="1"/>
  <c r="CD424" i="1"/>
  <c r="CA424" i="1"/>
  <c r="CB424" i="1"/>
  <c r="BY424" i="1"/>
  <c r="BZ424" i="1"/>
  <c r="CL49" i="1"/>
  <c r="CK49" i="1"/>
  <c r="CJ49" i="1"/>
  <c r="CI49" i="1"/>
  <c r="CH49" i="1"/>
  <c r="CG49" i="1"/>
  <c r="CF49" i="1"/>
  <c r="CE49" i="1"/>
  <c r="CD49" i="1"/>
  <c r="CB49" i="1"/>
  <c r="CA49" i="1"/>
  <c r="CC49" i="1"/>
  <c r="BZ49" i="1"/>
  <c r="BY49" i="1"/>
  <c r="CL48" i="1"/>
  <c r="CJ48" i="1"/>
  <c r="CI48" i="1"/>
  <c r="CK48" i="1"/>
  <c r="CH48" i="1"/>
  <c r="CG48" i="1"/>
  <c r="CE48" i="1"/>
  <c r="CF48" i="1"/>
  <c r="CD48" i="1"/>
  <c r="CA48" i="1"/>
  <c r="CC48" i="1"/>
  <c r="BZ48" i="1"/>
  <c r="BY48" i="1"/>
  <c r="CB48" i="1"/>
  <c r="CL328" i="1"/>
  <c r="CK328" i="1"/>
  <c r="CJ328" i="1"/>
  <c r="CI328" i="1"/>
  <c r="CH328" i="1"/>
  <c r="CG328" i="1"/>
  <c r="CE328" i="1"/>
  <c r="CF328" i="1"/>
  <c r="CD328" i="1"/>
  <c r="CB328" i="1"/>
  <c r="CA328" i="1"/>
  <c r="CC328" i="1"/>
  <c r="BY328" i="1"/>
  <c r="BZ328" i="1"/>
  <c r="CL592" i="1"/>
  <c r="CK592" i="1"/>
  <c r="CJ592" i="1"/>
  <c r="CI592" i="1"/>
  <c r="CG592" i="1"/>
  <c r="CH592" i="1"/>
  <c r="CE592" i="1"/>
  <c r="CF592" i="1"/>
  <c r="CD592" i="1"/>
  <c r="CC592" i="1"/>
  <c r="CA592" i="1"/>
  <c r="CB592" i="1"/>
  <c r="BZ592" i="1"/>
  <c r="BY592" i="1"/>
  <c r="CL409" i="1"/>
  <c r="CK409" i="1"/>
  <c r="CJ409" i="1"/>
  <c r="CH409" i="1"/>
  <c r="CI409" i="1"/>
  <c r="CG409" i="1"/>
  <c r="CF409" i="1"/>
  <c r="CE409" i="1"/>
  <c r="CD409" i="1"/>
  <c r="CB409" i="1"/>
  <c r="CA409" i="1"/>
  <c r="CC409" i="1"/>
  <c r="BY409" i="1"/>
  <c r="BZ409" i="1"/>
  <c r="CL540" i="1"/>
  <c r="CK540" i="1"/>
  <c r="CJ540" i="1"/>
  <c r="CI540" i="1"/>
  <c r="CH540" i="1"/>
  <c r="CG540" i="1"/>
  <c r="CF540" i="1"/>
  <c r="CD540" i="1"/>
  <c r="CE540" i="1"/>
  <c r="CB540" i="1"/>
  <c r="CA540" i="1"/>
  <c r="CC540" i="1"/>
  <c r="BZ540" i="1"/>
  <c r="BY540" i="1"/>
  <c r="CL47" i="1"/>
  <c r="CK47" i="1"/>
  <c r="CJ47" i="1"/>
  <c r="CI47" i="1"/>
  <c r="CH47" i="1"/>
  <c r="CF47" i="1"/>
  <c r="CE47" i="1"/>
  <c r="CG47" i="1"/>
  <c r="CD47" i="1"/>
  <c r="CC47" i="1"/>
  <c r="CB47" i="1"/>
  <c r="BZ47" i="1"/>
  <c r="CA47" i="1"/>
  <c r="BY47" i="1"/>
  <c r="CL71" i="1"/>
  <c r="CK71" i="1"/>
  <c r="CJ71" i="1"/>
  <c r="CI71" i="1"/>
  <c r="CH71" i="1"/>
  <c r="CF71" i="1"/>
  <c r="CE71" i="1"/>
  <c r="CG71" i="1"/>
  <c r="CC71" i="1"/>
  <c r="CB71" i="1"/>
  <c r="BZ71" i="1"/>
  <c r="CD71" i="1"/>
  <c r="BY71" i="1"/>
  <c r="CA71" i="1"/>
  <c r="CL143" i="1"/>
  <c r="CK143" i="1"/>
  <c r="CJ143" i="1"/>
  <c r="CI143" i="1"/>
  <c r="CH143" i="1"/>
  <c r="CF143" i="1"/>
  <c r="CG143" i="1"/>
  <c r="CD143" i="1"/>
  <c r="CE143" i="1"/>
  <c r="CC143" i="1"/>
  <c r="CB143" i="1"/>
  <c r="CA143" i="1"/>
  <c r="BY143" i="1"/>
  <c r="BZ143" i="1"/>
  <c r="CL287" i="1"/>
  <c r="CK287" i="1"/>
  <c r="CJ287" i="1"/>
  <c r="CI287" i="1"/>
  <c r="CH287" i="1"/>
  <c r="CF287" i="1"/>
  <c r="CG287" i="1"/>
  <c r="CC287" i="1"/>
  <c r="CD287" i="1"/>
  <c r="CB287" i="1"/>
  <c r="CE287" i="1"/>
  <c r="BY287" i="1"/>
  <c r="CA287" i="1"/>
  <c r="BZ287" i="1"/>
  <c r="CL351" i="1"/>
  <c r="CK351" i="1"/>
  <c r="CJ351" i="1"/>
  <c r="CI351" i="1"/>
  <c r="CH351" i="1"/>
  <c r="CF351" i="1"/>
  <c r="CG351" i="1"/>
  <c r="CC351" i="1"/>
  <c r="CB351" i="1"/>
  <c r="CE351" i="1"/>
  <c r="CD351" i="1"/>
  <c r="BY351" i="1"/>
  <c r="CA351" i="1"/>
  <c r="BZ351" i="1"/>
  <c r="CL415" i="1"/>
  <c r="CJ415" i="1"/>
  <c r="CK415" i="1"/>
  <c r="CH415" i="1"/>
  <c r="CI415" i="1"/>
  <c r="CF415" i="1"/>
  <c r="CG415" i="1"/>
  <c r="CC415" i="1"/>
  <c r="CD415" i="1"/>
  <c r="CE415" i="1"/>
  <c r="CB415" i="1"/>
  <c r="BY415" i="1"/>
  <c r="CA415" i="1"/>
  <c r="BZ415" i="1"/>
  <c r="CL479" i="1"/>
  <c r="CJ479" i="1"/>
  <c r="CK479" i="1"/>
  <c r="CH479" i="1"/>
  <c r="CI479" i="1"/>
  <c r="CF479" i="1"/>
  <c r="CG479" i="1"/>
  <c r="CE479" i="1"/>
  <c r="CB479" i="1"/>
  <c r="CC479" i="1"/>
  <c r="CD479" i="1"/>
  <c r="CA479" i="1"/>
  <c r="BZ479" i="1"/>
  <c r="BY479" i="1"/>
  <c r="CL425" i="1"/>
  <c r="CK425" i="1"/>
  <c r="CJ425" i="1"/>
  <c r="CI425" i="1"/>
  <c r="CG425" i="1"/>
  <c r="CH425" i="1"/>
  <c r="CF425" i="1"/>
  <c r="CE425" i="1"/>
  <c r="CB425" i="1"/>
  <c r="CC425" i="1"/>
  <c r="CA425" i="1"/>
  <c r="CD425" i="1"/>
  <c r="BY425" i="1"/>
  <c r="BZ425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Y249" i="1"/>
  <c r="BZ249" i="1"/>
  <c r="CL82" i="1"/>
  <c r="CK82" i="1"/>
  <c r="CJ82" i="1"/>
  <c r="CI82" i="1"/>
  <c r="CH82" i="1"/>
  <c r="CG82" i="1"/>
  <c r="CF82" i="1"/>
  <c r="CE82" i="1"/>
  <c r="CC82" i="1"/>
  <c r="CD82" i="1"/>
  <c r="CA82" i="1"/>
  <c r="CB82" i="1"/>
  <c r="BZ82" i="1"/>
  <c r="BY82" i="1"/>
  <c r="CL40" i="1"/>
  <c r="CJ40" i="1"/>
  <c r="CK40" i="1"/>
  <c r="CI40" i="1"/>
  <c r="CH40" i="1"/>
  <c r="CG40" i="1"/>
  <c r="CE40" i="1"/>
  <c r="CF40" i="1"/>
  <c r="CD40" i="1"/>
  <c r="CC40" i="1"/>
  <c r="CA40" i="1"/>
  <c r="CB40" i="1"/>
  <c r="BZ40" i="1"/>
  <c r="BY40" i="1"/>
  <c r="CK572" i="1"/>
  <c r="CL572" i="1"/>
  <c r="CJ572" i="1"/>
  <c r="CI572" i="1"/>
  <c r="CH572" i="1"/>
  <c r="CG572" i="1"/>
  <c r="CF572" i="1"/>
  <c r="CD572" i="1"/>
  <c r="CE572" i="1"/>
  <c r="CB572" i="1"/>
  <c r="CC572" i="1"/>
  <c r="CA572" i="1"/>
  <c r="BZ572" i="1"/>
  <c r="BY572" i="1"/>
  <c r="CL475" i="1"/>
  <c r="CK475" i="1"/>
  <c r="CJ475" i="1"/>
  <c r="CI475" i="1"/>
  <c r="CG475" i="1"/>
  <c r="CF475" i="1"/>
  <c r="CH475" i="1"/>
  <c r="CE475" i="1"/>
  <c r="CD475" i="1"/>
  <c r="CC475" i="1"/>
  <c r="CB475" i="1"/>
  <c r="CA475" i="1"/>
  <c r="BZ475" i="1"/>
  <c r="BY475" i="1"/>
  <c r="CL627" i="1"/>
  <c r="CK627" i="1"/>
  <c r="CI627" i="1"/>
  <c r="CJ627" i="1"/>
  <c r="CG627" i="1"/>
  <c r="CF627" i="1"/>
  <c r="CH627" i="1"/>
  <c r="CE627" i="1"/>
  <c r="CD627" i="1"/>
  <c r="CC627" i="1"/>
  <c r="CB627" i="1"/>
  <c r="CA627" i="1"/>
  <c r="BZ627" i="1"/>
  <c r="BY627" i="1"/>
  <c r="CL616" i="1"/>
  <c r="CK616" i="1"/>
  <c r="CJ616" i="1"/>
  <c r="CI616" i="1"/>
  <c r="CG616" i="1"/>
  <c r="CH616" i="1"/>
  <c r="CE616" i="1"/>
  <c r="CF616" i="1"/>
  <c r="CC616" i="1"/>
  <c r="CA616" i="1"/>
  <c r="CD616" i="1"/>
  <c r="CB616" i="1"/>
  <c r="BZ616" i="1"/>
  <c r="BY616" i="1"/>
  <c r="CK92" i="1"/>
  <c r="CL92" i="1"/>
  <c r="CI92" i="1"/>
  <c r="CJ92" i="1"/>
  <c r="CF92" i="1"/>
  <c r="CH92" i="1"/>
  <c r="CG92" i="1"/>
  <c r="CD92" i="1"/>
  <c r="CE92" i="1"/>
  <c r="CC92" i="1"/>
  <c r="CB92" i="1"/>
  <c r="BZ92" i="1"/>
  <c r="CA92" i="1"/>
  <c r="BY92" i="1"/>
  <c r="CL400" i="1"/>
  <c r="CJ400" i="1"/>
  <c r="CK400" i="1"/>
  <c r="CI400" i="1"/>
  <c r="CH400" i="1"/>
  <c r="CG400" i="1"/>
  <c r="CE400" i="1"/>
  <c r="CF400" i="1"/>
  <c r="CD400" i="1"/>
  <c r="CC400" i="1"/>
  <c r="CA400" i="1"/>
  <c r="CB400" i="1"/>
  <c r="BY400" i="1"/>
  <c r="BZ400" i="1"/>
  <c r="CL118" i="1"/>
  <c r="CK118" i="1"/>
  <c r="CJ118" i="1"/>
  <c r="CI118" i="1"/>
  <c r="CH118" i="1"/>
  <c r="CF118" i="1"/>
  <c r="CG118" i="1"/>
  <c r="CC118" i="1"/>
  <c r="CE118" i="1"/>
  <c r="CB118" i="1"/>
  <c r="CD118" i="1"/>
  <c r="BZ118" i="1"/>
  <c r="BY118" i="1"/>
  <c r="CA118" i="1"/>
  <c r="CL201" i="1"/>
  <c r="CK201" i="1"/>
  <c r="CJ201" i="1"/>
  <c r="CI201" i="1"/>
  <c r="CH201" i="1"/>
  <c r="CG201" i="1"/>
  <c r="CF201" i="1"/>
  <c r="CE201" i="1"/>
  <c r="CC201" i="1"/>
  <c r="CD201" i="1"/>
  <c r="CB201" i="1"/>
  <c r="CA201" i="1"/>
  <c r="BY201" i="1"/>
  <c r="BZ201" i="1"/>
  <c r="CL383" i="1"/>
  <c r="CK383" i="1"/>
  <c r="CJ383" i="1"/>
  <c r="CH383" i="1"/>
  <c r="CI383" i="1"/>
  <c r="CF383" i="1"/>
  <c r="CD383" i="1"/>
  <c r="CG383" i="1"/>
  <c r="CE383" i="1"/>
  <c r="CC383" i="1"/>
  <c r="CB383" i="1"/>
  <c r="BY383" i="1"/>
  <c r="CA383" i="1"/>
  <c r="BZ383" i="1"/>
  <c r="CL153" i="1"/>
  <c r="CK153" i="1"/>
  <c r="CJ153" i="1"/>
  <c r="CI153" i="1"/>
  <c r="CH153" i="1"/>
  <c r="CG153" i="1"/>
  <c r="CF153" i="1"/>
  <c r="CE153" i="1"/>
  <c r="CD153" i="1"/>
  <c r="CB153" i="1"/>
  <c r="CA153" i="1"/>
  <c r="CC153" i="1"/>
  <c r="BY153" i="1"/>
  <c r="BZ153" i="1"/>
  <c r="CL274" i="1"/>
  <c r="CK274" i="1"/>
  <c r="CJ274" i="1"/>
  <c r="CI274" i="1"/>
  <c r="CH274" i="1"/>
  <c r="CG274" i="1"/>
  <c r="CE274" i="1"/>
  <c r="CF274" i="1"/>
  <c r="CC274" i="1"/>
  <c r="CD274" i="1"/>
  <c r="CA274" i="1"/>
  <c r="CB274" i="1"/>
  <c r="BZ274" i="1"/>
  <c r="BY274" i="1"/>
  <c r="CL106" i="1"/>
  <c r="CK106" i="1"/>
  <c r="CJ106" i="1"/>
  <c r="CI106" i="1"/>
  <c r="CH106" i="1"/>
  <c r="CG106" i="1"/>
  <c r="CF106" i="1"/>
  <c r="CE106" i="1"/>
  <c r="CC106" i="1"/>
  <c r="CD106" i="1"/>
  <c r="CA106" i="1"/>
  <c r="CB106" i="1"/>
  <c r="BY106" i="1"/>
  <c r="BZ106" i="1"/>
  <c r="CL358" i="1"/>
  <c r="CK358" i="1"/>
  <c r="CJ358" i="1"/>
  <c r="CI358" i="1"/>
  <c r="CH358" i="1"/>
  <c r="CG358" i="1"/>
  <c r="CF358" i="1"/>
  <c r="CE358" i="1"/>
  <c r="CC358" i="1"/>
  <c r="CB358" i="1"/>
  <c r="CD358" i="1"/>
  <c r="BY358" i="1"/>
  <c r="BZ358" i="1"/>
  <c r="CA358" i="1"/>
  <c r="CL496" i="1"/>
  <c r="CJ496" i="1"/>
  <c r="CK496" i="1"/>
  <c r="CI496" i="1"/>
  <c r="CG496" i="1"/>
  <c r="CE496" i="1"/>
  <c r="CF496" i="1"/>
  <c r="CH496" i="1"/>
  <c r="CD496" i="1"/>
  <c r="CC496" i="1"/>
  <c r="CA496" i="1"/>
  <c r="CB496" i="1"/>
  <c r="BZ496" i="1"/>
  <c r="BY496" i="1"/>
  <c r="CK219" i="1"/>
  <c r="CL219" i="1"/>
  <c r="CJ219" i="1"/>
  <c r="CI219" i="1"/>
  <c r="CH219" i="1"/>
  <c r="CG219" i="1"/>
  <c r="CF219" i="1"/>
  <c r="CE219" i="1"/>
  <c r="CC219" i="1"/>
  <c r="CD219" i="1"/>
  <c r="CB219" i="1"/>
  <c r="CA219" i="1"/>
  <c r="BZ219" i="1"/>
  <c r="BY219" i="1"/>
  <c r="CL440" i="1"/>
  <c r="CJ440" i="1"/>
  <c r="CK440" i="1"/>
  <c r="CI440" i="1"/>
  <c r="CG440" i="1"/>
  <c r="CH440" i="1"/>
  <c r="CE440" i="1"/>
  <c r="CF440" i="1"/>
  <c r="CD440" i="1"/>
  <c r="CC440" i="1"/>
  <c r="CA440" i="1"/>
  <c r="CB440" i="1"/>
  <c r="BY440" i="1"/>
  <c r="BZ440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CL658" i="1"/>
  <c r="CK658" i="1"/>
  <c r="CJ658" i="1"/>
  <c r="CI658" i="1"/>
  <c r="CG658" i="1"/>
  <c r="CH658" i="1"/>
  <c r="CF658" i="1"/>
  <c r="CE658" i="1"/>
  <c r="CD658" i="1"/>
  <c r="CC658" i="1"/>
  <c r="CB658" i="1"/>
  <c r="CA658" i="1"/>
  <c r="BZ658" i="1"/>
  <c r="BY658" i="1"/>
  <c r="CL663" i="1"/>
  <c r="CK663" i="1"/>
  <c r="CI663" i="1"/>
  <c r="CH663" i="1"/>
  <c r="CJ663" i="1"/>
  <c r="CG663" i="1"/>
  <c r="CF663" i="1"/>
  <c r="CE663" i="1"/>
  <c r="CD663" i="1"/>
  <c r="CB663" i="1"/>
  <c r="CA663" i="1"/>
  <c r="BY663" i="1"/>
  <c r="BZ663" i="1"/>
  <c r="CC663" i="1"/>
  <c r="CL568" i="1"/>
  <c r="CK568" i="1"/>
  <c r="CJ568" i="1"/>
  <c r="CI568" i="1"/>
  <c r="CG568" i="1"/>
  <c r="CH568" i="1"/>
  <c r="CE568" i="1"/>
  <c r="CF568" i="1"/>
  <c r="CC568" i="1"/>
  <c r="CA568" i="1"/>
  <c r="CB568" i="1"/>
  <c r="CD568" i="1"/>
  <c r="BZ568" i="1"/>
  <c r="BY568" i="1"/>
  <c r="CL585" i="1"/>
  <c r="CK585" i="1"/>
  <c r="CJ585" i="1"/>
  <c r="CI585" i="1"/>
  <c r="CG585" i="1"/>
  <c r="CH585" i="1"/>
  <c r="CF585" i="1"/>
  <c r="CE585" i="1"/>
  <c r="CD585" i="1"/>
  <c r="CC585" i="1"/>
  <c r="CB585" i="1"/>
  <c r="CA585" i="1"/>
  <c r="BY585" i="1"/>
  <c r="BZ585" i="1"/>
  <c r="CL135" i="1"/>
  <c r="CK135" i="1"/>
  <c r="CJ135" i="1"/>
  <c r="CH135" i="1"/>
  <c r="CI135" i="1"/>
  <c r="CF135" i="1"/>
  <c r="CG135" i="1"/>
  <c r="CE135" i="1"/>
  <c r="CC135" i="1"/>
  <c r="CD135" i="1"/>
  <c r="CB135" i="1"/>
  <c r="BZ135" i="1"/>
  <c r="BY135" i="1"/>
  <c r="CA135" i="1"/>
  <c r="CL343" i="1"/>
  <c r="CK343" i="1"/>
  <c r="CJ343" i="1"/>
  <c r="CH343" i="1"/>
  <c r="CI343" i="1"/>
  <c r="CG343" i="1"/>
  <c r="CF343" i="1"/>
  <c r="CD343" i="1"/>
  <c r="CC343" i="1"/>
  <c r="CB343" i="1"/>
  <c r="BY343" i="1"/>
  <c r="CE343" i="1"/>
  <c r="CA343" i="1"/>
  <c r="BZ343" i="1"/>
  <c r="CK385" i="1"/>
  <c r="CL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CL338" i="1"/>
  <c r="CK338" i="1"/>
  <c r="CJ338" i="1"/>
  <c r="CI338" i="1"/>
  <c r="CH338" i="1"/>
  <c r="CG338" i="1"/>
  <c r="CF338" i="1"/>
  <c r="CE338" i="1"/>
  <c r="CC338" i="1"/>
  <c r="CD338" i="1"/>
  <c r="CA338" i="1"/>
  <c r="CB338" i="1"/>
  <c r="BZ338" i="1"/>
  <c r="BY338" i="1"/>
  <c r="CL508" i="1"/>
  <c r="CK508" i="1"/>
  <c r="CJ508" i="1"/>
  <c r="CI508" i="1"/>
  <c r="CH508" i="1"/>
  <c r="CG508" i="1"/>
  <c r="CF508" i="1"/>
  <c r="CD508" i="1"/>
  <c r="CE508" i="1"/>
  <c r="CB508" i="1"/>
  <c r="CC508" i="1"/>
  <c r="CA508" i="1"/>
  <c r="BZ508" i="1"/>
  <c r="BY508" i="1"/>
  <c r="CL158" i="1"/>
  <c r="CK158" i="1"/>
  <c r="CJ158" i="1"/>
  <c r="CI158" i="1"/>
  <c r="CH158" i="1"/>
  <c r="CG158" i="1"/>
  <c r="CF158" i="1"/>
  <c r="CD158" i="1"/>
  <c r="CE158" i="1"/>
  <c r="CB158" i="1"/>
  <c r="CC158" i="1"/>
  <c r="BY158" i="1"/>
  <c r="CA158" i="1"/>
  <c r="BZ158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CL530" i="1"/>
  <c r="CK530" i="1"/>
  <c r="CJ530" i="1"/>
  <c r="CI530" i="1"/>
  <c r="CH530" i="1"/>
  <c r="CG530" i="1"/>
  <c r="CF530" i="1"/>
  <c r="CE530" i="1"/>
  <c r="CD530" i="1"/>
  <c r="CC530" i="1"/>
  <c r="CA530" i="1"/>
  <c r="CB530" i="1"/>
  <c r="BZ530" i="1"/>
  <c r="BY530" i="1"/>
  <c r="CL633" i="1"/>
  <c r="CJ633" i="1"/>
  <c r="CK633" i="1"/>
  <c r="CG633" i="1"/>
  <c r="CH633" i="1"/>
  <c r="CE633" i="1"/>
  <c r="CI633" i="1"/>
  <c r="CF633" i="1"/>
  <c r="CD633" i="1"/>
  <c r="CC633" i="1"/>
  <c r="CB633" i="1"/>
  <c r="CA633" i="1"/>
  <c r="BZ633" i="1"/>
  <c r="BY633" i="1"/>
  <c r="CL10" i="1"/>
  <c r="CK10" i="1"/>
  <c r="CJ10" i="1"/>
  <c r="CH10" i="1"/>
  <c r="CI10" i="1"/>
  <c r="CG10" i="1"/>
  <c r="CF10" i="1"/>
  <c r="CE10" i="1"/>
  <c r="CC10" i="1"/>
  <c r="CD10" i="1"/>
  <c r="CB10" i="1"/>
  <c r="CA10" i="1"/>
  <c r="BZ10" i="1"/>
  <c r="BY10" i="1"/>
  <c r="CL74" i="1"/>
  <c r="CK74" i="1"/>
  <c r="CJ74" i="1"/>
  <c r="CI74" i="1"/>
  <c r="CH74" i="1"/>
  <c r="CG74" i="1"/>
  <c r="CF74" i="1"/>
  <c r="CE74" i="1"/>
  <c r="CC74" i="1"/>
  <c r="CD74" i="1"/>
  <c r="CB74" i="1"/>
  <c r="CA74" i="1"/>
  <c r="BZ74" i="1"/>
  <c r="BY74" i="1"/>
  <c r="CL138" i="1"/>
  <c r="CK138" i="1"/>
  <c r="CJ138" i="1"/>
  <c r="CI138" i="1"/>
  <c r="CH138" i="1"/>
  <c r="CG138" i="1"/>
  <c r="CF138" i="1"/>
  <c r="CE138" i="1"/>
  <c r="CC138" i="1"/>
  <c r="CD138" i="1"/>
  <c r="CB138" i="1"/>
  <c r="CA138" i="1"/>
  <c r="BZ138" i="1"/>
  <c r="BY138" i="1"/>
  <c r="CL202" i="1"/>
  <c r="CJ202" i="1"/>
  <c r="CK202" i="1"/>
  <c r="CI202" i="1"/>
  <c r="CH202" i="1"/>
  <c r="CG202" i="1"/>
  <c r="CF202" i="1"/>
  <c r="CE202" i="1"/>
  <c r="CC202" i="1"/>
  <c r="CB202" i="1"/>
  <c r="CA202" i="1"/>
  <c r="CD202" i="1"/>
  <c r="BZ202" i="1"/>
  <c r="BY202" i="1"/>
  <c r="CL226" i="1"/>
  <c r="CK226" i="1"/>
  <c r="CJ226" i="1"/>
  <c r="CI226" i="1"/>
  <c r="CH226" i="1"/>
  <c r="CG226" i="1"/>
  <c r="CF226" i="1"/>
  <c r="CE226" i="1"/>
  <c r="CC226" i="1"/>
  <c r="CD226" i="1"/>
  <c r="CB226" i="1"/>
  <c r="CA226" i="1"/>
  <c r="BZ226" i="1"/>
  <c r="BY226" i="1"/>
  <c r="CL198" i="1"/>
  <c r="CK198" i="1"/>
  <c r="CJ198" i="1"/>
  <c r="CI198" i="1"/>
  <c r="CH198" i="1"/>
  <c r="CG198" i="1"/>
  <c r="CF198" i="1"/>
  <c r="CE198" i="1"/>
  <c r="CD198" i="1"/>
  <c r="CB198" i="1"/>
  <c r="CC198" i="1"/>
  <c r="BY198" i="1"/>
  <c r="BZ198" i="1"/>
  <c r="CA198" i="1"/>
  <c r="CL312" i="1"/>
  <c r="CK312" i="1"/>
  <c r="CJ312" i="1"/>
  <c r="CI312" i="1"/>
  <c r="CH312" i="1"/>
  <c r="CG312" i="1"/>
  <c r="CE312" i="1"/>
  <c r="CF312" i="1"/>
  <c r="CD312" i="1"/>
  <c r="CC312" i="1"/>
  <c r="CA312" i="1"/>
  <c r="CB312" i="1"/>
  <c r="BY312" i="1"/>
  <c r="BZ312" i="1"/>
  <c r="CL195" i="1"/>
  <c r="CK195" i="1"/>
  <c r="CJ195" i="1"/>
  <c r="CI195" i="1"/>
  <c r="CH195" i="1"/>
  <c r="CG195" i="1"/>
  <c r="CE195" i="1"/>
  <c r="CF195" i="1"/>
  <c r="CC195" i="1"/>
  <c r="CD195" i="1"/>
  <c r="CA195" i="1"/>
  <c r="BZ195" i="1"/>
  <c r="CB195" i="1"/>
  <c r="BY195" i="1"/>
  <c r="CL468" i="1"/>
  <c r="CK468" i="1"/>
  <c r="CJ468" i="1"/>
  <c r="CI468" i="1"/>
  <c r="CH468" i="1"/>
  <c r="CG468" i="1"/>
  <c r="CF468" i="1"/>
  <c r="CD468" i="1"/>
  <c r="CE468" i="1"/>
  <c r="CB468" i="1"/>
  <c r="CC468" i="1"/>
  <c r="CA468" i="1"/>
  <c r="BZ468" i="1"/>
  <c r="BY468" i="1"/>
  <c r="CL666" i="1"/>
  <c r="CK666" i="1"/>
  <c r="CJ666" i="1"/>
  <c r="CG666" i="1"/>
  <c r="CI666" i="1"/>
  <c r="CH666" i="1"/>
  <c r="CF666" i="1"/>
  <c r="CE666" i="1"/>
  <c r="CC666" i="1"/>
  <c r="CD666" i="1"/>
  <c r="CA666" i="1"/>
  <c r="CB666" i="1"/>
  <c r="BZ666" i="1"/>
  <c r="BY666" i="1"/>
  <c r="CK51" i="1"/>
  <c r="CL51" i="1"/>
  <c r="CJ51" i="1"/>
  <c r="CI51" i="1"/>
  <c r="CG51" i="1"/>
  <c r="CH51" i="1"/>
  <c r="CF51" i="1"/>
  <c r="CE51" i="1"/>
  <c r="CC51" i="1"/>
  <c r="CD51" i="1"/>
  <c r="CB51" i="1"/>
  <c r="CA51" i="1"/>
  <c r="BZ51" i="1"/>
  <c r="BY51" i="1"/>
  <c r="CK75" i="1"/>
  <c r="CL75" i="1"/>
  <c r="CJ75" i="1"/>
  <c r="CI75" i="1"/>
  <c r="CG75" i="1"/>
  <c r="CH75" i="1"/>
  <c r="CF75" i="1"/>
  <c r="CE75" i="1"/>
  <c r="CD75" i="1"/>
  <c r="CC75" i="1"/>
  <c r="CB75" i="1"/>
  <c r="CA75" i="1"/>
  <c r="BZ75" i="1"/>
  <c r="BY75" i="1"/>
  <c r="CK123" i="1"/>
  <c r="CL123" i="1"/>
  <c r="CJ123" i="1"/>
  <c r="CI123" i="1"/>
  <c r="CH123" i="1"/>
  <c r="CG123" i="1"/>
  <c r="CE123" i="1"/>
  <c r="CC123" i="1"/>
  <c r="CD123" i="1"/>
  <c r="CF123" i="1"/>
  <c r="CA123" i="1"/>
  <c r="CB123" i="1"/>
  <c r="BZ123" i="1"/>
  <c r="BY123" i="1"/>
  <c r="CK355" i="1"/>
  <c r="CL355" i="1"/>
  <c r="CJ355" i="1"/>
  <c r="CI355" i="1"/>
  <c r="CH355" i="1"/>
  <c r="CG355" i="1"/>
  <c r="CF355" i="1"/>
  <c r="CE355" i="1"/>
  <c r="CC355" i="1"/>
  <c r="CD355" i="1"/>
  <c r="CB355" i="1"/>
  <c r="CA355" i="1"/>
  <c r="BZ355" i="1"/>
  <c r="BY355" i="1"/>
  <c r="CL379" i="1"/>
  <c r="CK379" i="1"/>
  <c r="CJ379" i="1"/>
  <c r="CI379" i="1"/>
  <c r="CH379" i="1"/>
  <c r="CG379" i="1"/>
  <c r="CF379" i="1"/>
  <c r="CE379" i="1"/>
  <c r="CC379" i="1"/>
  <c r="CA379" i="1"/>
  <c r="CB379" i="1"/>
  <c r="CD379" i="1"/>
  <c r="BZ379" i="1"/>
  <c r="BY379" i="1"/>
  <c r="CL443" i="1"/>
  <c r="CK443" i="1"/>
  <c r="CJ443" i="1"/>
  <c r="CI443" i="1"/>
  <c r="CH443" i="1"/>
  <c r="CG443" i="1"/>
  <c r="CF443" i="1"/>
  <c r="CE443" i="1"/>
  <c r="CC443" i="1"/>
  <c r="CA443" i="1"/>
  <c r="CB443" i="1"/>
  <c r="CD443" i="1"/>
  <c r="BZ443" i="1"/>
  <c r="BY443" i="1"/>
  <c r="CK467" i="1"/>
  <c r="CL467" i="1"/>
  <c r="CJ467" i="1"/>
  <c r="CI467" i="1"/>
  <c r="CH467" i="1"/>
  <c r="CG467" i="1"/>
  <c r="CF467" i="1"/>
  <c r="CE467" i="1"/>
  <c r="CD467" i="1"/>
  <c r="CC467" i="1"/>
  <c r="CA467" i="1"/>
  <c r="CB467" i="1"/>
  <c r="BZ467" i="1"/>
  <c r="BY467" i="1"/>
  <c r="CL555" i="1"/>
  <c r="CK555" i="1"/>
  <c r="CJ555" i="1"/>
  <c r="CI555" i="1"/>
  <c r="CH555" i="1"/>
  <c r="CG555" i="1"/>
  <c r="CF555" i="1"/>
  <c r="CE555" i="1"/>
  <c r="CD555" i="1"/>
  <c r="CC555" i="1"/>
  <c r="CA555" i="1"/>
  <c r="BZ555" i="1"/>
  <c r="CB555" i="1"/>
  <c r="BY555" i="1"/>
  <c r="CL619" i="1"/>
  <c r="CK619" i="1"/>
  <c r="CJ619" i="1"/>
  <c r="CI619" i="1"/>
  <c r="CG619" i="1"/>
  <c r="CF619" i="1"/>
  <c r="CH619" i="1"/>
  <c r="CE619" i="1"/>
  <c r="CD619" i="1"/>
  <c r="CC619" i="1"/>
  <c r="CA619" i="1"/>
  <c r="CB619" i="1"/>
  <c r="BZ619" i="1"/>
  <c r="BY619" i="1"/>
  <c r="CL683" i="1"/>
  <c r="CK683" i="1"/>
  <c r="CJ683" i="1"/>
  <c r="CI683" i="1"/>
  <c r="CG683" i="1"/>
  <c r="CF683" i="1"/>
  <c r="CH683" i="1"/>
  <c r="CD683" i="1"/>
  <c r="CE683" i="1"/>
  <c r="CC683" i="1"/>
  <c r="CA683" i="1"/>
  <c r="BZ683" i="1"/>
  <c r="CB683" i="1"/>
  <c r="BY683" i="1"/>
  <c r="CL614" i="1"/>
  <c r="CK614" i="1"/>
  <c r="CJ614" i="1"/>
  <c r="CI614" i="1"/>
  <c r="CH614" i="1"/>
  <c r="CG614" i="1"/>
  <c r="CF614" i="1"/>
  <c r="CE614" i="1"/>
  <c r="CB614" i="1"/>
  <c r="CD614" i="1"/>
  <c r="CC614" i="1"/>
  <c r="BY614" i="1"/>
  <c r="BZ614" i="1"/>
  <c r="CA614" i="1"/>
  <c r="CL502" i="1"/>
  <c r="CK502" i="1"/>
  <c r="CJ502" i="1"/>
  <c r="CI502" i="1"/>
  <c r="CH502" i="1"/>
  <c r="CF502" i="1"/>
  <c r="CD502" i="1"/>
  <c r="CE502" i="1"/>
  <c r="CG502" i="1"/>
  <c r="CB502" i="1"/>
  <c r="CC502" i="1"/>
  <c r="BY502" i="1"/>
  <c r="CA502" i="1"/>
  <c r="BZ502" i="1"/>
  <c r="CL32" i="1"/>
  <c r="CK32" i="1"/>
  <c r="CJ32" i="1"/>
  <c r="CI32" i="1"/>
  <c r="CG32" i="1"/>
  <c r="CH32" i="1"/>
  <c r="CF32" i="1"/>
  <c r="CE32" i="1"/>
  <c r="CC32" i="1"/>
  <c r="CD32" i="1"/>
  <c r="CA32" i="1"/>
  <c r="CB32" i="1"/>
  <c r="BZ32" i="1"/>
  <c r="BY32" i="1"/>
  <c r="CL320" i="1"/>
  <c r="CK320" i="1"/>
  <c r="CJ320" i="1"/>
  <c r="CI320" i="1"/>
  <c r="CH320" i="1"/>
  <c r="CG320" i="1"/>
  <c r="CE320" i="1"/>
  <c r="CF320" i="1"/>
  <c r="CD320" i="1"/>
  <c r="CA320" i="1"/>
  <c r="CC320" i="1"/>
  <c r="CB320" i="1"/>
  <c r="BY320" i="1"/>
  <c r="BZ320" i="1"/>
  <c r="CL576" i="1"/>
  <c r="CJ576" i="1"/>
  <c r="CI576" i="1"/>
  <c r="CK576" i="1"/>
  <c r="CG576" i="1"/>
  <c r="CH576" i="1"/>
  <c r="CE576" i="1"/>
  <c r="CF576" i="1"/>
  <c r="CD576" i="1"/>
  <c r="CC576" i="1"/>
  <c r="CA576" i="1"/>
  <c r="CB576" i="1"/>
  <c r="BZ576" i="1"/>
  <c r="BY576" i="1"/>
  <c r="CL197" i="1"/>
  <c r="CK197" i="1"/>
  <c r="CI197" i="1"/>
  <c r="CJ197" i="1"/>
  <c r="CH197" i="1"/>
  <c r="CF197" i="1"/>
  <c r="CG197" i="1"/>
  <c r="CD197" i="1"/>
  <c r="CE197" i="1"/>
  <c r="CC197" i="1"/>
  <c r="CB197" i="1"/>
  <c r="CA197" i="1"/>
  <c r="BZ197" i="1"/>
  <c r="BY197" i="1"/>
  <c r="CL469" i="1"/>
  <c r="CK469" i="1"/>
  <c r="CI469" i="1"/>
  <c r="CH469" i="1"/>
  <c r="CJ469" i="1"/>
  <c r="CG469" i="1"/>
  <c r="CF469" i="1"/>
  <c r="CE469" i="1"/>
  <c r="CD469" i="1"/>
  <c r="CB469" i="1"/>
  <c r="CC469" i="1"/>
  <c r="CA469" i="1"/>
  <c r="BZ469" i="1"/>
  <c r="BY469" i="1"/>
  <c r="CL623" i="1"/>
  <c r="CK623" i="1"/>
  <c r="CJ623" i="1"/>
  <c r="CI623" i="1"/>
  <c r="CH623" i="1"/>
  <c r="CG623" i="1"/>
  <c r="CF623" i="1"/>
  <c r="CE623" i="1"/>
  <c r="CB623" i="1"/>
  <c r="CD623" i="1"/>
  <c r="CA623" i="1"/>
  <c r="CC623" i="1"/>
  <c r="BY623" i="1"/>
  <c r="BZ623" i="1"/>
  <c r="CL108" i="1"/>
  <c r="CK108" i="1"/>
  <c r="CJ108" i="1"/>
  <c r="CI108" i="1"/>
  <c r="CF108" i="1"/>
  <c r="CG108" i="1"/>
  <c r="CH108" i="1"/>
  <c r="CD108" i="1"/>
  <c r="CE108" i="1"/>
  <c r="CC108" i="1"/>
  <c r="CB108" i="1"/>
  <c r="BZ108" i="1"/>
  <c r="CA108" i="1"/>
  <c r="BY108" i="1"/>
  <c r="CL196" i="1"/>
  <c r="CK196" i="1"/>
  <c r="CJ196" i="1"/>
  <c r="CI196" i="1"/>
  <c r="CF196" i="1"/>
  <c r="CH196" i="1"/>
  <c r="CG196" i="1"/>
  <c r="CD196" i="1"/>
  <c r="CE196" i="1"/>
  <c r="CC196" i="1"/>
  <c r="CB196" i="1"/>
  <c r="CA196" i="1"/>
  <c r="BZ196" i="1"/>
  <c r="BY196" i="1"/>
  <c r="CL360" i="1"/>
  <c r="CK360" i="1"/>
  <c r="CJ360" i="1"/>
  <c r="CI360" i="1"/>
  <c r="CH360" i="1"/>
  <c r="CG360" i="1"/>
  <c r="CE360" i="1"/>
  <c r="CF360" i="1"/>
  <c r="CD360" i="1"/>
  <c r="CC360" i="1"/>
  <c r="CA360" i="1"/>
  <c r="CB360" i="1"/>
  <c r="BY360" i="1"/>
  <c r="BZ360" i="1"/>
  <c r="CK401" i="1"/>
  <c r="CJ401" i="1"/>
  <c r="CL401" i="1"/>
  <c r="CI401" i="1"/>
  <c r="CH401" i="1"/>
  <c r="CG401" i="1"/>
  <c r="CF401" i="1"/>
  <c r="CE401" i="1"/>
  <c r="CD401" i="1"/>
  <c r="CC401" i="1"/>
  <c r="CB401" i="1"/>
  <c r="CA401" i="1"/>
  <c r="BY401" i="1"/>
  <c r="BZ401" i="1"/>
  <c r="CL301" i="1"/>
  <c r="CK301" i="1"/>
  <c r="CJ301" i="1"/>
  <c r="CH301" i="1"/>
  <c r="CI301" i="1"/>
  <c r="CG301" i="1"/>
  <c r="CF301" i="1"/>
  <c r="CD301" i="1"/>
  <c r="CE301" i="1"/>
  <c r="CC301" i="1"/>
  <c r="CB301" i="1"/>
  <c r="CA301" i="1"/>
  <c r="BZ301" i="1"/>
  <c r="BY301" i="1"/>
  <c r="CL599" i="1"/>
  <c r="CK599" i="1"/>
  <c r="CJ599" i="1"/>
  <c r="CI599" i="1"/>
  <c r="CH599" i="1"/>
  <c r="CG599" i="1"/>
  <c r="CF599" i="1"/>
  <c r="CE599" i="1"/>
  <c r="CB599" i="1"/>
  <c r="CD599" i="1"/>
  <c r="CC599" i="1"/>
  <c r="CA599" i="1"/>
  <c r="BZ599" i="1"/>
  <c r="BY599" i="1"/>
  <c r="CL13" i="1"/>
  <c r="CK13" i="1"/>
  <c r="CI13" i="1"/>
  <c r="CJ13" i="1"/>
  <c r="CH13" i="1"/>
  <c r="CF13" i="1"/>
  <c r="CG13" i="1"/>
  <c r="CD13" i="1"/>
  <c r="CC13" i="1"/>
  <c r="CB13" i="1"/>
  <c r="CE13" i="1"/>
  <c r="BZ13" i="1"/>
  <c r="CA13" i="1"/>
  <c r="BY13" i="1"/>
  <c r="CL61" i="1"/>
  <c r="CK61" i="1"/>
  <c r="CI61" i="1"/>
  <c r="CJ61" i="1"/>
  <c r="CH61" i="1"/>
  <c r="CF61" i="1"/>
  <c r="CG61" i="1"/>
  <c r="CD61" i="1"/>
  <c r="CE61" i="1"/>
  <c r="CC61" i="1"/>
  <c r="CB61" i="1"/>
  <c r="BZ61" i="1"/>
  <c r="CA61" i="1"/>
  <c r="BY61" i="1"/>
  <c r="CL85" i="1"/>
  <c r="CK85" i="1"/>
  <c r="CJ85" i="1"/>
  <c r="CI85" i="1"/>
  <c r="CH85" i="1"/>
  <c r="CF85" i="1"/>
  <c r="CG85" i="1"/>
  <c r="CD85" i="1"/>
  <c r="CC85" i="1"/>
  <c r="CE85" i="1"/>
  <c r="CB85" i="1"/>
  <c r="CA85" i="1"/>
  <c r="BZ85" i="1"/>
  <c r="BY85" i="1"/>
  <c r="CL157" i="1"/>
  <c r="CK157" i="1"/>
  <c r="CI157" i="1"/>
  <c r="CJ157" i="1"/>
  <c r="CH157" i="1"/>
  <c r="CF157" i="1"/>
  <c r="CG157" i="1"/>
  <c r="CD157" i="1"/>
  <c r="CE157" i="1"/>
  <c r="CC157" i="1"/>
  <c r="CB157" i="1"/>
  <c r="CA157" i="1"/>
  <c r="BZ157" i="1"/>
  <c r="BY157" i="1"/>
  <c r="CL253" i="1"/>
  <c r="CK253" i="1"/>
  <c r="CJ253" i="1"/>
  <c r="CI253" i="1"/>
  <c r="CH253" i="1"/>
  <c r="CF253" i="1"/>
  <c r="CG253" i="1"/>
  <c r="CD253" i="1"/>
  <c r="CE253" i="1"/>
  <c r="CC253" i="1"/>
  <c r="CB253" i="1"/>
  <c r="CA253" i="1"/>
  <c r="BZ253" i="1"/>
  <c r="BY253" i="1"/>
  <c r="CL38" i="1"/>
  <c r="CJ38" i="1"/>
  <c r="CK38" i="1"/>
  <c r="CI38" i="1"/>
  <c r="CH38" i="1"/>
  <c r="CF38" i="1"/>
  <c r="CG38" i="1"/>
  <c r="CE38" i="1"/>
  <c r="CD38" i="1"/>
  <c r="CC38" i="1"/>
  <c r="CB38" i="1"/>
  <c r="BZ38" i="1"/>
  <c r="BY38" i="1"/>
  <c r="CA38" i="1"/>
  <c r="CL86" i="1"/>
  <c r="CJ86" i="1"/>
  <c r="CK86" i="1"/>
  <c r="CI86" i="1"/>
  <c r="CH86" i="1"/>
  <c r="CF86" i="1"/>
  <c r="CG86" i="1"/>
  <c r="CE86" i="1"/>
  <c r="CB86" i="1"/>
  <c r="CD86" i="1"/>
  <c r="CC86" i="1"/>
  <c r="BZ86" i="1"/>
  <c r="BY86" i="1"/>
  <c r="CA86" i="1"/>
  <c r="CL216" i="1"/>
  <c r="CK216" i="1"/>
  <c r="CJ216" i="1"/>
  <c r="CI216" i="1"/>
  <c r="CH216" i="1"/>
  <c r="CG216" i="1"/>
  <c r="CF216" i="1"/>
  <c r="CE216" i="1"/>
  <c r="CD216" i="1"/>
  <c r="CC216" i="1"/>
  <c r="CA216" i="1"/>
  <c r="BY216" i="1"/>
  <c r="CB216" i="1"/>
  <c r="BZ216" i="1"/>
  <c r="CL536" i="1"/>
  <c r="CJ536" i="1"/>
  <c r="CK536" i="1"/>
  <c r="CI536" i="1"/>
  <c r="CG536" i="1"/>
  <c r="CH536" i="1"/>
  <c r="CE536" i="1"/>
  <c r="CF536" i="1"/>
  <c r="CD536" i="1"/>
  <c r="CC536" i="1"/>
  <c r="CA536" i="1"/>
  <c r="CB536" i="1"/>
  <c r="BZ536" i="1"/>
  <c r="BY536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CK273" i="1"/>
  <c r="CL273" i="1"/>
  <c r="CJ273" i="1"/>
  <c r="CI273" i="1"/>
  <c r="CH273" i="1"/>
  <c r="CG273" i="1"/>
  <c r="CF273" i="1"/>
  <c r="CE273" i="1"/>
  <c r="CC273" i="1"/>
  <c r="CB273" i="1"/>
  <c r="CA273" i="1"/>
  <c r="CD273" i="1"/>
  <c r="BY273" i="1"/>
  <c r="BZ273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Y377" i="1"/>
  <c r="BZ377" i="1"/>
  <c r="CL414" i="1"/>
  <c r="CK414" i="1"/>
  <c r="CJ414" i="1"/>
  <c r="CI414" i="1"/>
  <c r="CH414" i="1"/>
  <c r="CG414" i="1"/>
  <c r="CD414" i="1"/>
  <c r="CE414" i="1"/>
  <c r="CB414" i="1"/>
  <c r="CF414" i="1"/>
  <c r="CC414" i="1"/>
  <c r="BY414" i="1"/>
  <c r="CA414" i="1"/>
  <c r="BZ414" i="1"/>
  <c r="CL160" i="1"/>
  <c r="CK160" i="1"/>
  <c r="CJ160" i="1"/>
  <c r="CI160" i="1"/>
  <c r="CH160" i="1"/>
  <c r="CG160" i="1"/>
  <c r="CF160" i="1"/>
  <c r="CE160" i="1"/>
  <c r="CD160" i="1"/>
  <c r="CC160" i="1"/>
  <c r="CA160" i="1"/>
  <c r="CB160" i="1"/>
  <c r="BY160" i="1"/>
  <c r="BZ160" i="1"/>
  <c r="CL432" i="1"/>
  <c r="CJ432" i="1"/>
  <c r="CK432" i="1"/>
  <c r="CI432" i="1"/>
  <c r="CG432" i="1"/>
  <c r="CH432" i="1"/>
  <c r="CE432" i="1"/>
  <c r="CF432" i="1"/>
  <c r="CD432" i="1"/>
  <c r="CA432" i="1"/>
  <c r="CC432" i="1"/>
  <c r="CB432" i="1"/>
  <c r="BY432" i="1"/>
  <c r="BZ432" i="1"/>
  <c r="CL680" i="1"/>
  <c r="CK680" i="1"/>
  <c r="CJ680" i="1"/>
  <c r="CI680" i="1"/>
  <c r="CG680" i="1"/>
  <c r="CH680" i="1"/>
  <c r="CE680" i="1"/>
  <c r="CF680" i="1"/>
  <c r="CD680" i="1"/>
  <c r="CC680" i="1"/>
  <c r="CA680" i="1"/>
  <c r="CB680" i="1"/>
  <c r="BZ680" i="1"/>
  <c r="BY680" i="1"/>
  <c r="CL105" i="1"/>
  <c r="CK105" i="1"/>
  <c r="CJ105" i="1"/>
  <c r="CI105" i="1"/>
  <c r="CH105" i="1"/>
  <c r="CG105" i="1"/>
  <c r="CF105" i="1"/>
  <c r="CE105" i="1"/>
  <c r="CD105" i="1"/>
  <c r="CB105" i="1"/>
  <c r="CA105" i="1"/>
  <c r="CC105" i="1"/>
  <c r="BZ105" i="1"/>
  <c r="BY105" i="1"/>
  <c r="CL551" i="1"/>
  <c r="CK551" i="1"/>
  <c r="CJ551" i="1"/>
  <c r="CI551" i="1"/>
  <c r="CG551" i="1"/>
  <c r="CF551" i="1"/>
  <c r="CH551" i="1"/>
  <c r="CD551" i="1"/>
  <c r="CE551" i="1"/>
  <c r="CB551" i="1"/>
  <c r="CC551" i="1"/>
  <c r="CA551" i="1"/>
  <c r="BZ551" i="1"/>
  <c r="BY551" i="1"/>
  <c r="CL311" i="1"/>
  <c r="CK311" i="1"/>
  <c r="CJ311" i="1"/>
  <c r="CH311" i="1"/>
  <c r="CI311" i="1"/>
  <c r="CG311" i="1"/>
  <c r="CF311" i="1"/>
  <c r="CE311" i="1"/>
  <c r="CD311" i="1"/>
  <c r="CC311" i="1"/>
  <c r="CB311" i="1"/>
  <c r="BY311" i="1"/>
  <c r="CA311" i="1"/>
  <c r="BZ311" i="1"/>
  <c r="CL375" i="1"/>
  <c r="CK375" i="1"/>
  <c r="CJ375" i="1"/>
  <c r="CI375" i="1"/>
  <c r="CH375" i="1"/>
  <c r="CG375" i="1"/>
  <c r="CF375" i="1"/>
  <c r="CE375" i="1"/>
  <c r="CD375" i="1"/>
  <c r="CC375" i="1"/>
  <c r="CB375" i="1"/>
  <c r="BY375" i="1"/>
  <c r="CA375" i="1"/>
  <c r="BZ375" i="1"/>
  <c r="CL439" i="1"/>
  <c r="CJ439" i="1"/>
  <c r="CK439" i="1"/>
  <c r="CI439" i="1"/>
  <c r="CH439" i="1"/>
  <c r="CG439" i="1"/>
  <c r="CF439" i="1"/>
  <c r="CE439" i="1"/>
  <c r="CD439" i="1"/>
  <c r="CC439" i="1"/>
  <c r="CB439" i="1"/>
  <c r="BY439" i="1"/>
  <c r="CA439" i="1"/>
  <c r="BZ439" i="1"/>
  <c r="CL503" i="1"/>
  <c r="CJ503" i="1"/>
  <c r="CK503" i="1"/>
  <c r="CI503" i="1"/>
  <c r="CH503" i="1"/>
  <c r="CG503" i="1"/>
  <c r="CF503" i="1"/>
  <c r="CD503" i="1"/>
  <c r="CB503" i="1"/>
  <c r="CC503" i="1"/>
  <c r="CE503" i="1"/>
  <c r="CA503" i="1"/>
  <c r="BY503" i="1"/>
  <c r="BZ503" i="1"/>
  <c r="CL233" i="1"/>
  <c r="CK233" i="1"/>
  <c r="CJ233" i="1"/>
  <c r="CI233" i="1"/>
  <c r="CH233" i="1"/>
  <c r="CG233" i="1"/>
  <c r="CF233" i="1"/>
  <c r="CE233" i="1"/>
  <c r="CB233" i="1"/>
  <c r="CA233" i="1"/>
  <c r="CC233" i="1"/>
  <c r="CD233" i="1"/>
  <c r="BY233" i="1"/>
  <c r="BZ233" i="1"/>
  <c r="CK529" i="1"/>
  <c r="CL529" i="1"/>
  <c r="CJ529" i="1"/>
  <c r="CI529" i="1"/>
  <c r="CG529" i="1"/>
  <c r="CH529" i="1"/>
  <c r="CF529" i="1"/>
  <c r="CE529" i="1"/>
  <c r="CD529" i="1"/>
  <c r="CC529" i="1"/>
  <c r="CB529" i="1"/>
  <c r="CA529" i="1"/>
  <c r="BZ529" i="1"/>
  <c r="BY529" i="1"/>
  <c r="CL412" i="1"/>
  <c r="CK412" i="1"/>
  <c r="CJ412" i="1"/>
  <c r="CI412" i="1"/>
  <c r="CH412" i="1"/>
  <c r="CG412" i="1"/>
  <c r="CF412" i="1"/>
  <c r="CD412" i="1"/>
  <c r="CC412" i="1"/>
  <c r="CE412" i="1"/>
  <c r="CB412" i="1"/>
  <c r="CA412" i="1"/>
  <c r="BZ412" i="1"/>
  <c r="BY412" i="1"/>
  <c r="CL234" i="1"/>
  <c r="CK234" i="1"/>
  <c r="CJ234" i="1"/>
  <c r="CI234" i="1"/>
  <c r="CH234" i="1"/>
  <c r="CG234" i="1"/>
  <c r="CF234" i="1"/>
  <c r="CE234" i="1"/>
  <c r="CC234" i="1"/>
  <c r="CD234" i="1"/>
  <c r="CA234" i="1"/>
  <c r="CB234" i="1"/>
  <c r="BZ234" i="1"/>
  <c r="BY234" i="1"/>
  <c r="CL368" i="1"/>
  <c r="CK368" i="1"/>
  <c r="CJ368" i="1"/>
  <c r="CI368" i="1"/>
  <c r="CH368" i="1"/>
  <c r="CG368" i="1"/>
  <c r="CE368" i="1"/>
  <c r="CF368" i="1"/>
  <c r="CD368" i="1"/>
  <c r="CC368" i="1"/>
  <c r="CA368" i="1"/>
  <c r="CB368" i="1"/>
  <c r="BY368" i="1"/>
  <c r="BZ368" i="1"/>
  <c r="CL317" i="1"/>
  <c r="CK317" i="1"/>
  <c r="CJ317" i="1"/>
  <c r="CI317" i="1"/>
  <c r="CH317" i="1"/>
  <c r="CG317" i="1"/>
  <c r="CF317" i="1"/>
  <c r="CD317" i="1"/>
  <c r="CE317" i="1"/>
  <c r="CC317" i="1"/>
  <c r="CB317" i="1"/>
  <c r="CA317" i="1"/>
  <c r="BZ317" i="1"/>
  <c r="BY317" i="1"/>
  <c r="CL363" i="1"/>
  <c r="CK363" i="1"/>
  <c r="CJ363" i="1"/>
  <c r="CI363" i="1"/>
  <c r="CG363" i="1"/>
  <c r="CH363" i="1"/>
  <c r="CF363" i="1"/>
  <c r="CE363" i="1"/>
  <c r="CD363" i="1"/>
  <c r="CC363" i="1"/>
  <c r="CA363" i="1"/>
  <c r="CB363" i="1"/>
  <c r="BZ363" i="1"/>
  <c r="BY363" i="1"/>
  <c r="CL22" i="1"/>
  <c r="CJ22" i="1"/>
  <c r="CK22" i="1"/>
  <c r="CI22" i="1"/>
  <c r="CH22" i="1"/>
  <c r="CF22" i="1"/>
  <c r="CG22" i="1"/>
  <c r="CE22" i="1"/>
  <c r="CB22" i="1"/>
  <c r="CD22" i="1"/>
  <c r="BZ22" i="1"/>
  <c r="BY22" i="1"/>
  <c r="CA22" i="1"/>
  <c r="CC22" i="1"/>
  <c r="CL261" i="1"/>
  <c r="CK261" i="1"/>
  <c r="CJ261" i="1"/>
  <c r="CI261" i="1"/>
  <c r="CH261" i="1"/>
  <c r="CG261" i="1"/>
  <c r="CF261" i="1"/>
  <c r="CD261" i="1"/>
  <c r="CE261" i="1"/>
  <c r="CC261" i="1"/>
  <c r="CB261" i="1"/>
  <c r="CA261" i="1"/>
  <c r="BZ261" i="1"/>
  <c r="BY261" i="1"/>
  <c r="CL464" i="1"/>
  <c r="CJ464" i="1"/>
  <c r="CK464" i="1"/>
  <c r="CI464" i="1"/>
  <c r="CG464" i="1"/>
  <c r="CH464" i="1"/>
  <c r="CE464" i="1"/>
  <c r="CF464" i="1"/>
  <c r="CD464" i="1"/>
  <c r="CC464" i="1"/>
  <c r="CA464" i="1"/>
  <c r="CB464" i="1"/>
  <c r="BY464" i="1"/>
  <c r="BZ464" i="1"/>
  <c r="CL15" i="1"/>
  <c r="CK15" i="1"/>
  <c r="CJ15" i="1"/>
  <c r="CI15" i="1"/>
  <c r="CH15" i="1"/>
  <c r="CF15" i="1"/>
  <c r="CE15" i="1"/>
  <c r="CG15" i="1"/>
  <c r="CD15" i="1"/>
  <c r="CC15" i="1"/>
  <c r="CB15" i="1"/>
  <c r="BZ15" i="1"/>
  <c r="CA15" i="1"/>
  <c r="BY15" i="1"/>
  <c r="CL5" i="1"/>
  <c r="CK5" i="1"/>
  <c r="CJ5" i="1"/>
  <c r="CI5" i="1"/>
  <c r="CH5" i="1"/>
  <c r="CF5" i="1"/>
  <c r="CG5" i="1"/>
  <c r="CD5" i="1"/>
  <c r="CE5" i="1"/>
  <c r="CC5" i="1"/>
  <c r="CB5" i="1"/>
  <c r="BZ5" i="1"/>
  <c r="CA5" i="1"/>
  <c r="BY5" i="1"/>
  <c r="CL340" i="1"/>
  <c r="CK340" i="1"/>
  <c r="CJ340" i="1"/>
  <c r="CI340" i="1"/>
  <c r="CG340" i="1"/>
  <c r="CF340" i="1"/>
  <c r="CH340" i="1"/>
  <c r="CD340" i="1"/>
  <c r="CE340" i="1"/>
  <c r="CC340" i="1"/>
  <c r="CB340" i="1"/>
  <c r="CA340" i="1"/>
  <c r="BZ340" i="1"/>
  <c r="BY340" i="1"/>
  <c r="CK243" i="1"/>
  <c r="CL243" i="1"/>
  <c r="CJ243" i="1"/>
  <c r="CI243" i="1"/>
  <c r="CG243" i="1"/>
  <c r="CF243" i="1"/>
  <c r="CE243" i="1"/>
  <c r="CH243" i="1"/>
  <c r="CC243" i="1"/>
  <c r="CD243" i="1"/>
  <c r="CB243" i="1"/>
  <c r="CA243" i="1"/>
  <c r="BZ243" i="1"/>
  <c r="BY243" i="1"/>
  <c r="CL411" i="1"/>
  <c r="CK411" i="1"/>
  <c r="CJ411" i="1"/>
  <c r="CI411" i="1"/>
  <c r="CH411" i="1"/>
  <c r="CG411" i="1"/>
  <c r="CF411" i="1"/>
  <c r="CE411" i="1"/>
  <c r="CC411" i="1"/>
  <c r="CD411" i="1"/>
  <c r="CB411" i="1"/>
  <c r="CA411" i="1"/>
  <c r="BZ411" i="1"/>
  <c r="BY411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CL651" i="1"/>
  <c r="CK651" i="1"/>
  <c r="CJ651" i="1"/>
  <c r="CI651" i="1"/>
  <c r="CG651" i="1"/>
  <c r="CF651" i="1"/>
  <c r="CH651" i="1"/>
  <c r="CD651" i="1"/>
  <c r="CE651" i="1"/>
  <c r="CC651" i="1"/>
  <c r="CA651" i="1"/>
  <c r="CB651" i="1"/>
  <c r="BZ651" i="1"/>
  <c r="BY651" i="1"/>
  <c r="CL182" i="1"/>
  <c r="CK182" i="1"/>
  <c r="CJ182" i="1"/>
  <c r="CI182" i="1"/>
  <c r="CH182" i="1"/>
  <c r="CF182" i="1"/>
  <c r="CG182" i="1"/>
  <c r="CC182" i="1"/>
  <c r="CB182" i="1"/>
  <c r="CD182" i="1"/>
  <c r="CE182" i="1"/>
  <c r="BY182" i="1"/>
  <c r="CA182" i="1"/>
  <c r="BZ182" i="1"/>
  <c r="CL668" i="1"/>
  <c r="CK668" i="1"/>
  <c r="CJ668" i="1"/>
  <c r="CI668" i="1"/>
  <c r="CH668" i="1"/>
  <c r="CF668" i="1"/>
  <c r="CG668" i="1"/>
  <c r="CE668" i="1"/>
  <c r="CB668" i="1"/>
  <c r="CD668" i="1"/>
  <c r="CA668" i="1"/>
  <c r="BZ668" i="1"/>
  <c r="CC668" i="1"/>
  <c r="BY668" i="1"/>
  <c r="CK140" i="1"/>
  <c r="CL140" i="1"/>
  <c r="CJ140" i="1"/>
  <c r="CI140" i="1"/>
  <c r="CF140" i="1"/>
  <c r="CG140" i="1"/>
  <c r="CH140" i="1"/>
  <c r="CD140" i="1"/>
  <c r="CE140" i="1"/>
  <c r="CC140" i="1"/>
  <c r="CB140" i="1"/>
  <c r="CA140" i="1"/>
  <c r="BZ140" i="1"/>
  <c r="BY140" i="1"/>
  <c r="CL552" i="1"/>
  <c r="CK552" i="1"/>
  <c r="CJ552" i="1"/>
  <c r="CI552" i="1"/>
  <c r="CH552" i="1"/>
  <c r="CG552" i="1"/>
  <c r="CE552" i="1"/>
  <c r="CF552" i="1"/>
  <c r="CC552" i="1"/>
  <c r="CA552" i="1"/>
  <c r="CD552" i="1"/>
  <c r="CB552" i="1"/>
  <c r="BZ552" i="1"/>
  <c r="BY552" i="1"/>
  <c r="CL294" i="1"/>
  <c r="CK294" i="1"/>
  <c r="CJ294" i="1"/>
  <c r="CI294" i="1"/>
  <c r="CH294" i="1"/>
  <c r="CG294" i="1"/>
  <c r="CF294" i="1"/>
  <c r="CE294" i="1"/>
  <c r="CD294" i="1"/>
  <c r="CC294" i="1"/>
  <c r="CB294" i="1"/>
  <c r="BY294" i="1"/>
  <c r="BZ294" i="1"/>
  <c r="CA294" i="1"/>
  <c r="CL39" i="1"/>
  <c r="CK39" i="1"/>
  <c r="CJ39" i="1"/>
  <c r="CH39" i="1"/>
  <c r="CI39" i="1"/>
  <c r="CF39" i="1"/>
  <c r="CE39" i="1"/>
  <c r="CG39" i="1"/>
  <c r="CC39" i="1"/>
  <c r="CB39" i="1"/>
  <c r="CD39" i="1"/>
  <c r="BZ39" i="1"/>
  <c r="BY39" i="1"/>
  <c r="CA39" i="1"/>
  <c r="CL471" i="1"/>
  <c r="CJ471" i="1"/>
  <c r="CK471" i="1"/>
  <c r="CI471" i="1"/>
  <c r="CH471" i="1"/>
  <c r="CG471" i="1"/>
  <c r="CF471" i="1"/>
  <c r="CE471" i="1"/>
  <c r="CB471" i="1"/>
  <c r="CD471" i="1"/>
  <c r="CA471" i="1"/>
  <c r="CC471" i="1"/>
  <c r="BZ471" i="1"/>
  <c r="BY471" i="1"/>
  <c r="CK380" i="1"/>
  <c r="CL380" i="1"/>
  <c r="CI380" i="1"/>
  <c r="CJ380" i="1"/>
  <c r="CH380" i="1"/>
  <c r="CG380" i="1"/>
  <c r="CF380" i="1"/>
  <c r="CD380" i="1"/>
  <c r="CE380" i="1"/>
  <c r="CC380" i="1"/>
  <c r="CB380" i="1"/>
  <c r="CA380" i="1"/>
  <c r="BZ380" i="1"/>
  <c r="BY380" i="1"/>
  <c r="CL644" i="1"/>
  <c r="CK644" i="1"/>
  <c r="CJ644" i="1"/>
  <c r="CI644" i="1"/>
  <c r="CH644" i="1"/>
  <c r="CG644" i="1"/>
  <c r="CF644" i="1"/>
  <c r="CD644" i="1"/>
  <c r="CE644" i="1"/>
  <c r="CB644" i="1"/>
  <c r="CA644" i="1"/>
  <c r="BZ644" i="1"/>
  <c r="CC644" i="1"/>
  <c r="BY644" i="1"/>
  <c r="CL318" i="1"/>
  <c r="CJ318" i="1"/>
  <c r="CK318" i="1"/>
  <c r="CH318" i="1"/>
  <c r="CI318" i="1"/>
  <c r="CG318" i="1"/>
  <c r="CE318" i="1"/>
  <c r="CF318" i="1"/>
  <c r="CD318" i="1"/>
  <c r="CB318" i="1"/>
  <c r="CC318" i="1"/>
  <c r="BY318" i="1"/>
  <c r="CA318" i="1"/>
  <c r="BZ318" i="1"/>
  <c r="CL526" i="1"/>
  <c r="CK526" i="1"/>
  <c r="CJ526" i="1"/>
  <c r="CI526" i="1"/>
  <c r="CH526" i="1"/>
  <c r="CG526" i="1"/>
  <c r="CF526" i="1"/>
  <c r="CB526" i="1"/>
  <c r="CD526" i="1"/>
  <c r="CC526" i="1"/>
  <c r="CA526" i="1"/>
  <c r="BY526" i="1"/>
  <c r="CE526" i="1"/>
  <c r="BZ526" i="1"/>
  <c r="CL112" i="1"/>
  <c r="CJ112" i="1"/>
  <c r="CK112" i="1"/>
  <c r="CI112" i="1"/>
  <c r="CH112" i="1"/>
  <c r="CG112" i="1"/>
  <c r="CF112" i="1"/>
  <c r="CE112" i="1"/>
  <c r="CD112" i="1"/>
  <c r="CA112" i="1"/>
  <c r="CC112" i="1"/>
  <c r="BZ112" i="1"/>
  <c r="CB112" i="1"/>
  <c r="BY112" i="1"/>
  <c r="CL448" i="1"/>
  <c r="CJ448" i="1"/>
  <c r="CI448" i="1"/>
  <c r="CK448" i="1"/>
  <c r="CG448" i="1"/>
  <c r="CH448" i="1"/>
  <c r="CE448" i="1"/>
  <c r="CF448" i="1"/>
  <c r="CD448" i="1"/>
  <c r="CC448" i="1"/>
  <c r="CA448" i="1"/>
  <c r="CB448" i="1"/>
  <c r="BY448" i="1"/>
  <c r="BZ448" i="1"/>
  <c r="CL89" i="1"/>
  <c r="CK89" i="1"/>
  <c r="CJ89" i="1"/>
  <c r="CI89" i="1"/>
  <c r="CH89" i="1"/>
  <c r="CG89" i="1"/>
  <c r="CF89" i="1"/>
  <c r="CE89" i="1"/>
  <c r="CD89" i="1"/>
  <c r="CB89" i="1"/>
  <c r="CC89" i="1"/>
  <c r="CA89" i="1"/>
  <c r="BZ89" i="1"/>
  <c r="BY89" i="1"/>
  <c r="CL257" i="1"/>
  <c r="CK257" i="1"/>
  <c r="CJ257" i="1"/>
  <c r="CH257" i="1"/>
  <c r="CI257" i="1"/>
  <c r="CG257" i="1"/>
  <c r="CF257" i="1"/>
  <c r="CE257" i="1"/>
  <c r="CD257" i="1"/>
  <c r="CC257" i="1"/>
  <c r="CB257" i="1"/>
  <c r="CA257" i="1"/>
  <c r="BZ257" i="1"/>
  <c r="BY257" i="1"/>
  <c r="CK353" i="1"/>
  <c r="CL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CK225" i="1"/>
  <c r="CL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CL509" i="1"/>
  <c r="CK509" i="1"/>
  <c r="CJ509" i="1"/>
  <c r="CI509" i="1"/>
  <c r="CH509" i="1"/>
  <c r="CG509" i="1"/>
  <c r="CF509" i="1"/>
  <c r="CE509" i="1"/>
  <c r="CD509" i="1"/>
  <c r="CB509" i="1"/>
  <c r="CC509" i="1"/>
  <c r="CA509" i="1"/>
  <c r="BZ509" i="1"/>
  <c r="BY509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CK179" i="1"/>
  <c r="CL179" i="1"/>
  <c r="CJ179" i="1"/>
  <c r="CI179" i="1"/>
  <c r="CG179" i="1"/>
  <c r="CH179" i="1"/>
  <c r="CF179" i="1"/>
  <c r="CE179" i="1"/>
  <c r="CC179" i="1"/>
  <c r="CD179" i="1"/>
  <c r="CB179" i="1"/>
  <c r="CA179" i="1"/>
  <c r="BZ179" i="1"/>
  <c r="BY179" i="1"/>
  <c r="CK211" i="1"/>
  <c r="CL211" i="1"/>
  <c r="CJ211" i="1"/>
  <c r="CI211" i="1"/>
  <c r="CG211" i="1"/>
  <c r="CH211" i="1"/>
  <c r="CF211" i="1"/>
  <c r="CE211" i="1"/>
  <c r="CC211" i="1"/>
  <c r="CA211" i="1"/>
  <c r="CD211" i="1"/>
  <c r="CB211" i="1"/>
  <c r="BZ211" i="1"/>
  <c r="BY211" i="1"/>
  <c r="CK315" i="1"/>
  <c r="CL315" i="1"/>
  <c r="CJ315" i="1"/>
  <c r="CI315" i="1"/>
  <c r="CH315" i="1"/>
  <c r="CG315" i="1"/>
  <c r="CF315" i="1"/>
  <c r="CE315" i="1"/>
  <c r="CC315" i="1"/>
  <c r="CD315" i="1"/>
  <c r="CA315" i="1"/>
  <c r="CB315" i="1"/>
  <c r="BZ315" i="1"/>
  <c r="BY315" i="1"/>
  <c r="CL403" i="1"/>
  <c r="CK403" i="1"/>
  <c r="CJ403" i="1"/>
  <c r="CI403" i="1"/>
  <c r="CG403" i="1"/>
  <c r="CF403" i="1"/>
  <c r="CH403" i="1"/>
  <c r="CE403" i="1"/>
  <c r="CC403" i="1"/>
  <c r="CD403" i="1"/>
  <c r="CA403" i="1"/>
  <c r="CB403" i="1"/>
  <c r="BZ403" i="1"/>
  <c r="BY403" i="1"/>
  <c r="CL491" i="1"/>
  <c r="CK491" i="1"/>
  <c r="CJ491" i="1"/>
  <c r="CI491" i="1"/>
  <c r="CH491" i="1"/>
  <c r="CG491" i="1"/>
  <c r="CF491" i="1"/>
  <c r="CE491" i="1"/>
  <c r="CD491" i="1"/>
  <c r="CC491" i="1"/>
  <c r="CA491" i="1"/>
  <c r="BZ491" i="1"/>
  <c r="CB491" i="1"/>
  <c r="BY491" i="1"/>
  <c r="CL579" i="1"/>
  <c r="CK579" i="1"/>
  <c r="CJ579" i="1"/>
  <c r="CI579" i="1"/>
  <c r="CG579" i="1"/>
  <c r="CF579" i="1"/>
  <c r="CH579" i="1"/>
  <c r="CE579" i="1"/>
  <c r="CD579" i="1"/>
  <c r="CC579" i="1"/>
  <c r="CA579" i="1"/>
  <c r="BZ579" i="1"/>
  <c r="CB579" i="1"/>
  <c r="BY579" i="1"/>
  <c r="CK643" i="1"/>
  <c r="CL643" i="1"/>
  <c r="CI643" i="1"/>
  <c r="CJ643" i="1"/>
  <c r="CG643" i="1"/>
  <c r="CF643" i="1"/>
  <c r="CH643" i="1"/>
  <c r="CE643" i="1"/>
  <c r="CC643" i="1"/>
  <c r="CD643" i="1"/>
  <c r="CB643" i="1"/>
  <c r="CA643" i="1"/>
  <c r="BZ643" i="1"/>
  <c r="BY643" i="1"/>
  <c r="CL670" i="1"/>
  <c r="CK670" i="1"/>
  <c r="CJ670" i="1"/>
  <c r="CI670" i="1"/>
  <c r="CH670" i="1"/>
  <c r="CG670" i="1"/>
  <c r="CF670" i="1"/>
  <c r="CD670" i="1"/>
  <c r="CE670" i="1"/>
  <c r="CC670" i="1"/>
  <c r="CB670" i="1"/>
  <c r="CA670" i="1"/>
  <c r="BZ670" i="1"/>
  <c r="BY670" i="1"/>
  <c r="CL326" i="1"/>
  <c r="CK326" i="1"/>
  <c r="CJ326" i="1"/>
  <c r="CI326" i="1"/>
  <c r="CH326" i="1"/>
  <c r="CG326" i="1"/>
  <c r="CF326" i="1"/>
  <c r="CD326" i="1"/>
  <c r="CE326" i="1"/>
  <c r="CB326" i="1"/>
  <c r="CC326" i="1"/>
  <c r="BY326" i="1"/>
  <c r="BZ326" i="1"/>
  <c r="CA32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CL416" i="1"/>
  <c r="CJ416" i="1"/>
  <c r="CK416" i="1"/>
  <c r="CI416" i="1"/>
  <c r="CG416" i="1"/>
  <c r="CH416" i="1"/>
  <c r="CE416" i="1"/>
  <c r="CF416" i="1"/>
  <c r="CC416" i="1"/>
  <c r="CD416" i="1"/>
  <c r="CA416" i="1"/>
  <c r="CB416" i="1"/>
  <c r="BY416" i="1"/>
  <c r="BZ416" i="1"/>
  <c r="CL672" i="1"/>
  <c r="CK672" i="1"/>
  <c r="CJ672" i="1"/>
  <c r="CI672" i="1"/>
  <c r="CG672" i="1"/>
  <c r="CH672" i="1"/>
  <c r="CE672" i="1"/>
  <c r="CD672" i="1"/>
  <c r="CF672" i="1"/>
  <c r="CC672" i="1"/>
  <c r="CA672" i="1"/>
  <c r="CB672" i="1"/>
  <c r="BZ672" i="1"/>
  <c r="BY672" i="1"/>
  <c r="CL255" i="1"/>
  <c r="CK255" i="1"/>
  <c r="CJ255" i="1"/>
  <c r="CI255" i="1"/>
  <c r="CH255" i="1"/>
  <c r="CF255" i="1"/>
  <c r="CG255" i="1"/>
  <c r="CE255" i="1"/>
  <c r="CC255" i="1"/>
  <c r="CD255" i="1"/>
  <c r="CB255" i="1"/>
  <c r="BY255" i="1"/>
  <c r="CA255" i="1"/>
  <c r="BZ255" i="1"/>
  <c r="CL492" i="1"/>
  <c r="CK492" i="1"/>
  <c r="CJ492" i="1"/>
  <c r="CI492" i="1"/>
  <c r="CH492" i="1"/>
  <c r="CG492" i="1"/>
  <c r="CF492" i="1"/>
  <c r="CD492" i="1"/>
  <c r="CE492" i="1"/>
  <c r="CB492" i="1"/>
  <c r="CA492" i="1"/>
  <c r="CC492" i="1"/>
  <c r="BZ492" i="1"/>
  <c r="BY492" i="1"/>
  <c r="CL636" i="1"/>
  <c r="CK636" i="1"/>
  <c r="CJ636" i="1"/>
  <c r="CI636" i="1"/>
  <c r="CH636" i="1"/>
  <c r="CG636" i="1"/>
  <c r="CF636" i="1"/>
  <c r="CD636" i="1"/>
  <c r="CE636" i="1"/>
  <c r="CB636" i="1"/>
  <c r="CC636" i="1"/>
  <c r="CA636" i="1"/>
  <c r="BZ636" i="1"/>
  <c r="BY636" i="1"/>
  <c r="CL20" i="1"/>
  <c r="CK20" i="1"/>
  <c r="CJ20" i="1"/>
  <c r="CI20" i="1"/>
  <c r="CH20" i="1"/>
  <c r="CF20" i="1"/>
  <c r="CG20" i="1"/>
  <c r="CD20" i="1"/>
  <c r="CE20" i="1"/>
  <c r="CC20" i="1"/>
  <c r="CB20" i="1"/>
  <c r="BZ20" i="1"/>
  <c r="CA20" i="1"/>
  <c r="BY20" i="1"/>
  <c r="CL44" i="1"/>
  <c r="CK44" i="1"/>
  <c r="CI44" i="1"/>
  <c r="CJ44" i="1"/>
  <c r="CF44" i="1"/>
  <c r="CG44" i="1"/>
  <c r="CH44" i="1"/>
  <c r="CD44" i="1"/>
  <c r="CC44" i="1"/>
  <c r="CB44" i="1"/>
  <c r="BZ44" i="1"/>
  <c r="CA44" i="1"/>
  <c r="CE44" i="1"/>
  <c r="BY44" i="1"/>
  <c r="CL132" i="1"/>
  <c r="CK132" i="1"/>
  <c r="CJ132" i="1"/>
  <c r="CI132" i="1"/>
  <c r="CF132" i="1"/>
  <c r="CH132" i="1"/>
  <c r="CG132" i="1"/>
  <c r="CD132" i="1"/>
  <c r="CE132" i="1"/>
  <c r="CC132" i="1"/>
  <c r="CB132" i="1"/>
  <c r="BZ132" i="1"/>
  <c r="CA132" i="1"/>
  <c r="BY132" i="1"/>
  <c r="CK244" i="1"/>
  <c r="CL244" i="1"/>
  <c r="CJ244" i="1"/>
  <c r="CI244" i="1"/>
  <c r="CF244" i="1"/>
  <c r="CG244" i="1"/>
  <c r="CH244" i="1"/>
  <c r="CD244" i="1"/>
  <c r="CC244" i="1"/>
  <c r="CE244" i="1"/>
  <c r="CB244" i="1"/>
  <c r="CA244" i="1"/>
  <c r="BZ244" i="1"/>
  <c r="BY244" i="1"/>
  <c r="CL54" i="1"/>
  <c r="CK54" i="1"/>
  <c r="CJ54" i="1"/>
  <c r="CI54" i="1"/>
  <c r="CH54" i="1"/>
  <c r="CF54" i="1"/>
  <c r="CG54" i="1"/>
  <c r="CE54" i="1"/>
  <c r="CC54" i="1"/>
  <c r="CD54" i="1"/>
  <c r="CB54" i="1"/>
  <c r="BZ54" i="1"/>
  <c r="BY54" i="1"/>
  <c r="CA54" i="1"/>
  <c r="CL174" i="1"/>
  <c r="CJ174" i="1"/>
  <c r="CK174" i="1"/>
  <c r="CH174" i="1"/>
  <c r="CI174" i="1"/>
  <c r="CG174" i="1"/>
  <c r="CF174" i="1"/>
  <c r="CD174" i="1"/>
  <c r="CE174" i="1"/>
  <c r="CB174" i="1"/>
  <c r="CC174" i="1"/>
  <c r="CA174" i="1"/>
  <c r="BY174" i="1"/>
  <c r="BZ174" i="1"/>
  <c r="CL286" i="1"/>
  <c r="CJ286" i="1"/>
  <c r="CK286" i="1"/>
  <c r="CH286" i="1"/>
  <c r="CI286" i="1"/>
  <c r="CG286" i="1"/>
  <c r="CF286" i="1"/>
  <c r="CD286" i="1"/>
  <c r="CE286" i="1"/>
  <c r="CB286" i="1"/>
  <c r="CC286" i="1"/>
  <c r="BY286" i="1"/>
  <c r="CA286" i="1"/>
  <c r="BZ286" i="1"/>
  <c r="CL80" i="1"/>
  <c r="CK80" i="1"/>
  <c r="CJ80" i="1"/>
  <c r="CI80" i="1"/>
  <c r="CH80" i="1"/>
  <c r="CG80" i="1"/>
  <c r="CF80" i="1"/>
  <c r="CE80" i="1"/>
  <c r="CD80" i="1"/>
  <c r="CC80" i="1"/>
  <c r="CA80" i="1"/>
  <c r="CB80" i="1"/>
  <c r="BZ80" i="1"/>
  <c r="BY80" i="1"/>
  <c r="CL504" i="1"/>
  <c r="CJ504" i="1"/>
  <c r="CK504" i="1"/>
  <c r="CI504" i="1"/>
  <c r="CG504" i="1"/>
  <c r="CH504" i="1"/>
  <c r="CE504" i="1"/>
  <c r="CF504" i="1"/>
  <c r="CC504" i="1"/>
  <c r="CA504" i="1"/>
  <c r="CB504" i="1"/>
  <c r="CD504" i="1"/>
  <c r="BZ504" i="1"/>
  <c r="BY504" i="1"/>
  <c r="CL177" i="1"/>
  <c r="CK177" i="1"/>
  <c r="CJ177" i="1"/>
  <c r="CI177" i="1"/>
  <c r="CH177" i="1"/>
  <c r="CG177" i="1"/>
  <c r="CF177" i="1"/>
  <c r="CE177" i="1"/>
  <c r="CB177" i="1"/>
  <c r="CD177" i="1"/>
  <c r="CA177" i="1"/>
  <c r="CC177" i="1"/>
  <c r="BZ177" i="1"/>
  <c r="BY177" i="1"/>
  <c r="CK365" i="1"/>
  <c r="CL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CL613" i="1"/>
  <c r="CK613" i="1"/>
  <c r="CJ613" i="1"/>
  <c r="CI613" i="1"/>
  <c r="CH613" i="1"/>
  <c r="CG613" i="1"/>
  <c r="CF613" i="1"/>
  <c r="CD613" i="1"/>
  <c r="CB613" i="1"/>
  <c r="CE613" i="1"/>
  <c r="CC613" i="1"/>
  <c r="CA613" i="1"/>
  <c r="BZ613" i="1"/>
  <c r="BY613" i="1"/>
  <c r="CL37" i="1"/>
  <c r="CK37" i="1"/>
  <c r="CJ37" i="1"/>
  <c r="CI37" i="1"/>
  <c r="CH37" i="1"/>
  <c r="CF37" i="1"/>
  <c r="CG37" i="1"/>
  <c r="CE37" i="1"/>
  <c r="CD37" i="1"/>
  <c r="CC37" i="1"/>
  <c r="CB37" i="1"/>
  <c r="BZ37" i="1"/>
  <c r="CA37" i="1"/>
  <c r="BY37" i="1"/>
  <c r="CL6" i="1"/>
  <c r="CJ6" i="1"/>
  <c r="CK6" i="1"/>
  <c r="CI6" i="1"/>
  <c r="CH6" i="1"/>
  <c r="CF6" i="1"/>
  <c r="CG6" i="1"/>
  <c r="CE6" i="1"/>
  <c r="CD6" i="1"/>
  <c r="CB6" i="1"/>
  <c r="BZ6" i="1"/>
  <c r="CC6" i="1"/>
  <c r="BY6" i="1"/>
  <c r="CA6" i="1"/>
  <c r="CL190" i="1"/>
  <c r="CJ190" i="1"/>
  <c r="CK190" i="1"/>
  <c r="CH190" i="1"/>
  <c r="CI190" i="1"/>
  <c r="CG190" i="1"/>
  <c r="CF190" i="1"/>
  <c r="CD190" i="1"/>
  <c r="CE190" i="1"/>
  <c r="CB190" i="1"/>
  <c r="CC190" i="1"/>
  <c r="BY190" i="1"/>
  <c r="CA190" i="1"/>
  <c r="BZ190" i="1"/>
  <c r="CL262" i="1"/>
  <c r="CK262" i="1"/>
  <c r="CJ262" i="1"/>
  <c r="CI262" i="1"/>
  <c r="CH262" i="1"/>
  <c r="CG262" i="1"/>
  <c r="CF262" i="1"/>
  <c r="CD262" i="1"/>
  <c r="CE262" i="1"/>
  <c r="CB262" i="1"/>
  <c r="CC262" i="1"/>
  <c r="BY262" i="1"/>
  <c r="BZ262" i="1"/>
  <c r="CA262" i="1"/>
  <c r="CL438" i="1"/>
  <c r="CK438" i="1"/>
  <c r="CJ438" i="1"/>
  <c r="CI438" i="1"/>
  <c r="CH438" i="1"/>
  <c r="CG438" i="1"/>
  <c r="CF438" i="1"/>
  <c r="CD438" i="1"/>
  <c r="CC438" i="1"/>
  <c r="CB438" i="1"/>
  <c r="CE438" i="1"/>
  <c r="BY438" i="1"/>
  <c r="CA438" i="1"/>
  <c r="BZ438" i="1"/>
  <c r="CL16" i="1"/>
  <c r="CK16" i="1"/>
  <c r="CJ16" i="1"/>
  <c r="CI16" i="1"/>
  <c r="CH16" i="1"/>
  <c r="CG16" i="1"/>
  <c r="CE16" i="1"/>
  <c r="CF16" i="1"/>
  <c r="CD16" i="1"/>
  <c r="CC16" i="1"/>
  <c r="CA16" i="1"/>
  <c r="CB16" i="1"/>
  <c r="BZ16" i="1"/>
  <c r="BY16" i="1"/>
  <c r="CL336" i="1"/>
  <c r="CK336" i="1"/>
  <c r="CJ336" i="1"/>
  <c r="CI336" i="1"/>
  <c r="CH336" i="1"/>
  <c r="CG336" i="1"/>
  <c r="CE336" i="1"/>
  <c r="CF336" i="1"/>
  <c r="CD336" i="1"/>
  <c r="CC336" i="1"/>
  <c r="CA336" i="1"/>
  <c r="CB336" i="1"/>
  <c r="BY336" i="1"/>
  <c r="BZ336" i="1"/>
  <c r="CL664" i="1"/>
  <c r="CJ664" i="1"/>
  <c r="CK664" i="1"/>
  <c r="CI664" i="1"/>
  <c r="CG664" i="1"/>
  <c r="CH664" i="1"/>
  <c r="CE664" i="1"/>
  <c r="CF664" i="1"/>
  <c r="CD664" i="1"/>
  <c r="CC664" i="1"/>
  <c r="CA664" i="1"/>
  <c r="CB664" i="1"/>
  <c r="BZ664" i="1"/>
  <c r="BY664" i="1"/>
  <c r="CK481" i="1"/>
  <c r="CL481" i="1"/>
  <c r="CJ481" i="1"/>
  <c r="CI481" i="1"/>
  <c r="CG481" i="1"/>
  <c r="CH481" i="1"/>
  <c r="CF481" i="1"/>
  <c r="CE481" i="1"/>
  <c r="CD481" i="1"/>
  <c r="CC481" i="1"/>
  <c r="CB481" i="1"/>
  <c r="CA481" i="1"/>
  <c r="BZ481" i="1"/>
  <c r="BY481" i="1"/>
  <c r="CK593" i="1"/>
  <c r="CL593" i="1"/>
  <c r="CJ593" i="1"/>
  <c r="CI593" i="1"/>
  <c r="CG593" i="1"/>
  <c r="CH593" i="1"/>
  <c r="CE593" i="1"/>
  <c r="CD593" i="1"/>
  <c r="CF593" i="1"/>
  <c r="CC593" i="1"/>
  <c r="CB593" i="1"/>
  <c r="CA593" i="1"/>
  <c r="BZ593" i="1"/>
  <c r="BY593" i="1"/>
  <c r="CL256" i="1"/>
  <c r="CK256" i="1"/>
  <c r="CJ256" i="1"/>
  <c r="CI256" i="1"/>
  <c r="CH256" i="1"/>
  <c r="CG256" i="1"/>
  <c r="CE256" i="1"/>
  <c r="CF256" i="1"/>
  <c r="CD256" i="1"/>
  <c r="CC256" i="1"/>
  <c r="CA256" i="1"/>
  <c r="CB256" i="1"/>
  <c r="BY256" i="1"/>
  <c r="BZ256" i="1"/>
  <c r="CL528" i="1"/>
  <c r="CJ528" i="1"/>
  <c r="CK528" i="1"/>
  <c r="CI528" i="1"/>
  <c r="CG528" i="1"/>
  <c r="CH528" i="1"/>
  <c r="CE528" i="1"/>
  <c r="CF528" i="1"/>
  <c r="CD528" i="1"/>
  <c r="CC528" i="1"/>
  <c r="CA528" i="1"/>
  <c r="CB528" i="1"/>
  <c r="BZ528" i="1"/>
  <c r="BY528" i="1"/>
  <c r="CL449" i="1"/>
  <c r="CK449" i="1"/>
  <c r="CJ449" i="1"/>
  <c r="CI449" i="1"/>
  <c r="CG449" i="1"/>
  <c r="CH449" i="1"/>
  <c r="CF449" i="1"/>
  <c r="CE449" i="1"/>
  <c r="CC449" i="1"/>
  <c r="CD449" i="1"/>
  <c r="CB449" i="1"/>
  <c r="CA449" i="1"/>
  <c r="BZ449" i="1"/>
  <c r="BY449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CL615" i="1"/>
  <c r="CK615" i="1"/>
  <c r="CJ615" i="1"/>
  <c r="CI615" i="1"/>
  <c r="CH615" i="1"/>
  <c r="CG615" i="1"/>
  <c r="CF615" i="1"/>
  <c r="CD615" i="1"/>
  <c r="CE615" i="1"/>
  <c r="CB615" i="1"/>
  <c r="CC615" i="1"/>
  <c r="CA615" i="1"/>
  <c r="BZ615" i="1"/>
  <c r="BY615" i="1"/>
  <c r="CL31" i="1"/>
  <c r="CK31" i="1"/>
  <c r="CJ31" i="1"/>
  <c r="CI31" i="1"/>
  <c r="CH31" i="1"/>
  <c r="CF31" i="1"/>
  <c r="CE31" i="1"/>
  <c r="CG31" i="1"/>
  <c r="CC31" i="1"/>
  <c r="CD31" i="1"/>
  <c r="CB31" i="1"/>
  <c r="BZ31" i="1"/>
  <c r="BY31" i="1"/>
  <c r="CA31" i="1"/>
  <c r="CL127" i="1"/>
  <c r="CK127" i="1"/>
  <c r="CJ127" i="1"/>
  <c r="CI127" i="1"/>
  <c r="CH127" i="1"/>
  <c r="CF127" i="1"/>
  <c r="CC127" i="1"/>
  <c r="CG127" i="1"/>
  <c r="CE127" i="1"/>
  <c r="CB127" i="1"/>
  <c r="CD127" i="1"/>
  <c r="BZ127" i="1"/>
  <c r="BY127" i="1"/>
  <c r="CA127" i="1"/>
  <c r="CL175" i="1"/>
  <c r="CK175" i="1"/>
  <c r="CJ175" i="1"/>
  <c r="CI175" i="1"/>
  <c r="CH175" i="1"/>
  <c r="CF175" i="1"/>
  <c r="CG175" i="1"/>
  <c r="CD175" i="1"/>
  <c r="CE175" i="1"/>
  <c r="CC175" i="1"/>
  <c r="CB175" i="1"/>
  <c r="CA175" i="1"/>
  <c r="BY175" i="1"/>
  <c r="BZ175" i="1"/>
  <c r="CL199" i="1"/>
  <c r="CK199" i="1"/>
  <c r="CJ199" i="1"/>
  <c r="CI199" i="1"/>
  <c r="CH199" i="1"/>
  <c r="CF199" i="1"/>
  <c r="CG199" i="1"/>
  <c r="CE199" i="1"/>
  <c r="CC199" i="1"/>
  <c r="CD199" i="1"/>
  <c r="CB199" i="1"/>
  <c r="BY199" i="1"/>
  <c r="CA199" i="1"/>
  <c r="BZ199" i="1"/>
  <c r="CL223" i="1"/>
  <c r="CK223" i="1"/>
  <c r="CJ223" i="1"/>
  <c r="CI223" i="1"/>
  <c r="CH223" i="1"/>
  <c r="CF223" i="1"/>
  <c r="CG223" i="1"/>
  <c r="CC223" i="1"/>
  <c r="CE223" i="1"/>
  <c r="CD223" i="1"/>
  <c r="CB223" i="1"/>
  <c r="BY223" i="1"/>
  <c r="CA223" i="1"/>
  <c r="BZ223" i="1"/>
  <c r="CL247" i="1"/>
  <c r="CK247" i="1"/>
  <c r="CJ247" i="1"/>
  <c r="CH247" i="1"/>
  <c r="CI247" i="1"/>
  <c r="CF247" i="1"/>
  <c r="CG247" i="1"/>
  <c r="CE247" i="1"/>
  <c r="CD247" i="1"/>
  <c r="CC247" i="1"/>
  <c r="CB247" i="1"/>
  <c r="BY247" i="1"/>
  <c r="CA247" i="1"/>
  <c r="BZ247" i="1"/>
  <c r="CL271" i="1"/>
  <c r="CK271" i="1"/>
  <c r="CJ271" i="1"/>
  <c r="CI271" i="1"/>
  <c r="CH271" i="1"/>
  <c r="CF271" i="1"/>
  <c r="CG271" i="1"/>
  <c r="CE271" i="1"/>
  <c r="CD271" i="1"/>
  <c r="CC271" i="1"/>
  <c r="CB271" i="1"/>
  <c r="CA271" i="1"/>
  <c r="BY271" i="1"/>
  <c r="BZ271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Y335" i="1"/>
  <c r="BZ335" i="1"/>
  <c r="CL399" i="1"/>
  <c r="CJ399" i="1"/>
  <c r="CK399" i="1"/>
  <c r="CI399" i="1"/>
  <c r="CH399" i="1"/>
  <c r="CG399" i="1"/>
  <c r="CF399" i="1"/>
  <c r="CD399" i="1"/>
  <c r="CE399" i="1"/>
  <c r="CC399" i="1"/>
  <c r="CB399" i="1"/>
  <c r="CA399" i="1"/>
  <c r="BY399" i="1"/>
  <c r="BZ399" i="1"/>
  <c r="CL463" i="1"/>
  <c r="CJ463" i="1"/>
  <c r="CK463" i="1"/>
  <c r="CI463" i="1"/>
  <c r="CH463" i="1"/>
  <c r="CG463" i="1"/>
  <c r="CF463" i="1"/>
  <c r="CD463" i="1"/>
  <c r="CE463" i="1"/>
  <c r="CB463" i="1"/>
  <c r="CC463" i="1"/>
  <c r="CA463" i="1"/>
  <c r="BY463" i="1"/>
  <c r="BZ463" i="1"/>
  <c r="CL527" i="1"/>
  <c r="CJ527" i="1"/>
  <c r="CK527" i="1"/>
  <c r="CI527" i="1"/>
  <c r="CH527" i="1"/>
  <c r="CG527" i="1"/>
  <c r="CF527" i="1"/>
  <c r="CE527" i="1"/>
  <c r="CD527" i="1"/>
  <c r="CB527" i="1"/>
  <c r="CC527" i="1"/>
  <c r="CA527" i="1"/>
  <c r="BZ527" i="1"/>
  <c r="BY527" i="1"/>
  <c r="CK337" i="1"/>
  <c r="CL337" i="1"/>
  <c r="CJ337" i="1"/>
  <c r="CI337" i="1"/>
  <c r="CH337" i="1"/>
  <c r="CG337" i="1"/>
  <c r="CF337" i="1"/>
  <c r="CE337" i="1"/>
  <c r="CD337" i="1"/>
  <c r="CC337" i="1"/>
  <c r="CB337" i="1"/>
  <c r="CA337" i="1"/>
  <c r="BY337" i="1"/>
  <c r="BZ337" i="1"/>
  <c r="CL602" i="1"/>
  <c r="CK602" i="1"/>
  <c r="CJ602" i="1"/>
  <c r="CG602" i="1"/>
  <c r="CI602" i="1"/>
  <c r="CH602" i="1"/>
  <c r="CF602" i="1"/>
  <c r="CD602" i="1"/>
  <c r="CE602" i="1"/>
  <c r="CC602" i="1"/>
  <c r="CA602" i="1"/>
  <c r="CB602" i="1"/>
  <c r="BZ602" i="1"/>
  <c r="BY602" i="1"/>
  <c r="CL18" i="1"/>
  <c r="CK18" i="1"/>
  <c r="CJ18" i="1"/>
  <c r="CI18" i="1"/>
  <c r="CH18" i="1"/>
  <c r="CG18" i="1"/>
  <c r="CE18" i="1"/>
  <c r="CF18" i="1"/>
  <c r="CC18" i="1"/>
  <c r="CD18" i="1"/>
  <c r="CA18" i="1"/>
  <c r="CB18" i="1"/>
  <c r="BZ18" i="1"/>
  <c r="BY18" i="1"/>
  <c r="CK59" i="1"/>
  <c r="CL59" i="1"/>
  <c r="CJ59" i="1"/>
  <c r="CH59" i="1"/>
  <c r="CI59" i="1"/>
  <c r="CG59" i="1"/>
  <c r="CE59" i="1"/>
  <c r="CF59" i="1"/>
  <c r="CC59" i="1"/>
  <c r="CD59" i="1"/>
  <c r="CA59" i="1"/>
  <c r="CB59" i="1"/>
  <c r="BZ59" i="1"/>
  <c r="BY59" i="1"/>
  <c r="CL270" i="1"/>
  <c r="CJ270" i="1"/>
  <c r="CI270" i="1"/>
  <c r="CK270" i="1"/>
  <c r="CH270" i="1"/>
  <c r="CF270" i="1"/>
  <c r="CG270" i="1"/>
  <c r="CE270" i="1"/>
  <c r="CD270" i="1"/>
  <c r="CC270" i="1"/>
  <c r="CB270" i="1"/>
  <c r="CA270" i="1"/>
  <c r="BY270" i="1"/>
  <c r="BZ270" i="1"/>
  <c r="CL344" i="1"/>
  <c r="CK344" i="1"/>
  <c r="CJ344" i="1"/>
  <c r="CI344" i="1"/>
  <c r="CH344" i="1"/>
  <c r="CG344" i="1"/>
  <c r="CE344" i="1"/>
  <c r="CF344" i="1"/>
  <c r="CD344" i="1"/>
  <c r="CC344" i="1"/>
  <c r="CA344" i="1"/>
  <c r="CB344" i="1"/>
  <c r="BY344" i="1"/>
  <c r="BZ344" i="1"/>
  <c r="CK116" i="1"/>
  <c r="CL116" i="1"/>
  <c r="CJ116" i="1"/>
  <c r="CI116" i="1"/>
  <c r="CF116" i="1"/>
  <c r="CG116" i="1"/>
  <c r="CH116" i="1"/>
  <c r="CD116" i="1"/>
  <c r="CE116" i="1"/>
  <c r="CC116" i="1"/>
  <c r="CB116" i="1"/>
  <c r="BZ116" i="1"/>
  <c r="CA116" i="1"/>
  <c r="BY116" i="1"/>
  <c r="CL93" i="1"/>
  <c r="CK93" i="1"/>
  <c r="CI93" i="1"/>
  <c r="CJ93" i="1"/>
  <c r="CH93" i="1"/>
  <c r="CF93" i="1"/>
  <c r="CG93" i="1"/>
  <c r="CD93" i="1"/>
  <c r="CE93" i="1"/>
  <c r="CC93" i="1"/>
  <c r="CB93" i="1"/>
  <c r="CA93" i="1"/>
  <c r="BZ93" i="1"/>
  <c r="BY9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Y313" i="1"/>
  <c r="BZ313" i="1"/>
  <c r="CK81" i="1"/>
  <c r="CL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CL25" i="1"/>
  <c r="CJ25" i="1"/>
  <c r="CK25" i="1"/>
  <c r="CI25" i="1"/>
  <c r="CH25" i="1"/>
  <c r="CG25" i="1"/>
  <c r="CF25" i="1"/>
  <c r="CE25" i="1"/>
  <c r="CD25" i="1"/>
  <c r="CB25" i="1"/>
  <c r="CC25" i="1"/>
  <c r="CA25" i="1"/>
  <c r="BZ25" i="1"/>
  <c r="BY25" i="1"/>
  <c r="CK444" i="1"/>
  <c r="CJ444" i="1"/>
  <c r="CL444" i="1"/>
  <c r="CI444" i="1"/>
  <c r="CH444" i="1"/>
  <c r="CG444" i="1"/>
  <c r="CF444" i="1"/>
  <c r="CD444" i="1"/>
  <c r="CE444" i="1"/>
  <c r="CB444" i="1"/>
  <c r="CC444" i="1"/>
  <c r="CA444" i="1"/>
  <c r="BZ444" i="1"/>
  <c r="BY444" i="1"/>
  <c r="CL57" i="1"/>
  <c r="CK57" i="1"/>
  <c r="CJ57" i="1"/>
  <c r="CI57" i="1"/>
  <c r="CH57" i="1"/>
  <c r="CG57" i="1"/>
  <c r="CF57" i="1"/>
  <c r="CD57" i="1"/>
  <c r="CC57" i="1"/>
  <c r="CB57" i="1"/>
  <c r="CE57" i="1"/>
  <c r="CA57" i="1"/>
  <c r="BZ57" i="1"/>
  <c r="BY57" i="1"/>
  <c r="CL350" i="1"/>
  <c r="CK350" i="1"/>
  <c r="CJ350" i="1"/>
  <c r="CH350" i="1"/>
  <c r="CI350" i="1"/>
  <c r="CG350" i="1"/>
  <c r="CD350" i="1"/>
  <c r="CE350" i="1"/>
  <c r="CF350" i="1"/>
  <c r="CB350" i="1"/>
  <c r="BY350" i="1"/>
  <c r="CA350" i="1"/>
  <c r="BZ350" i="1"/>
  <c r="CC350" i="1"/>
  <c r="CL28" i="1"/>
  <c r="CK28" i="1"/>
  <c r="CJ28" i="1"/>
  <c r="CI28" i="1"/>
  <c r="CH28" i="1"/>
  <c r="CF28" i="1"/>
  <c r="CG28" i="1"/>
  <c r="CD28" i="1"/>
  <c r="CE28" i="1"/>
  <c r="CC28" i="1"/>
  <c r="CB28" i="1"/>
  <c r="BZ28" i="1"/>
  <c r="CA28" i="1"/>
  <c r="BY28" i="1"/>
  <c r="CK204" i="1"/>
  <c r="CL204" i="1"/>
  <c r="CJ204" i="1"/>
  <c r="CI204" i="1"/>
  <c r="CF204" i="1"/>
  <c r="CG204" i="1"/>
  <c r="CH204" i="1"/>
  <c r="CD204" i="1"/>
  <c r="CE204" i="1"/>
  <c r="CC204" i="1"/>
  <c r="CB204" i="1"/>
  <c r="CA204" i="1"/>
  <c r="BZ204" i="1"/>
  <c r="BY204" i="1"/>
  <c r="CL128" i="1"/>
  <c r="CK128" i="1"/>
  <c r="CJ128" i="1"/>
  <c r="CI128" i="1"/>
  <c r="CH128" i="1"/>
  <c r="CG128" i="1"/>
  <c r="CF128" i="1"/>
  <c r="CE128" i="1"/>
  <c r="CA128" i="1"/>
  <c r="CD128" i="1"/>
  <c r="BZ128" i="1"/>
  <c r="CB128" i="1"/>
  <c r="BY128" i="1"/>
  <c r="CC128" i="1"/>
  <c r="CL505" i="1"/>
  <c r="CK505" i="1"/>
  <c r="CJ505" i="1"/>
  <c r="CI505" i="1"/>
  <c r="CG505" i="1"/>
  <c r="CH505" i="1"/>
  <c r="CF505" i="1"/>
  <c r="CE505" i="1"/>
  <c r="CD505" i="1"/>
  <c r="CC505" i="1"/>
  <c r="CB505" i="1"/>
  <c r="CA505" i="1"/>
  <c r="BZ505" i="1"/>
  <c r="BY505" i="1"/>
  <c r="CL288" i="1"/>
  <c r="CK288" i="1"/>
  <c r="CJ288" i="1"/>
  <c r="CI288" i="1"/>
  <c r="CH288" i="1"/>
  <c r="CG288" i="1"/>
  <c r="CE288" i="1"/>
  <c r="CF288" i="1"/>
  <c r="CC288" i="1"/>
  <c r="CA288" i="1"/>
  <c r="CB288" i="1"/>
  <c r="CD288" i="1"/>
  <c r="BY288" i="1"/>
  <c r="BZ288" i="1"/>
  <c r="CL207" i="1"/>
  <c r="CK207" i="1"/>
  <c r="CJ207" i="1"/>
  <c r="CI207" i="1"/>
  <c r="CH207" i="1"/>
  <c r="CF207" i="1"/>
  <c r="CG207" i="1"/>
  <c r="CD207" i="1"/>
  <c r="CE207" i="1"/>
  <c r="CC207" i="1"/>
  <c r="CB207" i="1"/>
  <c r="CA207" i="1"/>
  <c r="BY207" i="1"/>
  <c r="BZ207" i="1"/>
  <c r="CL535" i="1"/>
  <c r="CJ535" i="1"/>
  <c r="CK535" i="1"/>
  <c r="CI535" i="1"/>
  <c r="CH535" i="1"/>
  <c r="CG535" i="1"/>
  <c r="CF535" i="1"/>
  <c r="CE535" i="1"/>
  <c r="CD535" i="1"/>
  <c r="CB535" i="1"/>
  <c r="CC535" i="1"/>
  <c r="CA535" i="1"/>
  <c r="BZ535" i="1"/>
  <c r="BY535" i="1"/>
  <c r="CL356" i="1"/>
  <c r="CK356" i="1"/>
  <c r="CJ356" i="1"/>
  <c r="CI356" i="1"/>
  <c r="CH356" i="1"/>
  <c r="CG356" i="1"/>
  <c r="CF356" i="1"/>
  <c r="CD356" i="1"/>
  <c r="CE356" i="1"/>
  <c r="CC356" i="1"/>
  <c r="CB356" i="1"/>
  <c r="CA356" i="1"/>
  <c r="BZ356" i="1"/>
  <c r="BY356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CL543" i="1"/>
  <c r="CJ543" i="1"/>
  <c r="CK543" i="1"/>
  <c r="CH543" i="1"/>
  <c r="CI543" i="1"/>
  <c r="CF543" i="1"/>
  <c r="CG543" i="1"/>
  <c r="CE543" i="1"/>
  <c r="CB543" i="1"/>
  <c r="CC543" i="1"/>
  <c r="CD543" i="1"/>
  <c r="CA543" i="1"/>
  <c r="BZ543" i="1"/>
  <c r="BY543" i="1"/>
  <c r="CL34" i="1"/>
  <c r="CK34" i="1"/>
  <c r="CJ34" i="1"/>
  <c r="CI34" i="1"/>
  <c r="CH34" i="1"/>
  <c r="CG34" i="1"/>
  <c r="CF34" i="1"/>
  <c r="CC34" i="1"/>
  <c r="CD34" i="1"/>
  <c r="CE34" i="1"/>
  <c r="CB34" i="1"/>
  <c r="CA34" i="1"/>
  <c r="BZ34" i="1"/>
  <c r="BY34" i="1"/>
  <c r="CL98" i="1"/>
  <c r="CK98" i="1"/>
  <c r="CJ98" i="1"/>
  <c r="CI98" i="1"/>
  <c r="CH98" i="1"/>
  <c r="CG98" i="1"/>
  <c r="CF98" i="1"/>
  <c r="CE98" i="1"/>
  <c r="CC98" i="1"/>
  <c r="CD98" i="1"/>
  <c r="CB98" i="1"/>
  <c r="CA98" i="1"/>
  <c r="BZ98" i="1"/>
  <c r="BY98" i="1"/>
  <c r="CL162" i="1"/>
  <c r="CK162" i="1"/>
  <c r="CJ162" i="1"/>
  <c r="CI162" i="1"/>
  <c r="CH162" i="1"/>
  <c r="CG162" i="1"/>
  <c r="CF162" i="1"/>
  <c r="CE162" i="1"/>
  <c r="CC162" i="1"/>
  <c r="CD162" i="1"/>
  <c r="CB162" i="1"/>
  <c r="CA162" i="1"/>
  <c r="BZ162" i="1"/>
  <c r="BY162" i="1"/>
  <c r="CL7" i="1"/>
  <c r="CK7" i="1"/>
  <c r="CJ7" i="1"/>
  <c r="CH7" i="1"/>
  <c r="CI7" i="1"/>
  <c r="CF7" i="1"/>
  <c r="CE7" i="1"/>
  <c r="CG7" i="1"/>
  <c r="CC7" i="1"/>
  <c r="CD7" i="1"/>
  <c r="CB7" i="1"/>
  <c r="BZ7" i="1"/>
  <c r="BY7" i="1"/>
  <c r="CA7" i="1"/>
  <c r="CL218" i="1"/>
  <c r="CK218" i="1"/>
  <c r="CJ218" i="1"/>
  <c r="CI218" i="1"/>
  <c r="CH218" i="1"/>
  <c r="CG218" i="1"/>
  <c r="CF218" i="1"/>
  <c r="CE218" i="1"/>
  <c r="CC218" i="1"/>
  <c r="CD218" i="1"/>
  <c r="CA218" i="1"/>
  <c r="BZ218" i="1"/>
  <c r="CB218" i="1"/>
  <c r="BY218" i="1"/>
  <c r="CL402" i="1"/>
  <c r="CK402" i="1"/>
  <c r="CJ402" i="1"/>
  <c r="CI402" i="1"/>
  <c r="CH402" i="1"/>
  <c r="CG402" i="1"/>
  <c r="CF402" i="1"/>
  <c r="CE402" i="1"/>
  <c r="CC402" i="1"/>
  <c r="CD402" i="1"/>
  <c r="CA402" i="1"/>
  <c r="CB402" i="1"/>
  <c r="BZ402" i="1"/>
  <c r="BY402" i="1"/>
  <c r="CL557" i="1"/>
  <c r="CK557" i="1"/>
  <c r="CJ557" i="1"/>
  <c r="CI557" i="1"/>
  <c r="CH557" i="1"/>
  <c r="CG557" i="1"/>
  <c r="CF557" i="1"/>
  <c r="CE557" i="1"/>
  <c r="CD557" i="1"/>
  <c r="CB557" i="1"/>
  <c r="CC557" i="1"/>
  <c r="CA557" i="1"/>
  <c r="BZ557" i="1"/>
  <c r="BY557" i="1"/>
  <c r="CL654" i="1"/>
  <c r="CK654" i="1"/>
  <c r="CJ654" i="1"/>
  <c r="CI654" i="1"/>
  <c r="CH654" i="1"/>
  <c r="CG654" i="1"/>
  <c r="CF654" i="1"/>
  <c r="CD654" i="1"/>
  <c r="CE654" i="1"/>
  <c r="CB654" i="1"/>
  <c r="CC654" i="1"/>
  <c r="CA654" i="1"/>
  <c r="BY654" i="1"/>
  <c r="BZ654" i="1"/>
  <c r="CL58" i="1"/>
  <c r="CK58" i="1"/>
  <c r="CJ58" i="1"/>
  <c r="CI58" i="1"/>
  <c r="CH58" i="1"/>
  <c r="CG58" i="1"/>
  <c r="CE58" i="1"/>
  <c r="CF58" i="1"/>
  <c r="CC58" i="1"/>
  <c r="CD58" i="1"/>
  <c r="CA58" i="1"/>
  <c r="CB58" i="1"/>
  <c r="BY58" i="1"/>
  <c r="BZ58" i="1"/>
  <c r="CL122" i="1"/>
  <c r="CK122" i="1"/>
  <c r="CJ122" i="1"/>
  <c r="CI122" i="1"/>
  <c r="CH122" i="1"/>
  <c r="CG122" i="1"/>
  <c r="CF122" i="1"/>
  <c r="CE122" i="1"/>
  <c r="CC122" i="1"/>
  <c r="CD122" i="1"/>
  <c r="CA122" i="1"/>
  <c r="CB122" i="1"/>
  <c r="BZ122" i="1"/>
  <c r="BY122" i="1"/>
  <c r="CL186" i="1"/>
  <c r="CK186" i="1"/>
  <c r="CJ186" i="1"/>
  <c r="CI186" i="1"/>
  <c r="CH186" i="1"/>
  <c r="CG186" i="1"/>
  <c r="CF186" i="1"/>
  <c r="CE186" i="1"/>
  <c r="CC186" i="1"/>
  <c r="CD186" i="1"/>
  <c r="CA186" i="1"/>
  <c r="CB186" i="1"/>
  <c r="BZ186" i="1"/>
  <c r="BY186" i="1"/>
  <c r="CL46" i="1"/>
  <c r="CJ46" i="1"/>
  <c r="CK46" i="1"/>
  <c r="CH46" i="1"/>
  <c r="CI46" i="1"/>
  <c r="CF46" i="1"/>
  <c r="CG46" i="1"/>
  <c r="CE46" i="1"/>
  <c r="CD46" i="1"/>
  <c r="CB46" i="1"/>
  <c r="CC46" i="1"/>
  <c r="BZ46" i="1"/>
  <c r="CA46" i="1"/>
  <c r="BY46" i="1"/>
  <c r="CL126" i="1"/>
  <c r="CK126" i="1"/>
  <c r="CJ126" i="1"/>
  <c r="CH126" i="1"/>
  <c r="CI126" i="1"/>
  <c r="CG126" i="1"/>
  <c r="CF126" i="1"/>
  <c r="CD126" i="1"/>
  <c r="CE126" i="1"/>
  <c r="CB126" i="1"/>
  <c r="CC126" i="1"/>
  <c r="BZ126" i="1"/>
  <c r="BY126" i="1"/>
  <c r="CA126" i="1"/>
  <c r="CL454" i="1"/>
  <c r="CK454" i="1"/>
  <c r="CI454" i="1"/>
  <c r="CJ454" i="1"/>
  <c r="CH454" i="1"/>
  <c r="CG454" i="1"/>
  <c r="CF454" i="1"/>
  <c r="CD454" i="1"/>
  <c r="CE454" i="1"/>
  <c r="CB454" i="1"/>
  <c r="BY454" i="1"/>
  <c r="CC454" i="1"/>
  <c r="BZ454" i="1"/>
  <c r="CA454" i="1"/>
  <c r="CL232" i="1"/>
  <c r="CK232" i="1"/>
  <c r="CJ232" i="1"/>
  <c r="CI232" i="1"/>
  <c r="CH232" i="1"/>
  <c r="CG232" i="1"/>
  <c r="CF232" i="1"/>
  <c r="CE232" i="1"/>
  <c r="CD232" i="1"/>
  <c r="CC232" i="1"/>
  <c r="CA232" i="1"/>
  <c r="CB232" i="1"/>
  <c r="BY232" i="1"/>
  <c r="BZ232" i="1"/>
  <c r="CL600" i="1"/>
  <c r="CJ600" i="1"/>
  <c r="CI600" i="1"/>
  <c r="CK600" i="1"/>
  <c r="CG600" i="1"/>
  <c r="CH600" i="1"/>
  <c r="CE600" i="1"/>
  <c r="CF600" i="1"/>
  <c r="CD600" i="1"/>
  <c r="CC600" i="1"/>
  <c r="CA600" i="1"/>
  <c r="CB600" i="1"/>
  <c r="BZ600" i="1"/>
  <c r="BY600" i="1"/>
  <c r="CL537" i="1"/>
  <c r="CK537" i="1"/>
  <c r="CJ537" i="1"/>
  <c r="CI537" i="1"/>
  <c r="CG537" i="1"/>
  <c r="CH537" i="1"/>
  <c r="CF537" i="1"/>
  <c r="CE537" i="1"/>
  <c r="CD537" i="1"/>
  <c r="CC537" i="1"/>
  <c r="CB537" i="1"/>
  <c r="CA537" i="1"/>
  <c r="BY537" i="1"/>
  <c r="BZ537" i="1"/>
  <c r="CL276" i="1"/>
  <c r="CK276" i="1"/>
  <c r="CJ276" i="1"/>
  <c r="CI276" i="1"/>
  <c r="CF276" i="1"/>
  <c r="CG276" i="1"/>
  <c r="CD276" i="1"/>
  <c r="CH276" i="1"/>
  <c r="CE276" i="1"/>
  <c r="CC276" i="1"/>
  <c r="CB276" i="1"/>
  <c r="CA276" i="1"/>
  <c r="BZ276" i="1"/>
  <c r="BY276" i="1"/>
  <c r="CL532" i="1"/>
  <c r="CK532" i="1"/>
  <c r="CJ532" i="1"/>
  <c r="CI532" i="1"/>
  <c r="CH532" i="1"/>
  <c r="CG532" i="1"/>
  <c r="CF532" i="1"/>
  <c r="CD532" i="1"/>
  <c r="CE532" i="1"/>
  <c r="CB532" i="1"/>
  <c r="CC532" i="1"/>
  <c r="CA532" i="1"/>
  <c r="BZ532" i="1"/>
  <c r="BY532" i="1"/>
  <c r="CL131" i="1"/>
  <c r="CK131" i="1"/>
  <c r="CJ131" i="1"/>
  <c r="CI131" i="1"/>
  <c r="CH131" i="1"/>
  <c r="CG131" i="1"/>
  <c r="CF131" i="1"/>
  <c r="CE131" i="1"/>
  <c r="CC131" i="1"/>
  <c r="CD131" i="1"/>
  <c r="CA131" i="1"/>
  <c r="CB131" i="1"/>
  <c r="BZ131" i="1"/>
  <c r="BY131" i="1"/>
  <c r="CK291" i="1"/>
  <c r="CL291" i="1"/>
  <c r="CJ291" i="1"/>
  <c r="CI291" i="1"/>
  <c r="CH291" i="1"/>
  <c r="CG291" i="1"/>
  <c r="CF291" i="1"/>
  <c r="CE291" i="1"/>
  <c r="CC291" i="1"/>
  <c r="CD291" i="1"/>
  <c r="CB291" i="1"/>
  <c r="CA291" i="1"/>
  <c r="BZ291" i="1"/>
  <c r="BY291" i="1"/>
  <c r="CK339" i="1"/>
  <c r="CL339" i="1"/>
  <c r="CJ339" i="1"/>
  <c r="CI339" i="1"/>
  <c r="CG339" i="1"/>
  <c r="CF339" i="1"/>
  <c r="CH339" i="1"/>
  <c r="CE339" i="1"/>
  <c r="CC339" i="1"/>
  <c r="CD339" i="1"/>
  <c r="CA339" i="1"/>
  <c r="CB339" i="1"/>
  <c r="BZ339" i="1"/>
  <c r="BY339" i="1"/>
  <c r="CL427" i="1"/>
  <c r="CK427" i="1"/>
  <c r="CJ427" i="1"/>
  <c r="CI427" i="1"/>
  <c r="CH427" i="1"/>
  <c r="CG427" i="1"/>
  <c r="CF427" i="1"/>
  <c r="CE427" i="1"/>
  <c r="CD427" i="1"/>
  <c r="CC427" i="1"/>
  <c r="CA427" i="1"/>
  <c r="CB427" i="1"/>
  <c r="BZ427" i="1"/>
  <c r="BY427" i="1"/>
  <c r="CK515" i="1"/>
  <c r="CL515" i="1"/>
  <c r="CJ515" i="1"/>
  <c r="CI515" i="1"/>
  <c r="CG515" i="1"/>
  <c r="CH515" i="1"/>
  <c r="CF515" i="1"/>
  <c r="CE515" i="1"/>
  <c r="CD515" i="1"/>
  <c r="CC515" i="1"/>
  <c r="CA515" i="1"/>
  <c r="CB515" i="1"/>
  <c r="BZ515" i="1"/>
  <c r="BY515" i="1"/>
  <c r="CL539" i="1"/>
  <c r="CK539" i="1"/>
  <c r="CJ539" i="1"/>
  <c r="CI539" i="1"/>
  <c r="CG539" i="1"/>
  <c r="CF539" i="1"/>
  <c r="CH539" i="1"/>
  <c r="CE539" i="1"/>
  <c r="CD539" i="1"/>
  <c r="CC539" i="1"/>
  <c r="CB539" i="1"/>
  <c r="CA539" i="1"/>
  <c r="BZ539" i="1"/>
  <c r="BY539" i="1"/>
  <c r="CL603" i="1"/>
  <c r="CK603" i="1"/>
  <c r="CJ603" i="1"/>
  <c r="CI603" i="1"/>
  <c r="CG603" i="1"/>
  <c r="CF603" i="1"/>
  <c r="CH603" i="1"/>
  <c r="CE603" i="1"/>
  <c r="CD603" i="1"/>
  <c r="CC603" i="1"/>
  <c r="CB603" i="1"/>
  <c r="CA603" i="1"/>
  <c r="BZ603" i="1"/>
  <c r="BY603" i="1"/>
  <c r="CL667" i="1"/>
  <c r="CK667" i="1"/>
  <c r="CJ667" i="1"/>
  <c r="CI667" i="1"/>
  <c r="CG667" i="1"/>
  <c r="CF667" i="1"/>
  <c r="CH667" i="1"/>
  <c r="CE667" i="1"/>
  <c r="CD667" i="1"/>
  <c r="CC667" i="1"/>
  <c r="CA667" i="1"/>
  <c r="CB667" i="1"/>
  <c r="BZ667" i="1"/>
  <c r="BY667" i="1"/>
  <c r="CL30" i="1"/>
  <c r="CK30" i="1"/>
  <c r="CJ30" i="1"/>
  <c r="CI30" i="1"/>
  <c r="CH30" i="1"/>
  <c r="CF30" i="1"/>
  <c r="CG30" i="1"/>
  <c r="CE30" i="1"/>
  <c r="CD30" i="1"/>
  <c r="CB30" i="1"/>
  <c r="CC30" i="1"/>
  <c r="BZ30" i="1"/>
  <c r="BY30" i="1"/>
  <c r="CA30" i="1"/>
  <c r="CL430" i="1"/>
  <c r="CK430" i="1"/>
  <c r="CJ430" i="1"/>
  <c r="CI430" i="1"/>
  <c r="CH430" i="1"/>
  <c r="CG430" i="1"/>
  <c r="CF430" i="1"/>
  <c r="CD430" i="1"/>
  <c r="CB430" i="1"/>
  <c r="CC430" i="1"/>
  <c r="CE430" i="1"/>
  <c r="CA430" i="1"/>
  <c r="BY430" i="1"/>
  <c r="BZ430" i="1"/>
  <c r="CL518" i="1"/>
  <c r="CK518" i="1"/>
  <c r="CI518" i="1"/>
  <c r="CJ518" i="1"/>
  <c r="CH518" i="1"/>
  <c r="CG518" i="1"/>
  <c r="CF518" i="1"/>
  <c r="CD518" i="1"/>
  <c r="CE518" i="1"/>
  <c r="CB518" i="1"/>
  <c r="CC518" i="1"/>
  <c r="BY518" i="1"/>
  <c r="BZ518" i="1"/>
  <c r="CA518" i="1"/>
  <c r="CL240" i="1"/>
  <c r="CK240" i="1"/>
  <c r="CJ240" i="1"/>
  <c r="CI240" i="1"/>
  <c r="CH240" i="1"/>
  <c r="CG240" i="1"/>
  <c r="CE240" i="1"/>
  <c r="CF240" i="1"/>
  <c r="CD240" i="1"/>
  <c r="CA240" i="1"/>
  <c r="CC240" i="1"/>
  <c r="BY240" i="1"/>
  <c r="CB240" i="1"/>
  <c r="BZ240" i="1"/>
  <c r="CL520" i="1"/>
  <c r="CK520" i="1"/>
  <c r="CJ520" i="1"/>
  <c r="CI520" i="1"/>
  <c r="CH520" i="1"/>
  <c r="CG520" i="1"/>
  <c r="CE520" i="1"/>
  <c r="CF520" i="1"/>
  <c r="CD520" i="1"/>
  <c r="CC520" i="1"/>
  <c r="CB520" i="1"/>
  <c r="CA520" i="1"/>
  <c r="BZ520" i="1"/>
  <c r="BY520" i="1"/>
  <c r="CL277" i="1"/>
  <c r="CK277" i="1"/>
  <c r="CJ277" i="1"/>
  <c r="CI277" i="1"/>
  <c r="CH277" i="1"/>
  <c r="CG277" i="1"/>
  <c r="CD277" i="1"/>
  <c r="CF277" i="1"/>
  <c r="CE277" i="1"/>
  <c r="CC277" i="1"/>
  <c r="CB277" i="1"/>
  <c r="CA277" i="1"/>
  <c r="BZ277" i="1"/>
  <c r="BY277" i="1"/>
  <c r="CL533" i="1"/>
  <c r="CK533" i="1"/>
  <c r="CI533" i="1"/>
  <c r="CJ533" i="1"/>
  <c r="CH533" i="1"/>
  <c r="CG533" i="1"/>
  <c r="CF533" i="1"/>
  <c r="CE533" i="1"/>
  <c r="CD533" i="1"/>
  <c r="CB533" i="1"/>
  <c r="CC533" i="1"/>
  <c r="CA533" i="1"/>
  <c r="BZ533" i="1"/>
  <c r="BY533" i="1"/>
  <c r="CL646" i="1"/>
  <c r="CK646" i="1"/>
  <c r="CI646" i="1"/>
  <c r="CJ646" i="1"/>
  <c r="CH646" i="1"/>
  <c r="CG646" i="1"/>
  <c r="CD646" i="1"/>
  <c r="CE646" i="1"/>
  <c r="CF646" i="1"/>
  <c r="CB646" i="1"/>
  <c r="BY646" i="1"/>
  <c r="CC646" i="1"/>
  <c r="BZ646" i="1"/>
  <c r="CA646" i="1"/>
  <c r="CL68" i="1"/>
  <c r="CK68" i="1"/>
  <c r="CJ68" i="1"/>
  <c r="CI68" i="1"/>
  <c r="CF68" i="1"/>
  <c r="CH68" i="1"/>
  <c r="CG68" i="1"/>
  <c r="CE68" i="1"/>
  <c r="CD68" i="1"/>
  <c r="CC68" i="1"/>
  <c r="CB68" i="1"/>
  <c r="BZ68" i="1"/>
  <c r="CA68" i="1"/>
  <c r="BY68" i="1"/>
  <c r="CK156" i="1"/>
  <c r="CL156" i="1"/>
  <c r="CI156" i="1"/>
  <c r="CJ156" i="1"/>
  <c r="CF156" i="1"/>
  <c r="CH156" i="1"/>
  <c r="CG156" i="1"/>
  <c r="CD156" i="1"/>
  <c r="CE156" i="1"/>
  <c r="CC156" i="1"/>
  <c r="CB156" i="1"/>
  <c r="CA156" i="1"/>
  <c r="BZ156" i="1"/>
  <c r="BY156" i="1"/>
  <c r="CK180" i="1"/>
  <c r="CL180" i="1"/>
  <c r="CJ180" i="1"/>
  <c r="CI180" i="1"/>
  <c r="CF180" i="1"/>
  <c r="CG180" i="1"/>
  <c r="CH180" i="1"/>
  <c r="CD180" i="1"/>
  <c r="CE180" i="1"/>
  <c r="CC180" i="1"/>
  <c r="CB180" i="1"/>
  <c r="CA180" i="1"/>
  <c r="BZ180" i="1"/>
  <c r="BY180" i="1"/>
  <c r="CK220" i="1"/>
  <c r="CL220" i="1"/>
  <c r="CI220" i="1"/>
  <c r="CJ220" i="1"/>
  <c r="CF220" i="1"/>
  <c r="CH220" i="1"/>
  <c r="CG220" i="1"/>
  <c r="CD220" i="1"/>
  <c r="CE220" i="1"/>
  <c r="CC220" i="1"/>
  <c r="CB220" i="1"/>
  <c r="CA220" i="1"/>
  <c r="BZ220" i="1"/>
  <c r="BY220" i="1"/>
  <c r="CL422" i="1"/>
  <c r="CK422" i="1"/>
  <c r="CJ422" i="1"/>
  <c r="CI422" i="1"/>
  <c r="CH422" i="1"/>
  <c r="CG422" i="1"/>
  <c r="CF422" i="1"/>
  <c r="CE422" i="1"/>
  <c r="CC422" i="1"/>
  <c r="CB422" i="1"/>
  <c r="CD422" i="1"/>
  <c r="BY422" i="1"/>
  <c r="BZ422" i="1"/>
  <c r="CA422" i="1"/>
  <c r="CL248" i="1"/>
  <c r="CK248" i="1"/>
  <c r="CJ248" i="1"/>
  <c r="CI248" i="1"/>
  <c r="CH248" i="1"/>
  <c r="CG248" i="1"/>
  <c r="CF248" i="1"/>
  <c r="CE248" i="1"/>
  <c r="CD248" i="1"/>
  <c r="CC248" i="1"/>
  <c r="CA248" i="1"/>
  <c r="CB248" i="1"/>
  <c r="BY248" i="1"/>
  <c r="BZ248" i="1"/>
  <c r="CL656" i="1"/>
  <c r="CK656" i="1"/>
  <c r="CJ656" i="1"/>
  <c r="CI656" i="1"/>
  <c r="CG656" i="1"/>
  <c r="CH656" i="1"/>
  <c r="CE656" i="1"/>
  <c r="CF656" i="1"/>
  <c r="CD656" i="1"/>
  <c r="CC656" i="1"/>
  <c r="CA656" i="1"/>
  <c r="CB656" i="1"/>
  <c r="BZ656" i="1"/>
  <c r="BY656" i="1"/>
  <c r="CL329" i="1"/>
  <c r="CK329" i="1"/>
  <c r="CJ329" i="1"/>
  <c r="CI329" i="1"/>
  <c r="CH329" i="1"/>
  <c r="CG329" i="1"/>
  <c r="CF329" i="1"/>
  <c r="CE329" i="1"/>
  <c r="CC329" i="1"/>
  <c r="CB329" i="1"/>
  <c r="CD329" i="1"/>
  <c r="CA329" i="1"/>
  <c r="BZ329" i="1"/>
  <c r="BY329" i="1"/>
  <c r="CL441" i="1"/>
  <c r="CK441" i="1"/>
  <c r="CJ441" i="1"/>
  <c r="CI441" i="1"/>
  <c r="CG441" i="1"/>
  <c r="CH441" i="1"/>
  <c r="CF441" i="1"/>
  <c r="CE441" i="1"/>
  <c r="CD441" i="1"/>
  <c r="CB441" i="1"/>
  <c r="CA441" i="1"/>
  <c r="CC441" i="1"/>
  <c r="BY441" i="1"/>
  <c r="BZ441" i="1"/>
  <c r="CK561" i="1"/>
  <c r="CL561" i="1"/>
  <c r="CJ561" i="1"/>
  <c r="CG561" i="1"/>
  <c r="CH561" i="1"/>
  <c r="CI561" i="1"/>
  <c r="CE561" i="1"/>
  <c r="CF561" i="1"/>
  <c r="CC561" i="1"/>
  <c r="CD561" i="1"/>
  <c r="CB561" i="1"/>
  <c r="CA561" i="1"/>
  <c r="BY561" i="1"/>
  <c r="BZ561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CL637" i="1"/>
  <c r="CK637" i="1"/>
  <c r="CJ637" i="1"/>
  <c r="CI637" i="1"/>
  <c r="CH637" i="1"/>
  <c r="CG637" i="1"/>
  <c r="CF637" i="1"/>
  <c r="CD637" i="1"/>
  <c r="CB637" i="1"/>
  <c r="CC637" i="1"/>
  <c r="CE637" i="1"/>
  <c r="CA637" i="1"/>
  <c r="BZ637" i="1"/>
  <c r="BY637" i="1"/>
  <c r="CL141" i="1"/>
  <c r="CK141" i="1"/>
  <c r="CI141" i="1"/>
  <c r="CJ141" i="1"/>
  <c r="CH141" i="1"/>
  <c r="CF141" i="1"/>
  <c r="CG141" i="1"/>
  <c r="CD141" i="1"/>
  <c r="CE141" i="1"/>
  <c r="CC141" i="1"/>
  <c r="CB141" i="1"/>
  <c r="CA141" i="1"/>
  <c r="BZ141" i="1"/>
  <c r="BY141" i="1"/>
  <c r="CL189" i="1"/>
  <c r="CK189" i="1"/>
  <c r="CI189" i="1"/>
  <c r="CJ189" i="1"/>
  <c r="CH189" i="1"/>
  <c r="CF189" i="1"/>
  <c r="CG189" i="1"/>
  <c r="CD189" i="1"/>
  <c r="CE189" i="1"/>
  <c r="CC189" i="1"/>
  <c r="CB189" i="1"/>
  <c r="CA189" i="1"/>
  <c r="BZ189" i="1"/>
  <c r="BY189" i="1"/>
  <c r="CL213" i="1"/>
  <c r="CK213" i="1"/>
  <c r="CI213" i="1"/>
  <c r="CH213" i="1"/>
  <c r="CJ213" i="1"/>
  <c r="CF213" i="1"/>
  <c r="CG213" i="1"/>
  <c r="CD213" i="1"/>
  <c r="CE213" i="1"/>
  <c r="CC213" i="1"/>
  <c r="CB213" i="1"/>
  <c r="CA213" i="1"/>
  <c r="BZ213" i="1"/>
  <c r="BY213" i="1"/>
  <c r="CL237" i="1"/>
  <c r="CK237" i="1"/>
  <c r="CJ237" i="1"/>
  <c r="CI237" i="1"/>
  <c r="CH237" i="1"/>
  <c r="CF237" i="1"/>
  <c r="CG237" i="1"/>
  <c r="CD237" i="1"/>
  <c r="CE237" i="1"/>
  <c r="CC237" i="1"/>
  <c r="CB237" i="1"/>
  <c r="CA237" i="1"/>
  <c r="BZ237" i="1"/>
  <c r="BY237" i="1"/>
  <c r="CL374" i="1"/>
  <c r="CK374" i="1"/>
  <c r="CJ374" i="1"/>
  <c r="CI374" i="1"/>
  <c r="CH374" i="1"/>
  <c r="CF374" i="1"/>
  <c r="CG374" i="1"/>
  <c r="CD374" i="1"/>
  <c r="CC374" i="1"/>
  <c r="CB374" i="1"/>
  <c r="CE374" i="1"/>
  <c r="BY374" i="1"/>
  <c r="CA374" i="1"/>
  <c r="BZ374" i="1"/>
  <c r="CL144" i="1"/>
  <c r="CK144" i="1"/>
  <c r="CJ144" i="1"/>
  <c r="CI144" i="1"/>
  <c r="CH144" i="1"/>
  <c r="CG144" i="1"/>
  <c r="CF144" i="1"/>
  <c r="CE144" i="1"/>
  <c r="CD144" i="1"/>
  <c r="CC144" i="1"/>
  <c r="CA144" i="1"/>
  <c r="CB144" i="1"/>
  <c r="BY144" i="1"/>
  <c r="BZ144" i="1"/>
  <c r="CL472" i="1"/>
  <c r="CJ472" i="1"/>
  <c r="CK472" i="1"/>
  <c r="CI472" i="1"/>
  <c r="CG472" i="1"/>
  <c r="CH472" i="1"/>
  <c r="CE472" i="1"/>
  <c r="CF472" i="1"/>
  <c r="CD472" i="1"/>
  <c r="CC472" i="1"/>
  <c r="CA472" i="1"/>
  <c r="BY472" i="1"/>
  <c r="CB472" i="1"/>
  <c r="BZ472" i="1"/>
  <c r="CL310" i="1"/>
  <c r="CK310" i="1"/>
  <c r="CJ310" i="1"/>
  <c r="CH310" i="1"/>
  <c r="CI310" i="1"/>
  <c r="CG310" i="1"/>
  <c r="CF310" i="1"/>
  <c r="CC310" i="1"/>
  <c r="CE310" i="1"/>
  <c r="CD310" i="1"/>
  <c r="CB310" i="1"/>
  <c r="BY310" i="1"/>
  <c r="CA310" i="1"/>
  <c r="BZ310" i="1"/>
  <c r="CL88" i="1"/>
  <c r="CJ88" i="1"/>
  <c r="CK88" i="1"/>
  <c r="CI88" i="1"/>
  <c r="CH88" i="1"/>
  <c r="CG88" i="1"/>
  <c r="CF88" i="1"/>
  <c r="CE88" i="1"/>
  <c r="CD88" i="1"/>
  <c r="CC88" i="1"/>
  <c r="CA88" i="1"/>
  <c r="BZ88" i="1"/>
  <c r="CB88" i="1"/>
  <c r="BY88" i="1"/>
  <c r="CL352" i="1"/>
  <c r="CK352" i="1"/>
  <c r="CJ352" i="1"/>
  <c r="CI352" i="1"/>
  <c r="CH352" i="1"/>
  <c r="CG352" i="1"/>
  <c r="CE352" i="1"/>
  <c r="CF352" i="1"/>
  <c r="CC352" i="1"/>
  <c r="CA352" i="1"/>
  <c r="CB352" i="1"/>
  <c r="CD352" i="1"/>
  <c r="BY352" i="1"/>
  <c r="BZ352" i="1"/>
  <c r="CL624" i="1"/>
  <c r="CK624" i="1"/>
  <c r="CJ624" i="1"/>
  <c r="CI624" i="1"/>
  <c r="CG624" i="1"/>
  <c r="CH624" i="1"/>
  <c r="CE624" i="1"/>
  <c r="CF624" i="1"/>
  <c r="CD624" i="1"/>
  <c r="CC624" i="1"/>
  <c r="CA624" i="1"/>
  <c r="CB624" i="1"/>
  <c r="BZ624" i="1"/>
  <c r="BY624" i="1"/>
  <c r="CL639" i="1"/>
  <c r="CK639" i="1"/>
  <c r="CJ639" i="1"/>
  <c r="CI639" i="1"/>
  <c r="CH639" i="1"/>
  <c r="CF639" i="1"/>
  <c r="CD639" i="1"/>
  <c r="CE639" i="1"/>
  <c r="CG639" i="1"/>
  <c r="CC639" i="1"/>
  <c r="CB639" i="1"/>
  <c r="CA639" i="1"/>
  <c r="BZ639" i="1"/>
  <c r="BY639" i="1"/>
  <c r="CL79" i="1"/>
  <c r="CK79" i="1"/>
  <c r="CJ79" i="1"/>
  <c r="CI79" i="1"/>
  <c r="CH79" i="1"/>
  <c r="CF79" i="1"/>
  <c r="CE79" i="1"/>
  <c r="CG79" i="1"/>
  <c r="CD79" i="1"/>
  <c r="CC79" i="1"/>
  <c r="CB79" i="1"/>
  <c r="BZ79" i="1"/>
  <c r="CA79" i="1"/>
  <c r="BY79" i="1"/>
  <c r="CL151" i="1"/>
  <c r="CK151" i="1"/>
  <c r="CJ151" i="1"/>
  <c r="CH151" i="1"/>
  <c r="CF151" i="1"/>
  <c r="CI151" i="1"/>
  <c r="CG151" i="1"/>
  <c r="CD151" i="1"/>
  <c r="CE151" i="1"/>
  <c r="CC151" i="1"/>
  <c r="CB151" i="1"/>
  <c r="BY151" i="1"/>
  <c r="CA151" i="1"/>
  <c r="BZ151" i="1"/>
  <c r="CL295" i="1"/>
  <c r="CK295" i="1"/>
  <c r="CJ295" i="1"/>
  <c r="CI295" i="1"/>
  <c r="CH295" i="1"/>
  <c r="CG295" i="1"/>
  <c r="CF295" i="1"/>
  <c r="CE295" i="1"/>
  <c r="CC295" i="1"/>
  <c r="CB295" i="1"/>
  <c r="CD295" i="1"/>
  <c r="BY295" i="1"/>
  <c r="CA295" i="1"/>
  <c r="BZ295" i="1"/>
  <c r="CL359" i="1"/>
  <c r="CK359" i="1"/>
  <c r="CJ359" i="1"/>
  <c r="CI359" i="1"/>
  <c r="CH359" i="1"/>
  <c r="CG359" i="1"/>
  <c r="CF359" i="1"/>
  <c r="CE359" i="1"/>
  <c r="CD359" i="1"/>
  <c r="CC359" i="1"/>
  <c r="CB359" i="1"/>
  <c r="BY359" i="1"/>
  <c r="CA359" i="1"/>
  <c r="BZ359" i="1"/>
  <c r="CL423" i="1"/>
  <c r="CK423" i="1"/>
  <c r="CJ423" i="1"/>
  <c r="CI423" i="1"/>
  <c r="CH423" i="1"/>
  <c r="CG423" i="1"/>
  <c r="CF423" i="1"/>
  <c r="CE423" i="1"/>
  <c r="CD423" i="1"/>
  <c r="CC423" i="1"/>
  <c r="CB423" i="1"/>
  <c r="BY423" i="1"/>
  <c r="CA423" i="1"/>
  <c r="BZ423" i="1"/>
  <c r="CL487" i="1"/>
  <c r="CK487" i="1"/>
  <c r="CJ487" i="1"/>
  <c r="CI487" i="1"/>
  <c r="CG487" i="1"/>
  <c r="CH487" i="1"/>
  <c r="CF487" i="1"/>
  <c r="CD487" i="1"/>
  <c r="CE487" i="1"/>
  <c r="CB487" i="1"/>
  <c r="CC487" i="1"/>
  <c r="CA487" i="1"/>
  <c r="BZ487" i="1"/>
  <c r="BY487" i="1"/>
  <c r="CK465" i="1"/>
  <c r="CL465" i="1"/>
  <c r="CJ465" i="1"/>
  <c r="CI465" i="1"/>
  <c r="CG465" i="1"/>
  <c r="CF465" i="1"/>
  <c r="CE465" i="1"/>
  <c r="CH465" i="1"/>
  <c r="CD465" i="1"/>
  <c r="CC465" i="1"/>
  <c r="CB465" i="1"/>
  <c r="CA465" i="1"/>
  <c r="BY465" i="1"/>
  <c r="BZ465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CL642" i="1"/>
  <c r="CK642" i="1"/>
  <c r="CJ642" i="1"/>
  <c r="CI642" i="1"/>
  <c r="CG642" i="1"/>
  <c r="CH642" i="1"/>
  <c r="CF642" i="1"/>
  <c r="CD642" i="1"/>
  <c r="CC642" i="1"/>
  <c r="CB642" i="1"/>
  <c r="CA642" i="1"/>
  <c r="CE642" i="1"/>
  <c r="BZ642" i="1"/>
  <c r="BY642" i="1"/>
  <c r="BX162" i="1"/>
  <c r="BW162" i="1"/>
  <c r="BV162" i="1"/>
  <c r="BX257" i="1"/>
  <c r="BV257" i="1"/>
  <c r="BW257" i="1"/>
  <c r="BX225" i="1"/>
  <c r="BV225" i="1"/>
  <c r="BW225" i="1"/>
  <c r="BX672" i="1"/>
  <c r="BW672" i="1"/>
  <c r="BV672" i="1"/>
  <c r="BX20" i="1"/>
  <c r="BW20" i="1"/>
  <c r="BV20" i="1"/>
  <c r="BX504" i="1"/>
  <c r="BW504" i="1"/>
  <c r="BV504" i="1"/>
  <c r="BX365" i="1"/>
  <c r="BW365" i="1"/>
  <c r="BV365" i="1"/>
  <c r="BX338" i="1"/>
  <c r="BV338" i="1"/>
  <c r="BW338" i="1"/>
  <c r="BX621" i="1"/>
  <c r="BW621" i="1"/>
  <c r="BV621" i="1"/>
  <c r="BX114" i="1"/>
  <c r="BW114" i="1"/>
  <c r="BV114" i="1"/>
  <c r="BX178" i="1"/>
  <c r="BW178" i="1"/>
  <c r="BV178" i="1"/>
  <c r="BX14" i="1"/>
  <c r="BW14" i="1"/>
  <c r="BV14" i="1"/>
  <c r="BW192" i="1"/>
  <c r="BX192" i="1"/>
  <c r="BV192" i="1"/>
  <c r="BX33" i="1"/>
  <c r="BV33" i="1"/>
  <c r="BW33" i="1"/>
  <c r="BX321" i="1"/>
  <c r="BW321" i="1"/>
  <c r="BV321" i="1"/>
  <c r="BX609" i="1"/>
  <c r="BW609" i="1"/>
  <c r="BV609" i="1"/>
  <c r="BX159" i="1"/>
  <c r="BW159" i="1"/>
  <c r="BV159" i="1"/>
  <c r="BX655" i="1"/>
  <c r="BW655" i="1"/>
  <c r="BV655" i="1"/>
  <c r="BX307" i="1"/>
  <c r="BW307" i="1"/>
  <c r="BV307" i="1"/>
  <c r="BW507" i="1"/>
  <c r="BX507" i="1"/>
  <c r="BV507" i="1"/>
  <c r="BX659" i="1"/>
  <c r="BW659" i="1"/>
  <c r="BV659" i="1"/>
  <c r="BX158" i="1"/>
  <c r="BW158" i="1"/>
  <c r="BV158" i="1"/>
  <c r="BX357" i="1"/>
  <c r="BW357" i="1"/>
  <c r="BV357" i="1"/>
  <c r="BX530" i="1"/>
  <c r="BW530" i="1"/>
  <c r="BV530" i="1"/>
  <c r="BW633" i="1"/>
  <c r="BV633" i="1"/>
  <c r="BX633" i="1"/>
  <c r="BX10" i="1"/>
  <c r="BW10" i="1"/>
  <c r="BV10" i="1"/>
  <c r="BX74" i="1"/>
  <c r="BW74" i="1"/>
  <c r="BV74" i="1"/>
  <c r="BX138" i="1"/>
  <c r="BW138" i="1"/>
  <c r="BV138" i="1"/>
  <c r="BX202" i="1"/>
  <c r="BW202" i="1"/>
  <c r="BV202" i="1"/>
  <c r="BX226" i="1"/>
  <c r="BW226" i="1"/>
  <c r="BV226" i="1"/>
  <c r="BX198" i="1"/>
  <c r="BW198" i="1"/>
  <c r="BV198" i="1"/>
  <c r="BX312" i="1"/>
  <c r="BW312" i="1"/>
  <c r="BV312" i="1"/>
  <c r="BX195" i="1"/>
  <c r="BW195" i="1"/>
  <c r="BV195" i="1"/>
  <c r="BX468" i="1"/>
  <c r="BW468" i="1"/>
  <c r="BV468" i="1"/>
  <c r="BX666" i="1"/>
  <c r="BW666" i="1"/>
  <c r="BV666" i="1"/>
  <c r="BX51" i="1"/>
  <c r="BW51" i="1"/>
  <c r="BV51" i="1"/>
  <c r="BX75" i="1"/>
  <c r="BW75" i="1"/>
  <c r="BV75" i="1"/>
  <c r="BX123" i="1"/>
  <c r="BW123" i="1"/>
  <c r="BV123" i="1"/>
  <c r="BX355" i="1"/>
  <c r="BW355" i="1"/>
  <c r="BV355" i="1"/>
  <c r="BW379" i="1"/>
  <c r="BX379" i="1"/>
  <c r="BV379" i="1"/>
  <c r="BW443" i="1"/>
  <c r="BX443" i="1"/>
  <c r="BV443" i="1"/>
  <c r="BX467" i="1"/>
  <c r="BW467" i="1"/>
  <c r="BV467" i="1"/>
  <c r="BX555" i="1"/>
  <c r="BW555" i="1"/>
  <c r="BV555" i="1"/>
  <c r="BX619" i="1"/>
  <c r="BW619" i="1"/>
  <c r="BV619" i="1"/>
  <c r="BX683" i="1"/>
  <c r="BW683" i="1"/>
  <c r="BV683" i="1"/>
  <c r="BX614" i="1"/>
  <c r="BW614" i="1"/>
  <c r="BV614" i="1"/>
  <c r="BX502" i="1"/>
  <c r="BW502" i="1"/>
  <c r="BV502" i="1"/>
  <c r="BW32" i="1"/>
  <c r="BX32" i="1"/>
  <c r="BV32" i="1"/>
  <c r="BW320" i="1"/>
  <c r="BX320" i="1"/>
  <c r="BV320" i="1"/>
  <c r="BX576" i="1"/>
  <c r="BW576" i="1"/>
  <c r="BV576" i="1"/>
  <c r="BX197" i="1"/>
  <c r="BW197" i="1"/>
  <c r="BV197" i="1"/>
  <c r="BX469" i="1"/>
  <c r="BW469" i="1"/>
  <c r="BV469" i="1"/>
  <c r="BX623" i="1"/>
  <c r="BW623" i="1"/>
  <c r="BV623" i="1"/>
  <c r="BX108" i="1"/>
  <c r="BW108" i="1"/>
  <c r="BV108" i="1"/>
  <c r="BX196" i="1"/>
  <c r="BW196" i="1"/>
  <c r="BV196" i="1"/>
  <c r="BX360" i="1"/>
  <c r="BW360" i="1"/>
  <c r="BV360" i="1"/>
  <c r="BX401" i="1"/>
  <c r="BW401" i="1"/>
  <c r="BV401" i="1"/>
  <c r="BX301" i="1"/>
  <c r="BW301" i="1"/>
  <c r="BV301" i="1"/>
  <c r="BX599" i="1"/>
  <c r="BW599" i="1"/>
  <c r="BV599" i="1"/>
  <c r="BX13" i="1"/>
  <c r="BW13" i="1"/>
  <c r="BV13" i="1"/>
  <c r="BX61" i="1"/>
  <c r="BW61" i="1"/>
  <c r="BV61" i="1"/>
  <c r="BX85" i="1"/>
  <c r="BW85" i="1"/>
  <c r="BV85" i="1"/>
  <c r="BX157" i="1"/>
  <c r="BW157" i="1"/>
  <c r="BV157" i="1"/>
  <c r="BX253" i="1"/>
  <c r="BW253" i="1"/>
  <c r="BV253" i="1"/>
  <c r="BX38" i="1"/>
  <c r="BW38" i="1"/>
  <c r="BV38" i="1"/>
  <c r="BX86" i="1"/>
  <c r="BW86" i="1"/>
  <c r="BV86" i="1"/>
  <c r="BX216" i="1"/>
  <c r="BW216" i="1"/>
  <c r="BV216" i="1"/>
  <c r="BX536" i="1"/>
  <c r="BW536" i="1"/>
  <c r="BV536" i="1"/>
  <c r="BX161" i="1"/>
  <c r="BV161" i="1"/>
  <c r="BW161" i="1"/>
  <c r="BX273" i="1"/>
  <c r="BW273" i="1"/>
  <c r="BV273" i="1"/>
  <c r="BW377" i="1"/>
  <c r="BV377" i="1"/>
  <c r="BX377" i="1"/>
  <c r="BX414" i="1"/>
  <c r="BW414" i="1"/>
  <c r="BV414" i="1"/>
  <c r="BW160" i="1"/>
  <c r="BX160" i="1"/>
  <c r="BV160" i="1"/>
  <c r="BX432" i="1"/>
  <c r="BW432" i="1"/>
  <c r="BV432" i="1"/>
  <c r="BX680" i="1"/>
  <c r="BW680" i="1"/>
  <c r="BV680" i="1"/>
  <c r="BX105" i="1"/>
  <c r="BW105" i="1"/>
  <c r="BV105" i="1"/>
  <c r="BX551" i="1"/>
  <c r="BW551" i="1"/>
  <c r="BV551" i="1"/>
  <c r="BX311" i="1"/>
  <c r="BW311" i="1"/>
  <c r="BV311" i="1"/>
  <c r="BX375" i="1"/>
  <c r="BW375" i="1"/>
  <c r="BV375" i="1"/>
  <c r="BX439" i="1"/>
  <c r="BW439" i="1"/>
  <c r="BV439" i="1"/>
  <c r="BX503" i="1"/>
  <c r="BW503" i="1"/>
  <c r="BV503" i="1"/>
  <c r="BX233" i="1"/>
  <c r="BW233" i="1"/>
  <c r="BV233" i="1"/>
  <c r="BX529" i="1"/>
  <c r="BW529" i="1"/>
  <c r="BV529" i="1"/>
  <c r="BX412" i="1"/>
  <c r="BW412" i="1"/>
  <c r="BV412" i="1"/>
  <c r="BX34" i="1"/>
  <c r="BV34" i="1"/>
  <c r="BW34" i="1"/>
  <c r="BX526" i="1"/>
  <c r="BW526" i="1"/>
  <c r="BV526" i="1"/>
  <c r="BX315" i="1"/>
  <c r="BW315" i="1"/>
  <c r="BV315" i="1"/>
  <c r="BX643" i="1"/>
  <c r="BW643" i="1"/>
  <c r="BV643" i="1"/>
  <c r="BX136" i="1"/>
  <c r="BW136" i="1"/>
  <c r="BV136" i="1"/>
  <c r="BX262" i="1"/>
  <c r="BW262" i="1"/>
  <c r="BV262" i="1"/>
  <c r="BX31" i="1"/>
  <c r="BW31" i="1"/>
  <c r="BV31" i="1"/>
  <c r="BX175" i="1"/>
  <c r="BW175" i="1"/>
  <c r="BV175" i="1"/>
  <c r="BX399" i="1"/>
  <c r="BW399" i="1"/>
  <c r="BV399" i="1"/>
  <c r="BX7" i="1"/>
  <c r="BW7" i="1"/>
  <c r="BV7" i="1"/>
  <c r="BX218" i="1"/>
  <c r="BW218" i="1"/>
  <c r="BV218" i="1"/>
  <c r="BX402" i="1"/>
  <c r="BW402" i="1"/>
  <c r="BV402" i="1"/>
  <c r="BX557" i="1"/>
  <c r="BW557" i="1"/>
  <c r="BV557" i="1"/>
  <c r="BX654" i="1"/>
  <c r="BW654" i="1"/>
  <c r="BV654" i="1"/>
  <c r="BX58" i="1"/>
  <c r="BV58" i="1"/>
  <c r="BW58" i="1"/>
  <c r="BX122" i="1"/>
  <c r="BV122" i="1"/>
  <c r="BW122" i="1"/>
  <c r="BX186" i="1"/>
  <c r="BW186" i="1"/>
  <c r="BV186" i="1"/>
  <c r="BX46" i="1"/>
  <c r="BW46" i="1"/>
  <c r="BV46" i="1"/>
  <c r="BX126" i="1"/>
  <c r="BW126" i="1"/>
  <c r="BV126" i="1"/>
  <c r="BX454" i="1"/>
  <c r="BW454" i="1"/>
  <c r="BV454" i="1"/>
  <c r="BX232" i="1"/>
  <c r="BW232" i="1"/>
  <c r="BV232" i="1"/>
  <c r="BX600" i="1"/>
  <c r="BW600" i="1"/>
  <c r="BV600" i="1"/>
  <c r="BX537" i="1"/>
  <c r="BW537" i="1"/>
  <c r="BV537" i="1"/>
  <c r="BX276" i="1"/>
  <c r="BW276" i="1"/>
  <c r="BV276" i="1"/>
  <c r="BX532" i="1"/>
  <c r="BW532" i="1"/>
  <c r="BV532" i="1"/>
  <c r="BX131" i="1"/>
  <c r="BW131" i="1"/>
  <c r="BV131" i="1"/>
  <c r="BX291" i="1"/>
  <c r="BW291" i="1"/>
  <c r="BV291" i="1"/>
  <c r="BX339" i="1"/>
  <c r="BW339" i="1"/>
  <c r="BV339" i="1"/>
  <c r="BX427" i="1"/>
  <c r="BW427" i="1"/>
  <c r="BV427" i="1"/>
  <c r="BX515" i="1"/>
  <c r="BW515" i="1"/>
  <c r="BV515" i="1"/>
  <c r="BX539" i="1"/>
  <c r="BW539" i="1"/>
  <c r="BV539" i="1"/>
  <c r="BX603" i="1"/>
  <c r="BW603" i="1"/>
  <c r="BV603" i="1"/>
  <c r="BX667" i="1"/>
  <c r="BW667" i="1"/>
  <c r="BV667" i="1"/>
  <c r="BX30" i="1"/>
  <c r="BW30" i="1"/>
  <c r="BV30" i="1"/>
  <c r="BX430" i="1"/>
  <c r="BW430" i="1"/>
  <c r="BV430" i="1"/>
  <c r="BX518" i="1"/>
  <c r="BW518" i="1"/>
  <c r="BV518" i="1"/>
  <c r="BX240" i="1"/>
  <c r="BW240" i="1"/>
  <c r="BV240" i="1"/>
  <c r="BX520" i="1"/>
  <c r="BW520" i="1"/>
  <c r="BV520" i="1"/>
  <c r="BX277" i="1"/>
  <c r="BW277" i="1"/>
  <c r="BV277" i="1"/>
  <c r="BX533" i="1"/>
  <c r="BW533" i="1"/>
  <c r="BV533" i="1"/>
  <c r="BX646" i="1"/>
  <c r="BW646" i="1"/>
  <c r="BV646" i="1"/>
  <c r="BX68" i="1"/>
  <c r="BW68" i="1"/>
  <c r="BV68" i="1"/>
  <c r="BX156" i="1"/>
  <c r="BW156" i="1"/>
  <c r="BV156" i="1"/>
  <c r="BX180" i="1"/>
  <c r="BW180" i="1"/>
  <c r="BV180" i="1"/>
  <c r="BX220" i="1"/>
  <c r="BW220" i="1"/>
  <c r="BV220" i="1"/>
  <c r="BX422" i="1"/>
  <c r="BW422" i="1"/>
  <c r="BV422" i="1"/>
  <c r="BX248" i="1"/>
  <c r="BW248" i="1"/>
  <c r="BV248" i="1"/>
  <c r="BX656" i="1"/>
  <c r="BW656" i="1"/>
  <c r="BV656" i="1"/>
  <c r="BX329" i="1"/>
  <c r="BW329" i="1"/>
  <c r="BV329" i="1"/>
  <c r="BW441" i="1"/>
  <c r="BX441" i="1"/>
  <c r="BV441" i="1"/>
  <c r="BX561" i="1"/>
  <c r="BW561" i="1"/>
  <c r="BV561" i="1"/>
  <c r="BX429" i="1"/>
  <c r="BW429" i="1"/>
  <c r="BV429" i="1"/>
  <c r="BX637" i="1"/>
  <c r="BW637" i="1"/>
  <c r="BV637" i="1"/>
  <c r="BX141" i="1"/>
  <c r="BW141" i="1"/>
  <c r="BV141" i="1"/>
  <c r="BX189" i="1"/>
  <c r="BW189" i="1"/>
  <c r="BV189" i="1"/>
  <c r="BX213" i="1"/>
  <c r="BW213" i="1"/>
  <c r="BV213" i="1"/>
  <c r="BX237" i="1"/>
  <c r="BW237" i="1"/>
  <c r="BV237" i="1"/>
  <c r="BX374" i="1"/>
  <c r="BW374" i="1"/>
  <c r="BV374" i="1"/>
  <c r="BX144" i="1"/>
  <c r="BW144" i="1"/>
  <c r="BV144" i="1"/>
  <c r="BX472" i="1"/>
  <c r="BW472" i="1"/>
  <c r="BV472" i="1"/>
  <c r="BX310" i="1"/>
  <c r="BW310" i="1"/>
  <c r="BV310" i="1"/>
  <c r="BX88" i="1"/>
  <c r="BW88" i="1"/>
  <c r="BV88" i="1"/>
  <c r="BW352" i="1"/>
  <c r="BX352" i="1"/>
  <c r="BV352" i="1"/>
  <c r="BX624" i="1"/>
  <c r="BW624" i="1"/>
  <c r="BV624" i="1"/>
  <c r="BX639" i="1"/>
  <c r="BV639" i="1"/>
  <c r="BW639" i="1"/>
  <c r="BX79" i="1"/>
  <c r="BW79" i="1"/>
  <c r="BV79" i="1"/>
  <c r="BX151" i="1"/>
  <c r="BW151" i="1"/>
  <c r="BV151" i="1"/>
  <c r="BX295" i="1"/>
  <c r="BW295" i="1"/>
  <c r="BV295" i="1"/>
  <c r="BX359" i="1"/>
  <c r="BW359" i="1"/>
  <c r="BV359" i="1"/>
  <c r="BX423" i="1"/>
  <c r="BW423" i="1"/>
  <c r="BV423" i="1"/>
  <c r="BX487" i="1"/>
  <c r="BW487" i="1"/>
  <c r="BV487" i="1"/>
  <c r="BX465" i="1"/>
  <c r="BW465" i="1"/>
  <c r="BV465" i="1"/>
  <c r="BX437" i="1"/>
  <c r="BW437" i="1"/>
  <c r="BV437" i="1"/>
  <c r="BX642" i="1"/>
  <c r="BW642" i="1"/>
  <c r="BV642" i="1"/>
  <c r="BX380" i="1"/>
  <c r="BW380" i="1"/>
  <c r="BV380" i="1"/>
  <c r="BX448" i="1"/>
  <c r="BW448" i="1"/>
  <c r="BV448" i="1"/>
  <c r="BX509" i="1"/>
  <c r="BW509" i="1"/>
  <c r="BV509" i="1"/>
  <c r="BX44" i="1"/>
  <c r="BW44" i="1"/>
  <c r="BV44" i="1"/>
  <c r="BX174" i="1"/>
  <c r="BW174" i="1"/>
  <c r="BV174" i="1"/>
  <c r="BX438" i="1"/>
  <c r="BW438" i="1"/>
  <c r="BV438" i="1"/>
  <c r="BX199" i="1"/>
  <c r="BW199" i="1"/>
  <c r="BV199" i="1"/>
  <c r="BX602" i="1"/>
  <c r="BW602" i="1"/>
  <c r="BV602" i="1"/>
  <c r="BX18" i="1"/>
  <c r="BW18" i="1"/>
  <c r="BV18" i="1"/>
  <c r="BX210" i="1"/>
  <c r="BW210" i="1"/>
  <c r="BV210" i="1"/>
  <c r="BX368" i="1"/>
  <c r="BW368" i="1"/>
  <c r="BV368" i="1"/>
  <c r="BX317" i="1"/>
  <c r="BW317" i="1"/>
  <c r="BV317" i="1"/>
  <c r="BX572" i="1"/>
  <c r="BW572" i="1"/>
  <c r="BV572" i="1"/>
  <c r="BX59" i="1"/>
  <c r="BW59" i="1"/>
  <c r="BV59" i="1"/>
  <c r="BX187" i="1"/>
  <c r="BW187" i="1"/>
  <c r="BV187" i="1"/>
  <c r="BX363" i="1"/>
  <c r="BW363" i="1"/>
  <c r="BV363" i="1"/>
  <c r="BX387" i="1"/>
  <c r="BW387" i="1"/>
  <c r="BV387" i="1"/>
  <c r="BX451" i="1"/>
  <c r="BW451" i="1"/>
  <c r="BV451" i="1"/>
  <c r="BX475" i="1"/>
  <c r="BW475" i="1"/>
  <c r="BV475" i="1"/>
  <c r="BX563" i="1"/>
  <c r="BW563" i="1"/>
  <c r="BV563" i="1"/>
  <c r="BX627" i="1"/>
  <c r="BW627" i="1"/>
  <c r="BV627" i="1"/>
  <c r="BX270" i="1"/>
  <c r="BW270" i="1"/>
  <c r="BV270" i="1"/>
  <c r="BW64" i="1"/>
  <c r="BX64" i="1"/>
  <c r="BV64" i="1"/>
  <c r="BX344" i="1"/>
  <c r="BW344" i="1"/>
  <c r="BV344" i="1"/>
  <c r="BX616" i="1"/>
  <c r="BW616" i="1"/>
  <c r="BV616" i="1"/>
  <c r="BX22" i="1"/>
  <c r="BW22" i="1"/>
  <c r="BV22" i="1"/>
  <c r="BX300" i="1"/>
  <c r="BW300" i="1"/>
  <c r="BV300" i="1"/>
  <c r="BX548" i="1"/>
  <c r="BW548" i="1"/>
  <c r="BV548" i="1"/>
  <c r="BX657" i="1"/>
  <c r="BW657" i="1"/>
  <c r="BV657" i="1"/>
  <c r="BX92" i="1"/>
  <c r="BW92" i="1"/>
  <c r="BV92" i="1"/>
  <c r="BX116" i="1"/>
  <c r="BW116" i="1"/>
  <c r="BV116" i="1"/>
  <c r="BW400" i="1"/>
  <c r="BX400" i="1"/>
  <c r="BV400" i="1"/>
  <c r="BX493" i="1"/>
  <c r="BW493" i="1"/>
  <c r="BV493" i="1"/>
  <c r="BX647" i="1"/>
  <c r="BW647" i="1"/>
  <c r="BV647" i="1"/>
  <c r="BX21" i="1"/>
  <c r="BW21" i="1"/>
  <c r="BV21" i="1"/>
  <c r="BX93" i="1"/>
  <c r="BW93" i="1"/>
  <c r="BV93" i="1"/>
  <c r="BX165" i="1"/>
  <c r="BW165" i="1"/>
  <c r="BV165" i="1"/>
  <c r="BX261" i="1"/>
  <c r="BW261" i="1"/>
  <c r="BV261" i="1"/>
  <c r="BX118" i="1"/>
  <c r="BW118" i="1"/>
  <c r="BV118" i="1"/>
  <c r="BX470" i="1"/>
  <c r="BW470" i="1"/>
  <c r="BV470" i="1"/>
  <c r="BX264" i="1"/>
  <c r="BW264" i="1"/>
  <c r="BV264" i="1"/>
  <c r="BX584" i="1"/>
  <c r="BW584" i="1"/>
  <c r="BV584" i="1"/>
  <c r="BX73" i="1"/>
  <c r="BW73" i="1"/>
  <c r="BV73" i="1"/>
  <c r="BX201" i="1"/>
  <c r="BW201" i="1"/>
  <c r="BV201" i="1"/>
  <c r="BX313" i="1"/>
  <c r="BW313" i="1"/>
  <c r="BV313" i="1"/>
  <c r="BX417" i="1"/>
  <c r="BW417" i="1"/>
  <c r="BV417" i="1"/>
  <c r="BX446" i="1"/>
  <c r="BW446" i="1"/>
  <c r="BV446" i="1"/>
  <c r="BX81" i="1"/>
  <c r="BW81" i="1"/>
  <c r="BV81" i="1"/>
  <c r="BX184" i="1"/>
  <c r="BW184" i="1"/>
  <c r="BV184" i="1"/>
  <c r="BX464" i="1"/>
  <c r="BW464" i="1"/>
  <c r="BV464" i="1"/>
  <c r="BX25" i="1"/>
  <c r="BV25" i="1"/>
  <c r="BW25" i="1"/>
  <c r="BX137" i="1"/>
  <c r="BW137" i="1"/>
  <c r="BV137" i="1"/>
  <c r="BX489" i="1"/>
  <c r="BW489" i="1"/>
  <c r="BV489" i="1"/>
  <c r="BX15" i="1"/>
  <c r="BW15" i="1"/>
  <c r="BV15" i="1"/>
  <c r="BX319" i="1"/>
  <c r="BW319" i="1"/>
  <c r="BV319" i="1"/>
  <c r="BX383" i="1"/>
  <c r="BW383" i="1"/>
  <c r="BV383" i="1"/>
  <c r="BX447" i="1"/>
  <c r="BW447" i="1"/>
  <c r="BV447" i="1"/>
  <c r="BX511" i="1"/>
  <c r="BV511" i="1"/>
  <c r="BW511" i="1"/>
  <c r="BX153" i="1"/>
  <c r="BV153" i="1"/>
  <c r="BW153" i="1"/>
  <c r="BX281" i="1"/>
  <c r="BW281" i="1"/>
  <c r="BV281" i="1"/>
  <c r="BX577" i="1"/>
  <c r="BW577" i="1"/>
  <c r="BV577" i="1"/>
  <c r="BX543" i="1"/>
  <c r="BV543" i="1"/>
  <c r="BW543" i="1"/>
  <c r="BX211" i="1"/>
  <c r="BW211" i="1"/>
  <c r="BV211" i="1"/>
  <c r="BX403" i="1"/>
  <c r="BW403" i="1"/>
  <c r="BV403" i="1"/>
  <c r="BX579" i="1"/>
  <c r="BW579" i="1"/>
  <c r="BV579" i="1"/>
  <c r="BX670" i="1"/>
  <c r="BW670" i="1"/>
  <c r="BV670" i="1"/>
  <c r="BX636" i="1"/>
  <c r="BW636" i="1"/>
  <c r="BV636" i="1"/>
  <c r="BX132" i="1"/>
  <c r="BW132" i="1"/>
  <c r="BV132" i="1"/>
  <c r="BX80" i="1"/>
  <c r="BW80" i="1"/>
  <c r="BV80" i="1"/>
  <c r="BX613" i="1"/>
  <c r="BW613" i="1"/>
  <c r="BV613" i="1"/>
  <c r="BX190" i="1"/>
  <c r="BW190" i="1"/>
  <c r="BV190" i="1"/>
  <c r="BX593" i="1"/>
  <c r="BW593" i="1"/>
  <c r="BV593" i="1"/>
  <c r="BW256" i="1"/>
  <c r="BX256" i="1"/>
  <c r="BV256" i="1"/>
  <c r="BX553" i="1"/>
  <c r="BW553" i="1"/>
  <c r="BV553" i="1"/>
  <c r="BX127" i="1"/>
  <c r="BW127" i="1"/>
  <c r="BV127" i="1"/>
  <c r="BX247" i="1"/>
  <c r="BW247" i="1"/>
  <c r="BV247" i="1"/>
  <c r="BX527" i="1"/>
  <c r="BW527" i="1"/>
  <c r="BV527" i="1"/>
  <c r="BX570" i="1"/>
  <c r="BW570" i="1"/>
  <c r="BV570" i="1"/>
  <c r="BX230" i="1"/>
  <c r="BW230" i="1"/>
  <c r="BV230" i="1"/>
  <c r="BX40" i="1"/>
  <c r="BW40" i="1"/>
  <c r="BV40" i="1"/>
  <c r="BX35" i="1"/>
  <c r="BW35" i="1"/>
  <c r="BV35" i="1"/>
  <c r="BX5" i="1"/>
  <c r="BW5" i="1"/>
  <c r="BV5" i="1"/>
  <c r="BX274" i="1"/>
  <c r="BV274" i="1"/>
  <c r="BW274" i="1"/>
  <c r="BX444" i="1"/>
  <c r="BV444" i="1"/>
  <c r="BW444" i="1"/>
  <c r="BX582" i="1"/>
  <c r="BW582" i="1"/>
  <c r="BV582" i="1"/>
  <c r="BX676" i="1"/>
  <c r="BW676" i="1"/>
  <c r="BV676" i="1"/>
  <c r="BX42" i="1"/>
  <c r="BW42" i="1"/>
  <c r="BV42" i="1"/>
  <c r="BX106" i="1"/>
  <c r="BW106" i="1"/>
  <c r="BV106" i="1"/>
  <c r="BX170" i="1"/>
  <c r="BW170" i="1"/>
  <c r="BV170" i="1"/>
  <c r="BX358" i="1"/>
  <c r="BW358" i="1"/>
  <c r="BV358" i="1"/>
  <c r="BX152" i="1"/>
  <c r="BW152" i="1"/>
  <c r="BV152" i="1"/>
  <c r="BX496" i="1"/>
  <c r="BW496" i="1"/>
  <c r="BV496" i="1"/>
  <c r="BX169" i="1"/>
  <c r="BW169" i="1"/>
  <c r="BV169" i="1"/>
  <c r="BX289" i="1"/>
  <c r="BW289" i="1"/>
  <c r="BV289" i="1"/>
  <c r="BX393" i="1"/>
  <c r="BV393" i="1"/>
  <c r="BW393" i="1"/>
  <c r="BX57" i="1"/>
  <c r="BV57" i="1"/>
  <c r="BW57" i="1"/>
  <c r="BX340" i="1"/>
  <c r="BW340" i="1"/>
  <c r="BV340" i="1"/>
  <c r="BX583" i="1"/>
  <c r="BW583" i="1"/>
  <c r="BV583" i="1"/>
  <c r="BX11" i="1"/>
  <c r="BW11" i="1"/>
  <c r="BV11" i="1"/>
  <c r="BX115" i="1"/>
  <c r="BW115" i="1"/>
  <c r="BV115" i="1"/>
  <c r="BX219" i="1"/>
  <c r="BW219" i="1"/>
  <c r="BV219" i="1"/>
  <c r="BX243" i="1"/>
  <c r="BW243" i="1"/>
  <c r="BV243" i="1"/>
  <c r="BX275" i="1"/>
  <c r="BW275" i="1"/>
  <c r="BV275" i="1"/>
  <c r="BX299" i="1"/>
  <c r="BW299" i="1"/>
  <c r="BV299" i="1"/>
  <c r="BX323" i="1"/>
  <c r="BW323" i="1"/>
  <c r="BV323" i="1"/>
  <c r="BX411" i="1"/>
  <c r="BW411" i="1"/>
  <c r="BV411" i="1"/>
  <c r="BX499" i="1"/>
  <c r="BW499" i="1"/>
  <c r="BV499" i="1"/>
  <c r="BX523" i="1"/>
  <c r="BW523" i="1"/>
  <c r="BV523" i="1"/>
  <c r="BX587" i="1"/>
  <c r="BW587" i="1"/>
  <c r="BV587" i="1"/>
  <c r="BX651" i="1"/>
  <c r="BW651" i="1"/>
  <c r="BV651" i="1"/>
  <c r="BX182" i="1"/>
  <c r="BW182" i="1"/>
  <c r="BV182" i="1"/>
  <c r="BX350" i="1"/>
  <c r="BW350" i="1"/>
  <c r="BV350" i="1"/>
  <c r="BX168" i="1"/>
  <c r="BW168" i="1"/>
  <c r="BV168" i="1"/>
  <c r="BX440" i="1"/>
  <c r="BW440" i="1"/>
  <c r="BV440" i="1"/>
  <c r="BX65" i="1"/>
  <c r="BV65" i="1"/>
  <c r="BW65" i="1"/>
  <c r="BX341" i="1"/>
  <c r="BW341" i="1"/>
  <c r="BV341" i="1"/>
  <c r="BX559" i="1"/>
  <c r="BW559" i="1"/>
  <c r="BV559" i="1"/>
  <c r="BX668" i="1"/>
  <c r="BW668" i="1"/>
  <c r="BV668" i="1"/>
  <c r="BX28" i="1"/>
  <c r="BW28" i="1"/>
  <c r="BV28" i="1"/>
  <c r="BX52" i="1"/>
  <c r="BW52" i="1"/>
  <c r="BV52" i="1"/>
  <c r="BX140" i="1"/>
  <c r="BW140" i="1"/>
  <c r="BV140" i="1"/>
  <c r="BX204" i="1"/>
  <c r="BW204" i="1"/>
  <c r="BV204" i="1"/>
  <c r="BX228" i="1"/>
  <c r="BW228" i="1"/>
  <c r="BV228" i="1"/>
  <c r="BX252" i="1"/>
  <c r="BW252" i="1"/>
  <c r="BV252" i="1"/>
  <c r="BX102" i="1"/>
  <c r="BW102" i="1"/>
  <c r="BV102" i="1"/>
  <c r="BX342" i="1"/>
  <c r="BW342" i="1"/>
  <c r="BV342" i="1"/>
  <c r="BW128" i="1"/>
  <c r="BX128" i="1"/>
  <c r="BV128" i="1"/>
  <c r="BX552" i="1"/>
  <c r="BW552" i="1"/>
  <c r="BV552" i="1"/>
  <c r="BV97" i="1"/>
  <c r="BX97" i="1"/>
  <c r="BW97" i="1"/>
  <c r="BX516" i="1"/>
  <c r="BW516" i="1"/>
  <c r="BV516" i="1"/>
  <c r="BX658" i="1"/>
  <c r="BW658" i="1"/>
  <c r="BV658" i="1"/>
  <c r="BX222" i="1"/>
  <c r="BW222" i="1"/>
  <c r="BV222" i="1"/>
  <c r="BX294" i="1"/>
  <c r="BW294" i="1"/>
  <c r="BV294" i="1"/>
  <c r="BX56" i="1"/>
  <c r="BW56" i="1"/>
  <c r="BV56" i="1"/>
  <c r="BX376" i="1"/>
  <c r="BW376" i="1"/>
  <c r="BV376" i="1"/>
  <c r="BX663" i="1"/>
  <c r="BW663" i="1"/>
  <c r="BV663" i="1"/>
  <c r="BX505" i="1"/>
  <c r="BW505" i="1"/>
  <c r="BV505" i="1"/>
  <c r="BX617" i="1"/>
  <c r="BW617" i="1"/>
  <c r="BV617" i="1"/>
  <c r="BX8" i="1"/>
  <c r="BW8" i="1"/>
  <c r="BV8" i="1"/>
  <c r="BW288" i="1"/>
  <c r="BX288" i="1"/>
  <c r="BV288" i="1"/>
  <c r="BX568" i="1"/>
  <c r="BW568" i="1"/>
  <c r="BV568" i="1"/>
  <c r="BX361" i="1"/>
  <c r="BW361" i="1"/>
  <c r="BV361" i="1"/>
  <c r="BX585" i="1"/>
  <c r="BW585" i="1"/>
  <c r="BV585" i="1"/>
  <c r="BX207" i="1"/>
  <c r="BW207" i="1"/>
  <c r="BV207" i="1"/>
  <c r="BX39" i="1"/>
  <c r="BW39" i="1"/>
  <c r="BV39" i="1"/>
  <c r="BX63" i="1"/>
  <c r="BW63" i="1"/>
  <c r="BV63" i="1"/>
  <c r="BX111" i="1"/>
  <c r="BW111" i="1"/>
  <c r="BV111" i="1"/>
  <c r="BX135" i="1"/>
  <c r="BW135" i="1"/>
  <c r="BV135" i="1"/>
  <c r="BX231" i="1"/>
  <c r="BW231" i="1"/>
  <c r="BV231" i="1"/>
  <c r="BX279" i="1"/>
  <c r="BW279" i="1"/>
  <c r="BV279" i="1"/>
  <c r="BX343" i="1"/>
  <c r="BW343" i="1"/>
  <c r="BV343" i="1"/>
  <c r="BX407" i="1"/>
  <c r="BW407" i="1"/>
  <c r="BV407" i="1"/>
  <c r="BX471" i="1"/>
  <c r="BW471" i="1"/>
  <c r="BV471" i="1"/>
  <c r="BX535" i="1"/>
  <c r="BW535" i="1"/>
  <c r="BV535" i="1"/>
  <c r="BX385" i="1"/>
  <c r="BW385" i="1"/>
  <c r="BV385" i="1"/>
  <c r="BX356" i="1"/>
  <c r="BW356" i="1"/>
  <c r="BV356" i="1"/>
  <c r="BX644" i="1"/>
  <c r="BW644" i="1"/>
  <c r="BV644" i="1"/>
  <c r="BX112" i="1"/>
  <c r="BW112" i="1"/>
  <c r="BV112" i="1"/>
  <c r="BX89" i="1"/>
  <c r="BV89" i="1"/>
  <c r="BW89" i="1"/>
  <c r="BX179" i="1"/>
  <c r="BW179" i="1"/>
  <c r="BV179" i="1"/>
  <c r="BX416" i="1"/>
  <c r="BW416" i="1"/>
  <c r="BV416" i="1"/>
  <c r="BX255" i="1"/>
  <c r="BW255" i="1"/>
  <c r="BV255" i="1"/>
  <c r="BX286" i="1"/>
  <c r="BW286" i="1"/>
  <c r="BV286" i="1"/>
  <c r="BX177" i="1"/>
  <c r="BW177" i="1"/>
  <c r="BV177" i="1"/>
  <c r="BX6" i="1"/>
  <c r="BW6" i="1"/>
  <c r="BV6" i="1"/>
  <c r="BX16" i="1"/>
  <c r="BW16" i="1"/>
  <c r="BV16" i="1"/>
  <c r="BX664" i="1"/>
  <c r="BW664" i="1"/>
  <c r="BV664" i="1"/>
  <c r="BX481" i="1"/>
  <c r="BW481" i="1"/>
  <c r="BV481" i="1"/>
  <c r="BX528" i="1"/>
  <c r="BW528" i="1"/>
  <c r="BV528" i="1"/>
  <c r="BX615" i="1"/>
  <c r="BW615" i="1"/>
  <c r="BV615" i="1"/>
  <c r="BX223" i="1"/>
  <c r="BW223" i="1"/>
  <c r="BV223" i="1"/>
  <c r="BX335" i="1"/>
  <c r="BW335" i="1"/>
  <c r="BV335" i="1"/>
  <c r="BX463" i="1"/>
  <c r="BW463" i="1"/>
  <c r="BV463" i="1"/>
  <c r="BX421" i="1"/>
  <c r="BW421" i="1"/>
  <c r="BV421" i="1"/>
  <c r="BX82" i="1"/>
  <c r="BW82" i="1"/>
  <c r="BV82" i="1"/>
  <c r="BX234" i="1"/>
  <c r="BW234" i="1"/>
  <c r="BV234" i="1"/>
  <c r="BX19" i="1"/>
  <c r="BW19" i="1"/>
  <c r="BV19" i="1"/>
  <c r="BX55" i="1"/>
  <c r="BW55" i="1"/>
  <c r="BV55" i="1"/>
  <c r="BX293" i="1"/>
  <c r="BW293" i="1"/>
  <c r="BV293" i="1"/>
  <c r="BX466" i="1"/>
  <c r="BW466" i="1"/>
  <c r="BV466" i="1"/>
  <c r="BX596" i="1"/>
  <c r="BW596" i="1"/>
  <c r="BV596" i="1"/>
  <c r="BV2" i="1"/>
  <c r="BW2" i="1"/>
  <c r="BU2" i="1"/>
  <c r="BX66" i="1"/>
  <c r="BV66" i="1"/>
  <c r="BW66" i="1"/>
  <c r="BX130" i="1"/>
  <c r="BW130" i="1"/>
  <c r="BV130" i="1"/>
  <c r="BX194" i="1"/>
  <c r="BW194" i="1"/>
  <c r="BV194" i="1"/>
  <c r="BX266" i="1"/>
  <c r="BW266" i="1"/>
  <c r="BV266" i="1"/>
  <c r="BX166" i="1"/>
  <c r="BW166" i="1"/>
  <c r="BV166" i="1"/>
  <c r="BX494" i="1"/>
  <c r="BW494" i="1"/>
  <c r="BV494" i="1"/>
  <c r="BX272" i="1"/>
  <c r="BW272" i="1"/>
  <c r="BV272" i="1"/>
  <c r="BX569" i="1"/>
  <c r="BW569" i="1"/>
  <c r="BV569" i="1"/>
  <c r="BX94" i="1"/>
  <c r="BW94" i="1"/>
  <c r="BV94" i="1"/>
  <c r="BX381" i="1"/>
  <c r="BW381" i="1"/>
  <c r="BV381" i="1"/>
  <c r="BX597" i="1"/>
  <c r="BW597" i="1"/>
  <c r="BV597" i="1"/>
  <c r="BX67" i="1"/>
  <c r="BW67" i="1"/>
  <c r="BV67" i="1"/>
  <c r="BX139" i="1"/>
  <c r="BW139" i="1"/>
  <c r="BV139" i="1"/>
  <c r="BX163" i="1"/>
  <c r="BW163" i="1"/>
  <c r="BV163" i="1"/>
  <c r="BX347" i="1"/>
  <c r="BW347" i="1"/>
  <c r="BV347" i="1"/>
  <c r="BX435" i="1"/>
  <c r="BV435" i="1"/>
  <c r="BW435" i="1"/>
  <c r="BX459" i="1"/>
  <c r="BW459" i="1"/>
  <c r="BV459" i="1"/>
  <c r="BW547" i="1"/>
  <c r="BV547" i="1"/>
  <c r="BX547" i="1"/>
  <c r="BW611" i="1"/>
  <c r="BX611" i="1"/>
  <c r="BV611" i="1"/>
  <c r="BW675" i="1"/>
  <c r="BX675" i="1"/>
  <c r="BV675" i="1"/>
  <c r="BX62" i="1"/>
  <c r="BW62" i="1"/>
  <c r="BV62" i="1"/>
  <c r="BX280" i="1"/>
  <c r="BW280" i="1"/>
  <c r="BV280" i="1"/>
  <c r="BX560" i="1"/>
  <c r="BW560" i="1"/>
  <c r="BV560" i="1"/>
  <c r="BX185" i="1"/>
  <c r="BW185" i="1"/>
  <c r="BV185" i="1"/>
  <c r="BX95" i="1"/>
  <c r="BW95" i="1"/>
  <c r="BV95" i="1"/>
  <c r="BX364" i="1"/>
  <c r="BW364" i="1"/>
  <c r="BV364" i="1"/>
  <c r="BX573" i="1"/>
  <c r="BW573" i="1"/>
  <c r="BV573" i="1"/>
  <c r="BX678" i="1"/>
  <c r="BW678" i="1"/>
  <c r="BV678" i="1"/>
  <c r="BX76" i="1"/>
  <c r="BW76" i="1"/>
  <c r="BV76" i="1"/>
  <c r="BX164" i="1"/>
  <c r="BW164" i="1"/>
  <c r="BV164" i="1"/>
  <c r="BX188" i="1"/>
  <c r="BW188" i="1"/>
  <c r="BV188" i="1"/>
  <c r="BX550" i="1"/>
  <c r="BW550" i="1"/>
  <c r="BV550" i="1"/>
  <c r="BX478" i="1"/>
  <c r="BW478" i="1"/>
  <c r="BV478" i="1"/>
  <c r="BX304" i="1"/>
  <c r="BW304" i="1"/>
  <c r="BV304" i="1"/>
  <c r="BX17" i="1"/>
  <c r="BW17" i="1"/>
  <c r="BV17" i="1"/>
  <c r="BX209" i="1"/>
  <c r="BW209" i="1"/>
  <c r="BV209" i="1"/>
  <c r="BX369" i="1"/>
  <c r="BW369" i="1"/>
  <c r="BV369" i="1"/>
  <c r="BX473" i="1"/>
  <c r="BW473" i="1"/>
  <c r="BV473" i="1"/>
  <c r="BX601" i="1"/>
  <c r="BW601" i="1"/>
  <c r="BV601" i="1"/>
  <c r="BX69" i="1"/>
  <c r="BW69" i="1"/>
  <c r="BV69" i="1"/>
  <c r="BX534" i="1"/>
  <c r="BW534" i="1"/>
  <c r="BV534" i="1"/>
  <c r="BX669" i="1"/>
  <c r="BW669" i="1"/>
  <c r="BV669" i="1"/>
  <c r="BX77" i="1"/>
  <c r="BW77" i="1"/>
  <c r="BV77" i="1"/>
  <c r="BX125" i="1"/>
  <c r="BW125" i="1"/>
  <c r="BV125" i="1"/>
  <c r="BX149" i="1"/>
  <c r="BW149" i="1"/>
  <c r="BV149" i="1"/>
  <c r="BX221" i="1"/>
  <c r="BW221" i="1"/>
  <c r="BV221" i="1"/>
  <c r="BX245" i="1"/>
  <c r="BW245" i="1"/>
  <c r="BV245" i="1"/>
  <c r="BX398" i="1"/>
  <c r="BW398" i="1"/>
  <c r="BV398" i="1"/>
  <c r="BX176" i="1"/>
  <c r="BW176" i="1"/>
  <c r="BV176" i="1"/>
  <c r="BX512" i="1"/>
  <c r="BW512" i="1"/>
  <c r="BV512" i="1"/>
  <c r="BX9" i="1"/>
  <c r="BW9" i="1"/>
  <c r="BV9" i="1"/>
  <c r="BX113" i="1"/>
  <c r="BW113" i="1"/>
  <c r="BV113" i="1"/>
  <c r="BX241" i="1"/>
  <c r="BW241" i="1"/>
  <c r="BV241" i="1"/>
  <c r="BX345" i="1"/>
  <c r="BW345" i="1"/>
  <c r="BV345" i="1"/>
  <c r="BX366" i="1"/>
  <c r="BW366" i="1"/>
  <c r="BV366" i="1"/>
  <c r="BX486" i="1"/>
  <c r="BW486" i="1"/>
  <c r="BV486" i="1"/>
  <c r="BX120" i="1"/>
  <c r="BW120" i="1"/>
  <c r="BV120" i="1"/>
  <c r="BX392" i="1"/>
  <c r="BW392" i="1"/>
  <c r="BV392" i="1"/>
  <c r="BX648" i="1"/>
  <c r="BW648" i="1"/>
  <c r="BV648" i="1"/>
  <c r="BX413" i="1"/>
  <c r="BW413" i="1"/>
  <c r="BV413" i="1"/>
  <c r="BX87" i="1"/>
  <c r="BW87" i="1"/>
  <c r="BV87" i="1"/>
  <c r="BX303" i="1"/>
  <c r="BW303" i="1"/>
  <c r="BV303" i="1"/>
  <c r="BX367" i="1"/>
  <c r="BW367" i="1"/>
  <c r="BV367" i="1"/>
  <c r="BX431" i="1"/>
  <c r="BW431" i="1"/>
  <c r="BV431" i="1"/>
  <c r="BX495" i="1"/>
  <c r="BW495" i="1"/>
  <c r="BV495" i="1"/>
  <c r="BX497" i="1"/>
  <c r="BW497" i="1"/>
  <c r="BV497" i="1"/>
  <c r="BX348" i="1"/>
  <c r="BW348" i="1"/>
  <c r="BV348" i="1"/>
  <c r="BX193" i="1"/>
  <c r="BV193" i="1"/>
  <c r="BW193" i="1"/>
  <c r="BX98" i="1"/>
  <c r="BV98" i="1"/>
  <c r="BW98" i="1"/>
  <c r="BX318" i="1"/>
  <c r="BW318" i="1"/>
  <c r="BV318" i="1"/>
  <c r="BX353" i="1"/>
  <c r="BW353" i="1"/>
  <c r="BV353" i="1"/>
  <c r="BX677" i="1"/>
  <c r="BW677" i="1"/>
  <c r="BV677" i="1"/>
  <c r="BX491" i="1"/>
  <c r="BW491" i="1"/>
  <c r="BV491" i="1"/>
  <c r="BX326" i="1"/>
  <c r="BW326" i="1"/>
  <c r="BV326" i="1"/>
  <c r="BX492" i="1"/>
  <c r="BW492" i="1"/>
  <c r="BV492" i="1"/>
  <c r="BX244" i="1"/>
  <c r="BW244" i="1"/>
  <c r="BV244" i="1"/>
  <c r="BX54" i="1"/>
  <c r="BW54" i="1"/>
  <c r="BV54" i="1"/>
  <c r="BX37" i="1"/>
  <c r="BW37" i="1"/>
  <c r="BV37" i="1"/>
  <c r="BX336" i="1"/>
  <c r="BW336" i="1"/>
  <c r="BV336" i="1"/>
  <c r="BX449" i="1"/>
  <c r="BW449" i="1"/>
  <c r="BV449" i="1"/>
  <c r="BX271" i="1"/>
  <c r="BW271" i="1"/>
  <c r="BV271" i="1"/>
  <c r="BX337" i="1"/>
  <c r="BW337" i="1"/>
  <c r="BV337" i="1"/>
  <c r="BX249" i="1"/>
  <c r="BW249" i="1"/>
  <c r="BV249" i="1"/>
  <c r="BX665" i="1"/>
  <c r="BW665" i="1"/>
  <c r="BV665" i="1"/>
  <c r="BX146" i="1"/>
  <c r="BW146" i="1"/>
  <c r="BV146" i="1"/>
  <c r="BX91" i="1"/>
  <c r="BW91" i="1"/>
  <c r="BV91" i="1"/>
  <c r="BX316" i="1"/>
  <c r="BW316" i="1"/>
  <c r="BV316" i="1"/>
  <c r="BX485" i="1"/>
  <c r="BW485" i="1"/>
  <c r="BV485" i="1"/>
  <c r="BX607" i="1"/>
  <c r="BV607" i="1"/>
  <c r="BW607" i="1"/>
  <c r="BX26" i="1"/>
  <c r="BV26" i="1"/>
  <c r="BW26" i="1"/>
  <c r="BX90" i="1"/>
  <c r="BV90" i="1"/>
  <c r="BW90" i="1"/>
  <c r="BX154" i="1"/>
  <c r="BW154" i="1"/>
  <c r="BV154" i="1"/>
  <c r="BX242" i="1"/>
  <c r="BW242" i="1"/>
  <c r="BV242" i="1"/>
  <c r="BX278" i="1"/>
  <c r="BW278" i="1"/>
  <c r="BV278" i="1"/>
  <c r="BX72" i="1"/>
  <c r="BW72" i="1"/>
  <c r="BV72" i="1"/>
  <c r="BX408" i="1"/>
  <c r="BW408" i="1"/>
  <c r="BV408" i="1"/>
  <c r="BV129" i="1"/>
  <c r="BX129" i="1"/>
  <c r="BW129" i="1"/>
  <c r="BX404" i="1"/>
  <c r="BW404" i="1"/>
  <c r="BV404" i="1"/>
  <c r="BX645" i="1"/>
  <c r="BW645" i="1"/>
  <c r="BV645" i="1"/>
  <c r="BX251" i="1"/>
  <c r="BW251" i="1"/>
  <c r="BV251" i="1"/>
  <c r="BX371" i="1"/>
  <c r="BW371" i="1"/>
  <c r="BV371" i="1"/>
  <c r="BX395" i="1"/>
  <c r="BW395" i="1"/>
  <c r="BV395" i="1"/>
  <c r="BX483" i="1"/>
  <c r="BW483" i="1"/>
  <c r="BV483" i="1"/>
  <c r="BX571" i="1"/>
  <c r="BW571" i="1"/>
  <c r="BV571" i="1"/>
  <c r="BW635" i="1"/>
  <c r="BX635" i="1"/>
  <c r="BV635" i="1"/>
  <c r="BX70" i="1"/>
  <c r="BW70" i="1"/>
  <c r="BV70" i="1"/>
  <c r="BX302" i="1"/>
  <c r="BW302" i="1"/>
  <c r="BV302" i="1"/>
  <c r="BX462" i="1"/>
  <c r="BW462" i="1"/>
  <c r="BV462" i="1"/>
  <c r="BX641" i="1"/>
  <c r="BW641" i="1"/>
  <c r="BV641" i="1"/>
  <c r="BW96" i="1"/>
  <c r="BV96" i="1"/>
  <c r="BX96" i="1"/>
  <c r="BX384" i="1"/>
  <c r="BW384" i="1"/>
  <c r="BV384" i="1"/>
  <c r="BX640" i="1"/>
  <c r="BW640" i="1"/>
  <c r="BV640" i="1"/>
  <c r="BX133" i="1"/>
  <c r="BW133" i="1"/>
  <c r="BV133" i="1"/>
  <c r="BX405" i="1"/>
  <c r="BW405" i="1"/>
  <c r="BV405" i="1"/>
  <c r="BX598" i="1"/>
  <c r="BW598" i="1"/>
  <c r="BV598" i="1"/>
  <c r="BX100" i="1"/>
  <c r="BW100" i="1"/>
  <c r="BV100" i="1"/>
  <c r="BX124" i="1"/>
  <c r="BW124" i="1"/>
  <c r="BV124" i="1"/>
  <c r="BX148" i="1"/>
  <c r="BW148" i="1"/>
  <c r="BV148" i="1"/>
  <c r="BX212" i="1"/>
  <c r="BW212" i="1"/>
  <c r="BV212" i="1"/>
  <c r="BX236" i="1"/>
  <c r="BW236" i="1"/>
  <c r="BV236" i="1"/>
  <c r="BX681" i="1"/>
  <c r="BW681" i="1"/>
  <c r="BV681" i="1"/>
  <c r="BX254" i="1"/>
  <c r="BW254" i="1"/>
  <c r="BV254" i="1"/>
  <c r="BX24" i="1"/>
  <c r="BW24" i="1"/>
  <c r="BV24" i="1"/>
  <c r="BX456" i="1"/>
  <c r="BW456" i="1"/>
  <c r="BV456" i="1"/>
  <c r="BX103" i="1"/>
  <c r="BW103" i="1"/>
  <c r="BV103" i="1"/>
  <c r="BX549" i="1"/>
  <c r="BW549" i="1"/>
  <c r="BV549" i="1"/>
  <c r="BX29" i="1"/>
  <c r="BW29" i="1"/>
  <c r="BV29" i="1"/>
  <c r="BX101" i="1"/>
  <c r="BW101" i="1"/>
  <c r="BV101" i="1"/>
  <c r="BX269" i="1"/>
  <c r="BW269" i="1"/>
  <c r="BV269" i="1"/>
  <c r="BX150" i="1"/>
  <c r="BW150" i="1"/>
  <c r="BV150" i="1"/>
  <c r="BX296" i="1"/>
  <c r="BW296" i="1"/>
  <c r="BV296" i="1"/>
  <c r="BX632" i="1"/>
  <c r="BW632" i="1"/>
  <c r="BV632" i="1"/>
  <c r="BX457" i="1"/>
  <c r="BW457" i="1"/>
  <c r="BV457" i="1"/>
  <c r="BX545" i="1"/>
  <c r="BW545" i="1"/>
  <c r="BV545" i="1"/>
  <c r="BW224" i="1"/>
  <c r="BX224" i="1"/>
  <c r="BV224" i="1"/>
  <c r="BX488" i="1"/>
  <c r="BW488" i="1"/>
  <c r="BV488" i="1"/>
  <c r="BX521" i="1"/>
  <c r="BW521" i="1"/>
  <c r="BV521" i="1"/>
  <c r="BX477" i="1"/>
  <c r="BW477" i="1"/>
  <c r="BV477" i="1"/>
  <c r="BX23" i="1"/>
  <c r="BW23" i="1"/>
  <c r="BV23" i="1"/>
  <c r="BX191" i="1"/>
  <c r="BW191" i="1"/>
  <c r="BV191" i="1"/>
  <c r="BX215" i="1"/>
  <c r="BW215" i="1"/>
  <c r="BV215" i="1"/>
  <c r="BX263" i="1"/>
  <c r="BW263" i="1"/>
  <c r="BV263" i="1"/>
  <c r="BX327" i="1"/>
  <c r="BW327" i="1"/>
  <c r="BV327" i="1"/>
  <c r="BX391" i="1"/>
  <c r="BW391" i="1"/>
  <c r="BV391" i="1"/>
  <c r="BX455" i="1"/>
  <c r="BW455" i="1"/>
  <c r="BV455" i="1"/>
  <c r="BX519" i="1"/>
  <c r="BW519" i="1"/>
  <c r="BV519" i="1"/>
  <c r="BX305" i="1"/>
  <c r="BW305" i="1"/>
  <c r="BV305" i="1"/>
  <c r="BX625" i="1"/>
  <c r="BW625" i="1"/>
  <c r="BV625" i="1"/>
  <c r="BX594" i="1"/>
  <c r="BW594" i="1"/>
  <c r="BV594" i="1"/>
  <c r="BX580" i="1"/>
  <c r="BW580" i="1"/>
  <c r="BV580" i="1"/>
  <c r="BX4" i="1"/>
  <c r="BW4" i="1"/>
  <c r="BV4" i="1"/>
  <c r="BX121" i="1"/>
  <c r="BV121" i="1"/>
  <c r="BW121" i="1"/>
  <c r="BX508" i="1"/>
  <c r="BW508" i="1"/>
  <c r="BV508" i="1"/>
  <c r="BX50" i="1"/>
  <c r="BW50" i="1"/>
  <c r="BV50" i="1"/>
  <c r="BX110" i="1"/>
  <c r="BW110" i="1"/>
  <c r="BV110" i="1"/>
  <c r="BX406" i="1"/>
  <c r="BW406" i="1"/>
  <c r="BV406" i="1"/>
  <c r="BX544" i="1"/>
  <c r="BW544" i="1"/>
  <c r="BV544" i="1"/>
  <c r="BX433" i="1"/>
  <c r="BW433" i="1"/>
  <c r="BV433" i="1"/>
  <c r="BX445" i="1"/>
  <c r="BW445" i="1"/>
  <c r="BV445" i="1"/>
  <c r="BX99" i="1"/>
  <c r="BW99" i="1"/>
  <c r="BV99" i="1"/>
  <c r="BX283" i="1"/>
  <c r="BW283" i="1"/>
  <c r="BV283" i="1"/>
  <c r="BX331" i="1"/>
  <c r="BW331" i="1"/>
  <c r="BV331" i="1"/>
  <c r="BX419" i="1"/>
  <c r="BW419" i="1"/>
  <c r="BV419" i="1"/>
  <c r="BX531" i="1"/>
  <c r="BW531" i="1"/>
  <c r="BV531" i="1"/>
  <c r="BX595" i="1"/>
  <c r="BW595" i="1"/>
  <c r="BV595" i="1"/>
  <c r="BX206" i="1"/>
  <c r="BW206" i="1"/>
  <c r="BV206" i="1"/>
  <c r="BX390" i="1"/>
  <c r="BW390" i="1"/>
  <c r="BV390" i="1"/>
  <c r="BX673" i="1"/>
  <c r="BW673" i="1"/>
  <c r="BV673" i="1"/>
  <c r="BX208" i="1"/>
  <c r="BW208" i="1"/>
  <c r="BV208" i="1"/>
  <c r="BX480" i="1"/>
  <c r="BW480" i="1"/>
  <c r="BV480" i="1"/>
  <c r="BX167" i="1"/>
  <c r="BW167" i="1"/>
  <c r="BV167" i="1"/>
  <c r="BX428" i="1"/>
  <c r="BW428" i="1"/>
  <c r="BV428" i="1"/>
  <c r="BX612" i="1"/>
  <c r="BW612" i="1"/>
  <c r="BV612" i="1"/>
  <c r="BX12" i="1"/>
  <c r="BW12" i="1"/>
  <c r="BV12" i="1"/>
  <c r="BX36" i="1"/>
  <c r="BW36" i="1"/>
  <c r="BV36" i="1"/>
  <c r="BX60" i="1"/>
  <c r="BW60" i="1"/>
  <c r="BV60" i="1"/>
  <c r="BX84" i="1"/>
  <c r="BW84" i="1"/>
  <c r="BV84" i="1"/>
  <c r="BX172" i="1"/>
  <c r="BW172" i="1"/>
  <c r="BV172" i="1"/>
  <c r="BX260" i="1"/>
  <c r="BW260" i="1"/>
  <c r="BV260" i="1"/>
  <c r="BX382" i="1"/>
  <c r="BV382" i="1"/>
  <c r="BW382" i="1"/>
  <c r="BX200" i="1"/>
  <c r="BW200" i="1"/>
  <c r="BV200" i="1"/>
  <c r="BX608" i="1"/>
  <c r="BW608" i="1"/>
  <c r="BV608" i="1"/>
  <c r="BX41" i="1"/>
  <c r="BW41" i="1"/>
  <c r="BV41" i="1"/>
  <c r="BX297" i="1"/>
  <c r="BW297" i="1"/>
  <c r="BV297" i="1"/>
  <c r="BX513" i="1"/>
  <c r="BW513" i="1"/>
  <c r="BV513" i="1"/>
  <c r="BX229" i="1"/>
  <c r="BW229" i="1"/>
  <c r="BV229" i="1"/>
  <c r="BX574" i="1"/>
  <c r="BW574" i="1"/>
  <c r="BV574" i="1"/>
  <c r="BX205" i="1"/>
  <c r="BW205" i="1"/>
  <c r="BV205" i="1"/>
  <c r="BX334" i="1"/>
  <c r="BW334" i="1"/>
  <c r="BV334" i="1"/>
  <c r="BX510" i="1"/>
  <c r="BW510" i="1"/>
  <c r="BV510" i="1"/>
  <c r="BX104" i="1"/>
  <c r="BW104" i="1"/>
  <c r="BV104" i="1"/>
  <c r="BW424" i="1"/>
  <c r="BX424" i="1"/>
  <c r="BV424" i="1"/>
  <c r="BX49" i="1"/>
  <c r="BW49" i="1"/>
  <c r="BV49" i="1"/>
  <c r="BX48" i="1"/>
  <c r="BW48" i="1"/>
  <c r="BV48" i="1"/>
  <c r="BX328" i="1"/>
  <c r="BW328" i="1"/>
  <c r="BV328" i="1"/>
  <c r="BX592" i="1"/>
  <c r="BW592" i="1"/>
  <c r="BV592" i="1"/>
  <c r="BX409" i="1"/>
  <c r="BW409" i="1"/>
  <c r="BV409" i="1"/>
  <c r="BX540" i="1"/>
  <c r="BW540" i="1"/>
  <c r="BV540" i="1"/>
  <c r="BX47" i="1"/>
  <c r="BW47" i="1"/>
  <c r="BV47" i="1"/>
  <c r="BX71" i="1"/>
  <c r="BW71" i="1"/>
  <c r="BV71" i="1"/>
  <c r="BX143" i="1"/>
  <c r="BW143" i="1"/>
  <c r="BV143" i="1"/>
  <c r="BX287" i="1"/>
  <c r="BW287" i="1"/>
  <c r="BV287" i="1"/>
  <c r="BX351" i="1"/>
  <c r="BW351" i="1"/>
  <c r="BV351" i="1"/>
  <c r="BX415" i="1"/>
  <c r="BW415" i="1"/>
  <c r="BV415" i="1"/>
  <c r="BX479" i="1"/>
  <c r="BV479" i="1"/>
  <c r="BW479" i="1"/>
  <c r="BX425" i="1"/>
  <c r="BV425" i="1"/>
  <c r="BW425" i="1"/>
  <c r="BT644" i="1"/>
  <c r="BU644" i="1"/>
  <c r="BT89" i="1"/>
  <c r="BU89" i="1"/>
  <c r="BT677" i="1"/>
  <c r="BU677" i="1"/>
  <c r="BT179" i="1"/>
  <c r="BU179" i="1"/>
  <c r="BT20" i="1"/>
  <c r="BU20" i="1"/>
  <c r="BT54" i="1"/>
  <c r="BU54" i="1"/>
  <c r="BT190" i="1"/>
  <c r="BU190" i="1"/>
  <c r="BT481" i="1"/>
  <c r="BU481" i="1"/>
  <c r="BT528" i="1"/>
  <c r="BU528" i="1"/>
  <c r="BT449" i="1"/>
  <c r="BU449" i="1"/>
  <c r="BT175" i="1"/>
  <c r="BU175" i="1"/>
  <c r="BT335" i="1"/>
  <c r="BU335" i="1"/>
  <c r="BT463" i="1"/>
  <c r="BU463" i="1"/>
  <c r="BT444" i="1"/>
  <c r="BU444" i="1"/>
  <c r="BT42" i="1"/>
  <c r="BU42" i="1"/>
  <c r="BT152" i="1"/>
  <c r="BU152" i="1"/>
  <c r="BT4" i="1"/>
  <c r="BU4" i="1"/>
  <c r="BT121" i="1"/>
  <c r="BU121" i="1"/>
  <c r="BT338" i="1"/>
  <c r="BU338" i="1"/>
  <c r="BT508" i="1"/>
  <c r="BU508" i="1"/>
  <c r="BT50" i="1"/>
  <c r="BU50" i="1"/>
  <c r="BT114" i="1"/>
  <c r="BU114" i="1"/>
  <c r="BT178" i="1"/>
  <c r="BU178" i="1"/>
  <c r="BT14" i="1"/>
  <c r="BU14" i="1"/>
  <c r="BT110" i="1"/>
  <c r="BU110" i="1"/>
  <c r="BT406" i="1"/>
  <c r="BU406" i="1"/>
  <c r="BT158" i="1"/>
  <c r="BU158" i="1"/>
  <c r="BT357" i="1"/>
  <c r="BU357" i="1"/>
  <c r="BT530" i="1"/>
  <c r="BU530" i="1"/>
  <c r="BT633" i="1"/>
  <c r="BU633" i="1"/>
  <c r="BT10" i="1"/>
  <c r="BU10" i="1"/>
  <c r="BT74" i="1"/>
  <c r="BU74" i="1"/>
  <c r="BT138" i="1"/>
  <c r="BU138" i="1"/>
  <c r="BT202" i="1"/>
  <c r="BU202" i="1"/>
  <c r="BT226" i="1"/>
  <c r="BU226" i="1"/>
  <c r="BT198" i="1"/>
  <c r="BU198" i="1"/>
  <c r="BT312" i="1"/>
  <c r="BU312" i="1"/>
  <c r="BT195" i="1"/>
  <c r="BU195" i="1"/>
  <c r="BT468" i="1"/>
  <c r="BU468" i="1"/>
  <c r="BT666" i="1"/>
  <c r="BU666" i="1"/>
  <c r="BT51" i="1"/>
  <c r="BU51" i="1"/>
  <c r="BT75" i="1"/>
  <c r="BU75" i="1"/>
  <c r="BT123" i="1"/>
  <c r="BU123" i="1"/>
  <c r="BT355" i="1"/>
  <c r="BU355" i="1"/>
  <c r="BT379" i="1"/>
  <c r="BU379" i="1"/>
  <c r="BT443" i="1"/>
  <c r="BU443" i="1"/>
  <c r="BT467" i="1"/>
  <c r="BU467" i="1"/>
  <c r="BT555" i="1"/>
  <c r="BU555" i="1"/>
  <c r="BT619" i="1"/>
  <c r="BU619" i="1"/>
  <c r="BT683" i="1"/>
  <c r="BU683" i="1"/>
  <c r="BT614" i="1"/>
  <c r="BU614" i="1"/>
  <c r="BT502" i="1"/>
  <c r="BU502" i="1"/>
  <c r="BT32" i="1"/>
  <c r="BU32" i="1"/>
  <c r="BT320" i="1"/>
  <c r="BU320" i="1"/>
  <c r="BT576" i="1"/>
  <c r="BU576" i="1"/>
  <c r="BT197" i="1"/>
  <c r="BU197" i="1"/>
  <c r="BT469" i="1"/>
  <c r="BU469" i="1"/>
  <c r="BT623" i="1"/>
  <c r="BU623" i="1"/>
  <c r="BT108" i="1"/>
  <c r="BU108" i="1"/>
  <c r="BT196" i="1"/>
  <c r="BU196" i="1"/>
  <c r="BT360" i="1"/>
  <c r="BU360" i="1"/>
  <c r="BT401" i="1"/>
  <c r="BU401" i="1"/>
  <c r="BT301" i="1"/>
  <c r="BU301" i="1"/>
  <c r="BT599" i="1"/>
  <c r="BU599" i="1"/>
  <c r="BT13" i="1"/>
  <c r="BU13" i="1"/>
  <c r="BT61" i="1"/>
  <c r="BU61" i="1"/>
  <c r="BT85" i="1"/>
  <c r="BU85" i="1"/>
  <c r="BT157" i="1"/>
  <c r="BU157" i="1"/>
  <c r="BT253" i="1"/>
  <c r="BU253" i="1"/>
  <c r="BT38" i="1"/>
  <c r="BU38" i="1"/>
  <c r="BT86" i="1"/>
  <c r="BU86" i="1"/>
  <c r="BT216" i="1"/>
  <c r="BU216" i="1"/>
  <c r="BT536" i="1"/>
  <c r="BU536" i="1"/>
  <c r="BT161" i="1"/>
  <c r="BU161" i="1"/>
  <c r="BT273" i="1"/>
  <c r="BU273" i="1"/>
  <c r="BT377" i="1"/>
  <c r="BU377" i="1"/>
  <c r="BT414" i="1"/>
  <c r="BU414" i="1"/>
  <c r="BT160" i="1"/>
  <c r="BU160" i="1"/>
  <c r="BT432" i="1"/>
  <c r="BU432" i="1"/>
  <c r="BT680" i="1"/>
  <c r="BU680" i="1"/>
  <c r="BT105" i="1"/>
  <c r="BU105" i="1"/>
  <c r="BT551" i="1"/>
  <c r="BU551" i="1"/>
  <c r="BT311" i="1"/>
  <c r="BU311" i="1"/>
  <c r="BT375" i="1"/>
  <c r="BU375" i="1"/>
  <c r="BT439" i="1"/>
  <c r="BU439" i="1"/>
  <c r="BT503" i="1"/>
  <c r="BU503" i="1"/>
  <c r="BT233" i="1"/>
  <c r="BU233" i="1"/>
  <c r="BT529" i="1"/>
  <c r="BU529" i="1"/>
  <c r="BT412" i="1"/>
  <c r="BU412" i="1"/>
  <c r="BT193" i="1"/>
  <c r="BU193" i="1"/>
  <c r="BT448" i="1"/>
  <c r="BU448" i="1"/>
  <c r="BT672" i="1"/>
  <c r="BU672" i="1"/>
  <c r="BT174" i="1"/>
  <c r="BU174" i="1"/>
  <c r="BT365" i="1"/>
  <c r="BU365" i="1"/>
  <c r="BT16" i="1"/>
  <c r="BU16" i="1"/>
  <c r="BT593" i="1"/>
  <c r="BU593" i="1"/>
  <c r="BT31" i="1"/>
  <c r="BU31" i="1"/>
  <c r="BT271" i="1"/>
  <c r="BU271" i="1"/>
  <c r="BT337" i="1"/>
  <c r="BU337" i="1"/>
  <c r="BT7" i="1"/>
  <c r="BU7" i="1"/>
  <c r="BT557" i="1"/>
  <c r="BU557" i="1"/>
  <c r="BT58" i="1"/>
  <c r="BU58" i="1"/>
  <c r="BT122" i="1"/>
  <c r="BU122" i="1"/>
  <c r="BT186" i="1"/>
  <c r="BU186" i="1"/>
  <c r="BT46" i="1"/>
  <c r="BU46" i="1"/>
  <c r="BT126" i="1"/>
  <c r="BU126" i="1"/>
  <c r="BT454" i="1"/>
  <c r="BU454" i="1"/>
  <c r="BT232" i="1"/>
  <c r="BU232" i="1"/>
  <c r="BT600" i="1"/>
  <c r="BU600" i="1"/>
  <c r="BT537" i="1"/>
  <c r="BU537" i="1"/>
  <c r="BT276" i="1"/>
  <c r="BU276" i="1"/>
  <c r="BT532" i="1"/>
  <c r="BU532" i="1"/>
  <c r="BT131" i="1"/>
  <c r="BU131" i="1"/>
  <c r="BT291" i="1"/>
  <c r="BU291" i="1"/>
  <c r="BT339" i="1"/>
  <c r="BU339" i="1"/>
  <c r="BT427" i="1"/>
  <c r="BU427" i="1"/>
  <c r="BT515" i="1"/>
  <c r="BU515" i="1"/>
  <c r="BT539" i="1"/>
  <c r="BU539" i="1"/>
  <c r="BT603" i="1"/>
  <c r="BU603" i="1"/>
  <c r="BT667" i="1"/>
  <c r="BU667" i="1"/>
  <c r="BT30" i="1"/>
  <c r="BU30" i="1"/>
  <c r="BT430" i="1"/>
  <c r="BU430" i="1"/>
  <c r="BT518" i="1"/>
  <c r="BU518" i="1"/>
  <c r="BT240" i="1"/>
  <c r="BU240" i="1"/>
  <c r="BT520" i="1"/>
  <c r="BU520" i="1"/>
  <c r="BT277" i="1"/>
  <c r="BU277" i="1"/>
  <c r="BT533" i="1"/>
  <c r="BU533" i="1"/>
  <c r="BT646" i="1"/>
  <c r="BU646" i="1"/>
  <c r="BT68" i="1"/>
  <c r="BU68" i="1"/>
  <c r="BT156" i="1"/>
  <c r="BU156" i="1"/>
  <c r="BT180" i="1"/>
  <c r="BU180" i="1"/>
  <c r="BT220" i="1"/>
  <c r="BU220" i="1"/>
  <c r="BT422" i="1"/>
  <c r="BU422" i="1"/>
  <c r="BT248" i="1"/>
  <c r="BU248" i="1"/>
  <c r="BT656" i="1"/>
  <c r="BU656" i="1"/>
  <c r="BT329" i="1"/>
  <c r="BU329" i="1"/>
  <c r="BT441" i="1"/>
  <c r="BU441" i="1"/>
  <c r="BT561" i="1"/>
  <c r="BU561" i="1"/>
  <c r="BT429" i="1"/>
  <c r="BU429" i="1"/>
  <c r="BT637" i="1"/>
  <c r="BU637" i="1"/>
  <c r="BT141" i="1"/>
  <c r="BU141" i="1"/>
  <c r="BT189" i="1"/>
  <c r="BU189" i="1"/>
  <c r="BT213" i="1"/>
  <c r="BU213" i="1"/>
  <c r="BT237" i="1"/>
  <c r="BU237" i="1"/>
  <c r="BT374" i="1"/>
  <c r="BU374" i="1"/>
  <c r="BT144" i="1"/>
  <c r="BU144" i="1"/>
  <c r="BT472" i="1"/>
  <c r="BU472" i="1"/>
  <c r="BT310" i="1"/>
  <c r="BU310" i="1"/>
  <c r="BT88" i="1"/>
  <c r="BU88" i="1"/>
  <c r="BT352" i="1"/>
  <c r="BU352" i="1"/>
  <c r="BT624" i="1"/>
  <c r="BU624" i="1"/>
  <c r="BT639" i="1"/>
  <c r="BU639" i="1"/>
  <c r="BT79" i="1"/>
  <c r="BU79" i="1"/>
  <c r="BT151" i="1"/>
  <c r="BU151" i="1"/>
  <c r="BT295" i="1"/>
  <c r="BU295" i="1"/>
  <c r="BT359" i="1"/>
  <c r="BU359" i="1"/>
  <c r="BT423" i="1"/>
  <c r="BU423" i="1"/>
  <c r="BT487" i="1"/>
  <c r="BU487" i="1"/>
  <c r="BT465" i="1"/>
  <c r="BU465" i="1"/>
  <c r="BT437" i="1"/>
  <c r="BU437" i="1"/>
  <c r="BT642" i="1"/>
  <c r="BU642" i="1"/>
  <c r="BT162" i="1"/>
  <c r="BU162" i="1"/>
  <c r="BT112" i="1"/>
  <c r="BU112" i="1"/>
  <c r="BT509" i="1"/>
  <c r="BU509" i="1"/>
  <c r="BT315" i="1"/>
  <c r="BU315" i="1"/>
  <c r="BT491" i="1"/>
  <c r="BU491" i="1"/>
  <c r="BT643" i="1"/>
  <c r="BU643" i="1"/>
  <c r="BT136" i="1"/>
  <c r="BU136" i="1"/>
  <c r="BT255" i="1"/>
  <c r="BU255" i="1"/>
  <c r="BT44" i="1"/>
  <c r="BU44" i="1"/>
  <c r="BT286" i="1"/>
  <c r="BU286" i="1"/>
  <c r="BT504" i="1"/>
  <c r="BU504" i="1"/>
  <c r="BT37" i="1"/>
  <c r="BU37" i="1"/>
  <c r="BT6" i="1"/>
  <c r="BU6" i="1"/>
  <c r="BT438" i="1"/>
  <c r="BU438" i="1"/>
  <c r="BT664" i="1"/>
  <c r="BU664" i="1"/>
  <c r="BT553" i="1"/>
  <c r="BU553" i="1"/>
  <c r="BT127" i="1"/>
  <c r="BU127" i="1"/>
  <c r="BT223" i="1"/>
  <c r="BU223" i="1"/>
  <c r="BT399" i="1"/>
  <c r="BU399" i="1"/>
  <c r="BT602" i="1"/>
  <c r="BU602" i="1"/>
  <c r="BT218" i="1"/>
  <c r="BU218" i="1"/>
  <c r="BT402" i="1"/>
  <c r="BU402" i="1"/>
  <c r="BT654" i="1"/>
  <c r="BU654" i="1"/>
  <c r="BT249" i="1"/>
  <c r="BU249" i="1"/>
  <c r="BT421" i="1"/>
  <c r="BU421" i="1"/>
  <c r="BT570" i="1"/>
  <c r="BU570" i="1"/>
  <c r="BT665" i="1"/>
  <c r="BU665" i="1"/>
  <c r="BT18" i="1"/>
  <c r="BU18" i="1"/>
  <c r="BT82" i="1"/>
  <c r="BU82" i="1"/>
  <c r="BT146" i="1"/>
  <c r="BU146" i="1"/>
  <c r="BT210" i="1"/>
  <c r="BU210" i="1"/>
  <c r="BT234" i="1"/>
  <c r="BU234" i="1"/>
  <c r="BT230" i="1"/>
  <c r="BU230" i="1"/>
  <c r="BT40" i="1"/>
  <c r="BU40" i="1"/>
  <c r="BT368" i="1"/>
  <c r="BU368" i="1"/>
  <c r="BT19" i="1"/>
  <c r="BU19" i="1"/>
  <c r="BT317" i="1"/>
  <c r="BU317" i="1"/>
  <c r="BT572" i="1"/>
  <c r="BU572" i="1"/>
  <c r="BT35" i="1"/>
  <c r="BU35" i="1"/>
  <c r="BT59" i="1"/>
  <c r="BU59" i="1"/>
  <c r="BT187" i="1"/>
  <c r="BU187" i="1"/>
  <c r="BT363" i="1"/>
  <c r="BU363" i="1"/>
  <c r="BT387" i="1"/>
  <c r="BU387" i="1"/>
  <c r="BT451" i="1"/>
  <c r="BU451" i="1"/>
  <c r="BT475" i="1"/>
  <c r="BU475" i="1"/>
  <c r="BT563" i="1"/>
  <c r="BU563" i="1"/>
  <c r="BT627" i="1"/>
  <c r="BU627" i="1"/>
  <c r="BT270" i="1"/>
  <c r="BU270" i="1"/>
  <c r="BT64" i="1"/>
  <c r="BU64" i="1"/>
  <c r="BT344" i="1"/>
  <c r="BU344" i="1"/>
  <c r="BT616" i="1"/>
  <c r="BU616" i="1"/>
  <c r="BT22" i="1"/>
  <c r="BU22" i="1"/>
  <c r="BT300" i="1"/>
  <c r="BU300" i="1"/>
  <c r="BT548" i="1"/>
  <c r="BU548" i="1"/>
  <c r="BT657" i="1"/>
  <c r="BU657" i="1"/>
  <c r="BT92" i="1"/>
  <c r="BU92" i="1"/>
  <c r="BT116" i="1"/>
  <c r="BU116" i="1"/>
  <c r="BT400" i="1"/>
  <c r="BU400" i="1"/>
  <c r="BT493" i="1"/>
  <c r="BU493" i="1"/>
  <c r="BT647" i="1"/>
  <c r="BU647" i="1"/>
  <c r="BT21" i="1"/>
  <c r="BU21" i="1"/>
  <c r="BT93" i="1"/>
  <c r="BU93" i="1"/>
  <c r="BT165" i="1"/>
  <c r="BU165" i="1"/>
  <c r="BT261" i="1"/>
  <c r="BU261" i="1"/>
  <c r="BT118" i="1"/>
  <c r="BU118" i="1"/>
  <c r="BT470" i="1"/>
  <c r="BU470" i="1"/>
  <c r="BT264" i="1"/>
  <c r="BU264" i="1"/>
  <c r="BT584" i="1"/>
  <c r="BU584" i="1"/>
  <c r="BT73" i="1"/>
  <c r="BU73" i="1"/>
  <c r="BT201" i="1"/>
  <c r="BU201" i="1"/>
  <c r="BT313" i="1"/>
  <c r="BU313" i="1"/>
  <c r="BT417" i="1"/>
  <c r="BU417" i="1"/>
  <c r="BT446" i="1"/>
  <c r="BU446" i="1"/>
  <c r="BT81" i="1"/>
  <c r="BU81" i="1"/>
  <c r="BT184" i="1"/>
  <c r="BU184" i="1"/>
  <c r="BT464" i="1"/>
  <c r="BU464" i="1"/>
  <c r="BT25" i="1"/>
  <c r="BU25" i="1"/>
  <c r="BT137" i="1"/>
  <c r="BU137" i="1"/>
  <c r="BT489" i="1"/>
  <c r="BU489" i="1"/>
  <c r="BT15" i="1"/>
  <c r="BU15" i="1"/>
  <c r="BT319" i="1"/>
  <c r="BU319" i="1"/>
  <c r="BT383" i="1"/>
  <c r="BU383" i="1"/>
  <c r="BT447" i="1"/>
  <c r="BU447" i="1"/>
  <c r="BT511" i="1"/>
  <c r="BU511" i="1"/>
  <c r="BT153" i="1"/>
  <c r="BU153" i="1"/>
  <c r="BT281" i="1"/>
  <c r="BU281" i="1"/>
  <c r="BT577" i="1"/>
  <c r="BU577" i="1"/>
  <c r="BT380" i="1"/>
  <c r="BU380" i="1"/>
  <c r="BT526" i="1"/>
  <c r="BU526" i="1"/>
  <c r="BT225" i="1"/>
  <c r="BU225" i="1"/>
  <c r="BT326" i="1"/>
  <c r="BU326" i="1"/>
  <c r="BT336" i="1"/>
  <c r="BU336" i="1"/>
  <c r="BT5" i="1"/>
  <c r="BU5" i="1"/>
  <c r="BT651" i="1"/>
  <c r="BU651" i="1"/>
  <c r="BT182" i="1"/>
  <c r="BU182" i="1"/>
  <c r="BT350" i="1"/>
  <c r="BU350" i="1"/>
  <c r="BT168" i="1"/>
  <c r="BU168" i="1"/>
  <c r="BT440" i="1"/>
  <c r="BU440" i="1"/>
  <c r="BT65" i="1"/>
  <c r="BU65" i="1"/>
  <c r="BT341" i="1"/>
  <c r="BU341" i="1"/>
  <c r="BT559" i="1"/>
  <c r="BU559" i="1"/>
  <c r="BT668" i="1"/>
  <c r="BU668" i="1"/>
  <c r="BT28" i="1"/>
  <c r="BU28" i="1"/>
  <c r="BT52" i="1"/>
  <c r="BU52" i="1"/>
  <c r="BT140" i="1"/>
  <c r="BU140" i="1"/>
  <c r="BT204" i="1"/>
  <c r="BU204" i="1"/>
  <c r="BT228" i="1"/>
  <c r="BU228" i="1"/>
  <c r="BT252" i="1"/>
  <c r="BU252" i="1"/>
  <c r="BT102" i="1"/>
  <c r="BU102" i="1"/>
  <c r="BT342" i="1"/>
  <c r="BU342" i="1"/>
  <c r="BT128" i="1"/>
  <c r="BU128" i="1"/>
  <c r="BT552" i="1"/>
  <c r="BU552" i="1"/>
  <c r="BT97" i="1"/>
  <c r="BU97" i="1"/>
  <c r="BT516" i="1"/>
  <c r="BU516" i="1"/>
  <c r="BT658" i="1"/>
  <c r="BU658" i="1"/>
  <c r="BT222" i="1"/>
  <c r="BU222" i="1"/>
  <c r="BT294" i="1"/>
  <c r="BU294" i="1"/>
  <c r="BT56" i="1"/>
  <c r="BU56" i="1"/>
  <c r="BT376" i="1"/>
  <c r="BU376" i="1"/>
  <c r="BT663" i="1"/>
  <c r="BU663" i="1"/>
  <c r="BT505" i="1"/>
  <c r="BU505" i="1"/>
  <c r="BT617" i="1"/>
  <c r="BU617" i="1"/>
  <c r="BT8" i="1"/>
  <c r="BU8" i="1"/>
  <c r="BT288" i="1"/>
  <c r="BU288" i="1"/>
  <c r="BT568" i="1"/>
  <c r="BU568" i="1"/>
  <c r="BT361" i="1"/>
  <c r="BU361" i="1"/>
  <c r="BT585" i="1"/>
  <c r="BU585" i="1"/>
  <c r="BT207" i="1"/>
  <c r="BU207" i="1"/>
  <c r="BT39" i="1"/>
  <c r="BU39" i="1"/>
  <c r="BT63" i="1"/>
  <c r="BU63" i="1"/>
  <c r="BT111" i="1"/>
  <c r="BU111" i="1"/>
  <c r="BT135" i="1"/>
  <c r="BU135" i="1"/>
  <c r="BT231" i="1"/>
  <c r="BU231" i="1"/>
  <c r="BT279" i="1"/>
  <c r="BU279" i="1"/>
  <c r="BT343" i="1"/>
  <c r="BU343" i="1"/>
  <c r="BT407" i="1"/>
  <c r="BU407" i="1"/>
  <c r="BT471" i="1"/>
  <c r="BU471" i="1"/>
  <c r="BT535" i="1"/>
  <c r="BU535" i="1"/>
  <c r="BT385" i="1"/>
  <c r="BU385" i="1"/>
  <c r="BT356" i="1"/>
  <c r="BU356" i="1"/>
  <c r="BT34" i="1"/>
  <c r="BU34" i="1"/>
  <c r="BT318" i="1"/>
  <c r="BU318" i="1"/>
  <c r="BT257" i="1"/>
  <c r="BU257" i="1"/>
  <c r="BT403" i="1"/>
  <c r="BU403" i="1"/>
  <c r="BT670" i="1"/>
  <c r="BU670" i="1"/>
  <c r="BT636" i="1"/>
  <c r="BU636" i="1"/>
  <c r="BT132" i="1"/>
  <c r="BU132" i="1"/>
  <c r="BT80" i="1"/>
  <c r="BU80" i="1"/>
  <c r="BT177" i="1"/>
  <c r="BU177" i="1"/>
  <c r="BT262" i="1"/>
  <c r="BU262" i="1"/>
  <c r="BT615" i="1"/>
  <c r="BU615" i="1"/>
  <c r="BT199" i="1"/>
  <c r="BU199" i="1"/>
  <c r="BT527" i="1"/>
  <c r="BU527" i="1"/>
  <c r="BT582" i="1"/>
  <c r="BU582" i="1"/>
  <c r="BT169" i="1"/>
  <c r="BU169" i="1"/>
  <c r="BT393" i="1"/>
  <c r="BU393" i="1"/>
  <c r="BT57" i="1"/>
  <c r="BU57" i="1"/>
  <c r="BT583" i="1"/>
  <c r="BU583" i="1"/>
  <c r="BT115" i="1"/>
  <c r="BU115" i="1"/>
  <c r="BT243" i="1"/>
  <c r="BU243" i="1"/>
  <c r="BT299" i="1"/>
  <c r="BU299" i="1"/>
  <c r="BT411" i="1"/>
  <c r="BU411" i="1"/>
  <c r="BT499" i="1"/>
  <c r="BU499" i="1"/>
  <c r="BT587" i="1"/>
  <c r="BU587" i="1"/>
  <c r="BT55" i="1"/>
  <c r="BU55" i="1"/>
  <c r="BT293" i="1"/>
  <c r="BU293" i="1"/>
  <c r="BT466" i="1"/>
  <c r="BU466" i="1"/>
  <c r="BT596" i="1"/>
  <c r="BU596" i="1"/>
  <c r="BT2" i="1"/>
  <c r="BT66" i="1"/>
  <c r="BU66" i="1"/>
  <c r="BT130" i="1"/>
  <c r="BU130" i="1"/>
  <c r="BT194" i="1"/>
  <c r="BU194" i="1"/>
  <c r="BT266" i="1"/>
  <c r="BU266" i="1"/>
  <c r="BT166" i="1"/>
  <c r="BU166" i="1"/>
  <c r="BT494" i="1"/>
  <c r="BU494" i="1"/>
  <c r="BT272" i="1"/>
  <c r="BU272" i="1"/>
  <c r="BT569" i="1"/>
  <c r="BU569" i="1"/>
  <c r="BT94" i="1"/>
  <c r="BU94" i="1"/>
  <c r="BT381" i="1"/>
  <c r="BU381" i="1"/>
  <c r="BT597" i="1"/>
  <c r="BU597" i="1"/>
  <c r="BT67" i="1"/>
  <c r="BU67" i="1"/>
  <c r="BT139" i="1"/>
  <c r="BU139" i="1"/>
  <c r="BT163" i="1"/>
  <c r="BU163" i="1"/>
  <c r="BT347" i="1"/>
  <c r="BU347" i="1"/>
  <c r="BT435" i="1"/>
  <c r="BU435" i="1"/>
  <c r="BT459" i="1"/>
  <c r="BU459" i="1"/>
  <c r="BT547" i="1"/>
  <c r="BU547" i="1"/>
  <c r="BT611" i="1"/>
  <c r="BU611" i="1"/>
  <c r="BT675" i="1"/>
  <c r="BU675" i="1"/>
  <c r="BT62" i="1"/>
  <c r="BU62" i="1"/>
  <c r="BT280" i="1"/>
  <c r="BU280" i="1"/>
  <c r="BT560" i="1"/>
  <c r="BU560" i="1"/>
  <c r="BT185" i="1"/>
  <c r="BU185" i="1"/>
  <c r="BT95" i="1"/>
  <c r="BU95" i="1"/>
  <c r="BT364" i="1"/>
  <c r="BU364" i="1"/>
  <c r="BT573" i="1"/>
  <c r="BU573" i="1"/>
  <c r="BT678" i="1"/>
  <c r="BU678" i="1"/>
  <c r="BT76" i="1"/>
  <c r="BU76" i="1"/>
  <c r="BT164" i="1"/>
  <c r="BU164" i="1"/>
  <c r="BT188" i="1"/>
  <c r="BU188" i="1"/>
  <c r="BT550" i="1"/>
  <c r="BU550" i="1"/>
  <c r="BT478" i="1"/>
  <c r="BU478" i="1"/>
  <c r="BT304" i="1"/>
  <c r="BU304" i="1"/>
  <c r="BT17" i="1"/>
  <c r="BU17" i="1"/>
  <c r="BT209" i="1"/>
  <c r="BU209" i="1"/>
  <c r="BT369" i="1"/>
  <c r="BU369" i="1"/>
  <c r="BT473" i="1"/>
  <c r="BU473" i="1"/>
  <c r="BT601" i="1"/>
  <c r="BU601" i="1"/>
  <c r="BT69" i="1"/>
  <c r="BU69" i="1"/>
  <c r="BT534" i="1"/>
  <c r="BU534" i="1"/>
  <c r="BT669" i="1"/>
  <c r="BU669" i="1"/>
  <c r="BT77" i="1"/>
  <c r="BU77" i="1"/>
  <c r="BT125" i="1"/>
  <c r="BU125" i="1"/>
  <c r="BT149" i="1"/>
  <c r="BU149" i="1"/>
  <c r="BT221" i="1"/>
  <c r="BU221" i="1"/>
  <c r="BT245" i="1"/>
  <c r="BU245" i="1"/>
  <c r="BT398" i="1"/>
  <c r="BU398" i="1"/>
  <c r="BT176" i="1"/>
  <c r="BU176" i="1"/>
  <c r="BT512" i="1"/>
  <c r="BU512" i="1"/>
  <c r="BT9" i="1"/>
  <c r="BU9" i="1"/>
  <c r="BT113" i="1"/>
  <c r="BU113" i="1"/>
  <c r="BT241" i="1"/>
  <c r="BU241" i="1"/>
  <c r="BT345" i="1"/>
  <c r="BU345" i="1"/>
  <c r="BT366" i="1"/>
  <c r="BU366" i="1"/>
  <c r="BT486" i="1"/>
  <c r="BU486" i="1"/>
  <c r="BT120" i="1"/>
  <c r="BU120" i="1"/>
  <c r="BT392" i="1"/>
  <c r="BU392" i="1"/>
  <c r="BT648" i="1"/>
  <c r="BU648" i="1"/>
  <c r="BT413" i="1"/>
  <c r="BU413" i="1"/>
  <c r="BT87" i="1"/>
  <c r="BU87" i="1"/>
  <c r="BT303" i="1"/>
  <c r="BU303" i="1"/>
  <c r="BT367" i="1"/>
  <c r="BU367" i="1"/>
  <c r="BT431" i="1"/>
  <c r="BU431" i="1"/>
  <c r="BT495" i="1"/>
  <c r="BU495" i="1"/>
  <c r="BT497" i="1"/>
  <c r="BU497" i="1"/>
  <c r="BT348" i="1"/>
  <c r="BU348" i="1"/>
  <c r="BT543" i="1"/>
  <c r="BU543" i="1"/>
  <c r="BT98" i="1"/>
  <c r="BU98" i="1"/>
  <c r="BT353" i="1"/>
  <c r="BU353" i="1"/>
  <c r="BT211" i="1"/>
  <c r="BU211" i="1"/>
  <c r="BT579" i="1"/>
  <c r="BU579" i="1"/>
  <c r="BT416" i="1"/>
  <c r="BU416" i="1"/>
  <c r="BT492" i="1"/>
  <c r="BU492" i="1"/>
  <c r="BT244" i="1"/>
  <c r="BU244" i="1"/>
  <c r="BT613" i="1"/>
  <c r="BU613" i="1"/>
  <c r="BT256" i="1"/>
  <c r="BU256" i="1"/>
  <c r="BT247" i="1"/>
  <c r="BU247" i="1"/>
  <c r="BT274" i="1"/>
  <c r="BU274" i="1"/>
  <c r="BT676" i="1"/>
  <c r="BU676" i="1"/>
  <c r="BT106" i="1"/>
  <c r="BU106" i="1"/>
  <c r="BT170" i="1"/>
  <c r="BU170" i="1"/>
  <c r="BT358" i="1"/>
  <c r="BU358" i="1"/>
  <c r="BT289" i="1"/>
  <c r="BU289" i="1"/>
  <c r="BT340" i="1"/>
  <c r="BU340" i="1"/>
  <c r="BT11" i="1"/>
  <c r="BU11" i="1"/>
  <c r="BT219" i="1"/>
  <c r="BU219" i="1"/>
  <c r="BT275" i="1"/>
  <c r="BU275" i="1"/>
  <c r="BT323" i="1"/>
  <c r="BU323" i="1"/>
  <c r="BT523" i="1"/>
  <c r="BU523" i="1"/>
  <c r="BT91" i="1"/>
  <c r="BU91" i="1"/>
  <c r="BT316" i="1"/>
  <c r="BU316" i="1"/>
  <c r="BT485" i="1"/>
  <c r="BU485" i="1"/>
  <c r="BT607" i="1"/>
  <c r="BU607" i="1"/>
  <c r="BT26" i="1"/>
  <c r="BU26" i="1"/>
  <c r="BT90" i="1"/>
  <c r="BU90" i="1"/>
  <c r="BT154" i="1"/>
  <c r="BU154" i="1"/>
  <c r="BT242" i="1"/>
  <c r="BU242" i="1"/>
  <c r="BT278" i="1"/>
  <c r="BU278" i="1"/>
  <c r="BT72" i="1"/>
  <c r="BU72" i="1"/>
  <c r="BT408" i="1"/>
  <c r="BU408" i="1"/>
  <c r="BT129" i="1"/>
  <c r="BU129" i="1"/>
  <c r="BT404" i="1"/>
  <c r="BU404" i="1"/>
  <c r="BT645" i="1"/>
  <c r="BU645" i="1"/>
  <c r="BT251" i="1"/>
  <c r="BU251" i="1"/>
  <c r="BT371" i="1"/>
  <c r="BU371" i="1"/>
  <c r="BT395" i="1"/>
  <c r="BU395" i="1"/>
  <c r="BT483" i="1"/>
  <c r="BU483" i="1"/>
  <c r="BT571" i="1"/>
  <c r="BU571" i="1"/>
  <c r="BT635" i="1"/>
  <c r="BU635" i="1"/>
  <c r="BT70" i="1"/>
  <c r="BU70" i="1"/>
  <c r="BT302" i="1"/>
  <c r="BU302" i="1"/>
  <c r="BT462" i="1"/>
  <c r="BU462" i="1"/>
  <c r="BT641" i="1"/>
  <c r="BU641" i="1"/>
  <c r="BT96" i="1"/>
  <c r="BU96" i="1"/>
  <c r="BT384" i="1"/>
  <c r="BU384" i="1"/>
  <c r="BT640" i="1"/>
  <c r="BU640" i="1"/>
  <c r="BT133" i="1"/>
  <c r="BU133" i="1"/>
  <c r="BT405" i="1"/>
  <c r="BU405" i="1"/>
  <c r="BT598" i="1"/>
  <c r="BU598" i="1"/>
  <c r="BT100" i="1"/>
  <c r="BU100" i="1"/>
  <c r="BT124" i="1"/>
  <c r="BU124" i="1"/>
  <c r="BT148" i="1"/>
  <c r="BU148" i="1"/>
  <c r="BT212" i="1"/>
  <c r="BU212" i="1"/>
  <c r="BT236" i="1"/>
  <c r="BU236" i="1"/>
  <c r="BT681" i="1"/>
  <c r="BU681" i="1"/>
  <c r="BT254" i="1"/>
  <c r="BU254" i="1"/>
  <c r="BT24" i="1"/>
  <c r="BU24" i="1"/>
  <c r="BT456" i="1"/>
  <c r="BU456" i="1"/>
  <c r="BT103" i="1"/>
  <c r="BU103" i="1"/>
  <c r="BT549" i="1"/>
  <c r="BU549" i="1"/>
  <c r="BT29" i="1"/>
  <c r="BU29" i="1"/>
  <c r="BT101" i="1"/>
  <c r="BU101" i="1"/>
  <c r="BT269" i="1"/>
  <c r="BU269" i="1"/>
  <c r="BT150" i="1"/>
  <c r="BU150" i="1"/>
  <c r="BT296" i="1"/>
  <c r="BU296" i="1"/>
  <c r="BT632" i="1"/>
  <c r="BU632" i="1"/>
  <c r="BT457" i="1"/>
  <c r="BU457" i="1"/>
  <c r="BT545" i="1"/>
  <c r="BU545" i="1"/>
  <c r="BT224" i="1"/>
  <c r="BU224" i="1"/>
  <c r="BT488" i="1"/>
  <c r="BU488" i="1"/>
  <c r="BT521" i="1"/>
  <c r="BU521" i="1"/>
  <c r="BT477" i="1"/>
  <c r="BU477" i="1"/>
  <c r="BT23" i="1"/>
  <c r="BU23" i="1"/>
  <c r="BT191" i="1"/>
  <c r="BU191" i="1"/>
  <c r="BT215" i="1"/>
  <c r="BU215" i="1"/>
  <c r="BT263" i="1"/>
  <c r="BU263" i="1"/>
  <c r="BT327" i="1"/>
  <c r="BU327" i="1"/>
  <c r="BT391" i="1"/>
  <c r="BU391" i="1"/>
  <c r="BT455" i="1"/>
  <c r="BU455" i="1"/>
  <c r="BT519" i="1"/>
  <c r="BU519" i="1"/>
  <c r="BT305" i="1"/>
  <c r="BU305" i="1"/>
  <c r="BT625" i="1"/>
  <c r="BU625" i="1"/>
  <c r="BT594" i="1"/>
  <c r="BU594" i="1"/>
  <c r="BT580" i="1"/>
  <c r="BU580" i="1"/>
  <c r="BT496" i="1"/>
  <c r="BU496" i="1"/>
  <c r="BT621" i="1"/>
  <c r="BU621" i="1"/>
  <c r="BT192" i="1"/>
  <c r="BU192" i="1"/>
  <c r="BT544" i="1"/>
  <c r="BU544" i="1"/>
  <c r="BT33" i="1"/>
  <c r="BU33" i="1"/>
  <c r="BT321" i="1"/>
  <c r="BU321" i="1"/>
  <c r="BT433" i="1"/>
  <c r="BU433" i="1"/>
  <c r="BT609" i="1"/>
  <c r="BU609" i="1"/>
  <c r="BT159" i="1"/>
  <c r="BU159" i="1"/>
  <c r="BT445" i="1"/>
  <c r="BU445" i="1"/>
  <c r="BT655" i="1"/>
  <c r="BU655" i="1"/>
  <c r="BT99" i="1"/>
  <c r="BU99" i="1"/>
  <c r="BT283" i="1"/>
  <c r="BU283" i="1"/>
  <c r="BT307" i="1"/>
  <c r="BU307" i="1"/>
  <c r="BT331" i="1"/>
  <c r="BU331" i="1"/>
  <c r="BT419" i="1"/>
  <c r="BU419" i="1"/>
  <c r="BT507" i="1"/>
  <c r="BU507" i="1"/>
  <c r="BT531" i="1"/>
  <c r="BU531" i="1"/>
  <c r="BT595" i="1"/>
  <c r="BU595" i="1"/>
  <c r="BT659" i="1"/>
  <c r="BU659" i="1"/>
  <c r="BT206" i="1"/>
  <c r="BU206" i="1"/>
  <c r="BT390" i="1"/>
  <c r="BU390" i="1"/>
  <c r="BT673" i="1"/>
  <c r="BU673" i="1"/>
  <c r="BT208" i="1"/>
  <c r="BU208" i="1"/>
  <c r="BT480" i="1"/>
  <c r="BU480" i="1"/>
  <c r="BT167" i="1"/>
  <c r="BU167" i="1"/>
  <c r="BT428" i="1"/>
  <c r="BU428" i="1"/>
  <c r="BT612" i="1"/>
  <c r="BU612" i="1"/>
  <c r="BT12" i="1"/>
  <c r="BU12" i="1"/>
  <c r="BT36" i="1"/>
  <c r="BU36" i="1"/>
  <c r="BT60" i="1"/>
  <c r="BU60" i="1"/>
  <c r="BT84" i="1"/>
  <c r="BU84" i="1"/>
  <c r="BT172" i="1"/>
  <c r="BU172" i="1"/>
  <c r="BT260" i="1"/>
  <c r="BU260" i="1"/>
  <c r="BT382" i="1"/>
  <c r="BU382" i="1"/>
  <c r="BT200" i="1"/>
  <c r="BU200" i="1"/>
  <c r="BT608" i="1"/>
  <c r="BU608" i="1"/>
  <c r="BT41" i="1"/>
  <c r="BU41" i="1"/>
  <c r="BT297" i="1"/>
  <c r="BU297" i="1"/>
  <c r="BT513" i="1"/>
  <c r="BU513" i="1"/>
  <c r="BT229" i="1"/>
  <c r="BU229" i="1"/>
  <c r="BT574" i="1"/>
  <c r="BU574" i="1"/>
  <c r="BT205" i="1"/>
  <c r="BU205" i="1"/>
  <c r="BT334" i="1"/>
  <c r="BU334" i="1"/>
  <c r="BT510" i="1"/>
  <c r="BU510" i="1"/>
  <c r="BT104" i="1"/>
  <c r="BU104" i="1"/>
  <c r="BT424" i="1"/>
  <c r="BU424" i="1"/>
  <c r="BT49" i="1"/>
  <c r="BU49" i="1"/>
  <c r="BT48" i="1"/>
  <c r="BU48" i="1"/>
  <c r="BT328" i="1"/>
  <c r="BU328" i="1"/>
  <c r="BT592" i="1"/>
  <c r="BU592" i="1"/>
  <c r="BT409" i="1"/>
  <c r="BU409" i="1"/>
  <c r="BT540" i="1"/>
  <c r="BU540" i="1"/>
  <c r="BT47" i="1"/>
  <c r="BU47" i="1"/>
  <c r="BT71" i="1"/>
  <c r="BU71" i="1"/>
  <c r="BT143" i="1"/>
  <c r="BU143" i="1"/>
  <c r="BT287" i="1"/>
  <c r="BU287" i="1"/>
  <c r="BT351" i="1"/>
  <c r="BU351" i="1"/>
  <c r="BT415" i="1"/>
  <c r="BU415" i="1"/>
  <c r="BT479" i="1"/>
  <c r="BU479" i="1"/>
  <c r="BT425" i="1"/>
  <c r="BU425" i="1"/>
  <c r="CJ686" i="1" l="1"/>
  <c r="CH686" i="1"/>
  <c r="CK686" i="1"/>
  <c r="CL686" i="1"/>
  <c r="BW686" i="1"/>
  <c r="BU686" i="1"/>
  <c r="BV686" i="1"/>
  <c r="CG686" i="1"/>
  <c r="BX686" i="1"/>
  <c r="CI686" i="1"/>
  <c r="BT68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<sst xmlns="http://schemas.openxmlformats.org/spreadsheetml/2006/main" count="8101" uniqueCount="1426">
  <si>
    <t>timestamp</t>
  </si>
  <si>
    <t>date_GMT</t>
  </si>
  <si>
    <t>status</t>
  </si>
  <si>
    <t>attendance</t>
  </si>
  <si>
    <t>home_team_name</t>
  </si>
  <si>
    <t>away_team_name</t>
  </si>
  <si>
    <t>referee</t>
  </si>
  <si>
    <t>Game Week</t>
  </si>
  <si>
    <t>Pre-Match PPG (Home)</t>
  </si>
  <si>
    <t>Pre-Match PPG (Away)</t>
  </si>
  <si>
    <t>home_ppg</t>
  </si>
  <si>
    <t>away_ppg</t>
  </si>
  <si>
    <t>home_team_goal_count</t>
  </si>
  <si>
    <t>away_team_goal_count</t>
  </si>
  <si>
    <t>total_goal_count</t>
  </si>
  <si>
    <t>total_goals_at_half_time</t>
  </si>
  <si>
    <t>home_team_goal_count_half_time</t>
  </si>
  <si>
    <t>away_team_goal_count_half_time</t>
  </si>
  <si>
    <t>home_team_goal_timings</t>
  </si>
  <si>
    <t>away_team_goal_timings</t>
  </si>
  <si>
    <t>home_team_corner_count</t>
  </si>
  <si>
    <t>away_team_corner_count</t>
  </si>
  <si>
    <t>home_team_yellow_cards</t>
  </si>
  <si>
    <t>home_team_red_cards</t>
  </si>
  <si>
    <t>away_team_yellow_cards</t>
  </si>
  <si>
    <t>away_team_red_cards</t>
  </si>
  <si>
    <t>home_team_first_half_cards</t>
  </si>
  <si>
    <t>home_team_second_half_cards</t>
  </si>
  <si>
    <t>away_team_first_half_cards</t>
  </si>
  <si>
    <t>away_team_second_half_cards</t>
  </si>
  <si>
    <t>home_team_shots</t>
  </si>
  <si>
    <t>away_team_shots</t>
  </si>
  <si>
    <t>home_team_shots_on_target</t>
  </si>
  <si>
    <t>away_team_shots_on_target</t>
  </si>
  <si>
    <t>home_team_shots_off_target</t>
  </si>
  <si>
    <t>away_team_shots_off_target</t>
  </si>
  <si>
    <t>home_team_fouls</t>
  </si>
  <si>
    <t>away_team_fouls</t>
  </si>
  <si>
    <t>home_team_possession</t>
  </si>
  <si>
    <t>away_team_possession</t>
  </si>
  <si>
    <t>team_a_xg</t>
  </si>
  <si>
    <t>team_b_xg</t>
  </si>
  <si>
    <t>average_goals_per_match_pre_match</t>
  </si>
  <si>
    <t>btts_percentage_pre_match</t>
  </si>
  <si>
    <t>over_15_percentage_pre_match</t>
  </si>
  <si>
    <t>over_25_percentage_pre_match</t>
  </si>
  <si>
    <t>over_35_percentage_pre_match</t>
  </si>
  <si>
    <t>over_45_percentage_pre_match</t>
  </si>
  <si>
    <t>over_15_HT_FHG_percentage_pre_match</t>
  </si>
  <si>
    <t>over_05_HT_FHG_percentage_pre_match</t>
  </si>
  <si>
    <t>over_15_2HG_percentage_pre_match</t>
  </si>
  <si>
    <t>over_05_2HG_percentage_pre_match</t>
  </si>
  <si>
    <t>average_corners_per_match_pre_match</t>
  </si>
  <si>
    <t>average_cards_per_match_pre_match</t>
  </si>
  <si>
    <t>odds_ft_home_team_win</t>
  </si>
  <si>
    <t>odds_ft_draw</t>
  </si>
  <si>
    <t>odds_ft_away_team_win</t>
  </si>
  <si>
    <t>odds_ft_over15</t>
  </si>
  <si>
    <t>odds_ft_over25</t>
  </si>
  <si>
    <t>odds_ft_over35</t>
  </si>
  <si>
    <t>odds_ft_over45</t>
  </si>
  <si>
    <t>odds_btts_yes</t>
  </si>
  <si>
    <t>odds_btts_no</t>
  </si>
  <si>
    <t>stadium_name</t>
  </si>
  <si>
    <t>Jul 23 2021 - 2:00am</t>
  </si>
  <si>
    <t>complete</t>
  </si>
  <si>
    <t>N/A</t>
  </si>
  <si>
    <t>Querétaro</t>
  </si>
  <si>
    <t>América</t>
  </si>
  <si>
    <t>Marco Antonio Ortíz Nava</t>
  </si>
  <si>
    <t>Estadio La Corregidora (Santiago de Querétaro)</t>
  </si>
  <si>
    <t>Jul 24 2021 - 12:00am</t>
  </si>
  <si>
    <t>Necaxa</t>
  </si>
  <si>
    <t>Santos Laguna</t>
  </si>
  <si>
    <t>Jorge Antonio Pérez Durán</t>
  </si>
  <si>
    <t>23,42,57</t>
  </si>
  <si>
    <t>Estadio Victoria de Aguascalientes (Aguascalientes)</t>
  </si>
  <si>
    <t>Jul 24 2021 - 2:00am</t>
  </si>
  <si>
    <t>Juárez</t>
  </si>
  <si>
    <t>Toluca</t>
  </si>
  <si>
    <t>Jorge Isaac Rojas Castillo</t>
  </si>
  <si>
    <t>6,64,89</t>
  </si>
  <si>
    <t>Estadio Olímpico Benito Juárez (Ciudad Juárez)</t>
  </si>
  <si>
    <t>Jul 24 2021 - 9:00pm</t>
  </si>
  <si>
    <t>Pachuca</t>
  </si>
  <si>
    <t>León</t>
  </si>
  <si>
    <t>Alejandro Funk Villafañe</t>
  </si>
  <si>
    <t>59,61,75,90'1</t>
  </si>
  <si>
    <t>Estadio Hidalgo (Pachuca de Soto)</t>
  </si>
  <si>
    <t>Jul 25 2021 - 2:00am</t>
  </si>
  <si>
    <t>Guadalajara</t>
  </si>
  <si>
    <t>Atlético San Luis</t>
  </si>
  <si>
    <t>Eduardo Galván Basulto</t>
  </si>
  <si>
    <t>12,65</t>
  </si>
  <si>
    <t>Estadio AKRON (Zapopan)</t>
  </si>
  <si>
    <t>Jul 25 2021 - 5:00pm</t>
  </si>
  <si>
    <t>Pumas UNAM</t>
  </si>
  <si>
    <t>Atlas</t>
  </si>
  <si>
    <t>Luis Enrique Santander Aguirre</t>
  </si>
  <si>
    <t>Estadio Olímpico de Universitario (Ciudad de México (D.F.))</t>
  </si>
  <si>
    <t>Jul 26 2021 - 12:06am</t>
  </si>
  <si>
    <t>Monterrey</t>
  </si>
  <si>
    <t>Puebla</t>
  </si>
  <si>
    <t>Óscar Mejía García</t>
  </si>
  <si>
    <t>Estadio BBVA (Guadalupe)</t>
  </si>
  <si>
    <t>Jul 26 2021 - 2:06am</t>
  </si>
  <si>
    <t>Tijuana</t>
  </si>
  <si>
    <t>Tigres UANL</t>
  </si>
  <si>
    <t>Oscar Macias Romo</t>
  </si>
  <si>
    <t>8,56</t>
  </si>
  <si>
    <t>Estadio Caliente (Tijuana)</t>
  </si>
  <si>
    <t>Jul 27 2021 - 1:00am</t>
  </si>
  <si>
    <t>Cruz Azul</t>
  </si>
  <si>
    <t>Mazatlán</t>
  </si>
  <si>
    <t>Diego Montaño Robles</t>
  </si>
  <si>
    <t>45'1,66</t>
  </si>
  <si>
    <t>Estadio Azteca (Ciudad de México (D.F.))</t>
  </si>
  <si>
    <t>Jul 31 2021 - 12:00am</t>
  </si>
  <si>
    <t>Edgar Ulises Rangel Araújo</t>
  </si>
  <si>
    <t>45'2,83</t>
  </si>
  <si>
    <t>Estadio de Mazatlán (Mazatlán)</t>
  </si>
  <si>
    <t>Jul 31 2021 - 2:05am</t>
  </si>
  <si>
    <t>Fernando Guerrero Ramírez</t>
  </si>
  <si>
    <t>55,90'4</t>
  </si>
  <si>
    <t>Estadio Cuauhtémoc (Puebla)</t>
  </si>
  <si>
    <t>Jul 31 2021 - 10:00pm</t>
  </si>
  <si>
    <t>26,90</t>
  </si>
  <si>
    <t>90'8</t>
  </si>
  <si>
    <t>Estadio León (Nou Camp) (León de los Aldamas)</t>
  </si>
  <si>
    <t>Aug 01 2021 - 12:00am</t>
  </si>
  <si>
    <t>Fernando Hernández Gómez</t>
  </si>
  <si>
    <t>40,76</t>
  </si>
  <si>
    <t>Aug 01 2021 - 2:00am</t>
  </si>
  <si>
    <t>Adonai Escobedo González</t>
  </si>
  <si>
    <t>2,53</t>
  </si>
  <si>
    <t>69,90'3</t>
  </si>
  <si>
    <t>Estadio Jalisco (Guadalajara)</t>
  </si>
  <si>
    <t>Aug 01 2021 - 5:00pm</t>
  </si>
  <si>
    <t>Víctor Alfonso Cáceres Hernández</t>
  </si>
  <si>
    <t>33,84,90'6</t>
  </si>
  <si>
    <t>Estadio Nemesio Díez (Toluca de Lerdo)</t>
  </si>
  <si>
    <t>Aug 01 2021 - 11:00pm</t>
  </si>
  <si>
    <t>Estadio Nuevo Corona (Torreón)</t>
  </si>
  <si>
    <t>Aug 03 2021 - 2:00am</t>
  </si>
  <si>
    <t>Estadio Alfonso Lastras Ramírez (San Luis Potosí)</t>
  </si>
  <si>
    <t>Aug 06 2021 - 2:05am</t>
  </si>
  <si>
    <t>Aug 07 2021 - 12:00am</t>
  </si>
  <si>
    <t>Mario Humberto Vargas Mata</t>
  </si>
  <si>
    <t>45'1</t>
  </si>
  <si>
    <t>45'3</t>
  </si>
  <si>
    <t>Aug 07 2021 - 2:05am</t>
  </si>
  <si>
    <t>20,71</t>
  </si>
  <si>
    <t>Aug 07 2021 - 2:06am</t>
  </si>
  <si>
    <t>11,80</t>
  </si>
  <si>
    <t>Aug 07 2021 - 10:00pm</t>
  </si>
  <si>
    <t>15,89</t>
  </si>
  <si>
    <t>10,51</t>
  </si>
  <si>
    <t>Aug 08 2021 - 12:00am</t>
  </si>
  <si>
    <t>César Arturo Ramos Palazuelos</t>
  </si>
  <si>
    <t>43,54</t>
  </si>
  <si>
    <t>Aug 08 2021 - 2:00am</t>
  </si>
  <si>
    <t>Estadio Universitario de Nuevo León (San Nicolás de los Garza)</t>
  </si>
  <si>
    <t>Aug 08 2021 - 5:00pm</t>
  </si>
  <si>
    <t>6,32,82</t>
  </si>
  <si>
    <t>Aug 10 2021 - 2:00am</t>
  </si>
  <si>
    <t>Guillermo Pacheco Larios</t>
  </si>
  <si>
    <t>Aug 13 2021 - 2:00am</t>
  </si>
  <si>
    <t>41,90'3</t>
  </si>
  <si>
    <t>Aug 14 2021 - 12:00am</t>
  </si>
  <si>
    <t>45'6</t>
  </si>
  <si>
    <t>Aug 14 2021 - 2:00am</t>
  </si>
  <si>
    <t>Edgar Allan Morales Olvera</t>
  </si>
  <si>
    <t>45'5</t>
  </si>
  <si>
    <t>Aug 14 2021 - 10:00pm</t>
  </si>
  <si>
    <t>Aug 15 2021 - 12:00am</t>
  </si>
  <si>
    <t>Brian Omar González Veles</t>
  </si>
  <si>
    <t>42,68,80</t>
  </si>
  <si>
    <t>Aug 15 2021 - 2:00am</t>
  </si>
  <si>
    <t>4,5,34,71</t>
  </si>
  <si>
    <t>Aug 15 2021 - 2:06am</t>
  </si>
  <si>
    <t>36,73,79</t>
  </si>
  <si>
    <t>Aug 15 2021 - 10:00pm</t>
  </si>
  <si>
    <t>Aug 16 2021 - 12:06am</t>
  </si>
  <si>
    <t>Aug 17 2021 - 10:00pm</t>
  </si>
  <si>
    <t>Saúl Alfredo Silva Pineda</t>
  </si>
  <si>
    <t>9,38</t>
  </si>
  <si>
    <t>32,44</t>
  </si>
  <si>
    <t>Aug 18 2021 - 12:00am</t>
  </si>
  <si>
    <t>22,49,74</t>
  </si>
  <si>
    <t>Aug 18 2021 - 2:00am</t>
  </si>
  <si>
    <t>35,72,90'3</t>
  </si>
  <si>
    <t>Aug 18 2021 - 2:06am</t>
  </si>
  <si>
    <t>Aug 19 2021 - 12:00am</t>
  </si>
  <si>
    <t>90'1</t>
  </si>
  <si>
    <t>Aug 19 2021 - 2:00am</t>
  </si>
  <si>
    <t>35,76,90'8</t>
  </si>
  <si>
    <t>32,52</t>
  </si>
  <si>
    <t>Aug 21 2021 - 2:00am</t>
  </si>
  <si>
    <t>48,54,81</t>
  </si>
  <si>
    <t>Aug 21 2021 - 10:00pm</t>
  </si>
  <si>
    <t>Aug 22 2021 - 12:00am</t>
  </si>
  <si>
    <t>90'15</t>
  </si>
  <si>
    <t>Aug 22 2021 - 2:00am</t>
  </si>
  <si>
    <t>Aug 22 2021 - 2:36am</t>
  </si>
  <si>
    <t>Aug 22 2021 - 5:00pm</t>
  </si>
  <si>
    <t>74,81</t>
  </si>
  <si>
    <t>Aug 22 2021 - 10:00pm</t>
  </si>
  <si>
    <t>90'1,90'4</t>
  </si>
  <si>
    <t>Aug 23 2021 - 12:00am</t>
  </si>
  <si>
    <t>Aug 23 2021 - 2:00am</t>
  </si>
  <si>
    <t>20,76</t>
  </si>
  <si>
    <t>Aug 28 2021 - 12:00am</t>
  </si>
  <si>
    <t>45'6,89</t>
  </si>
  <si>
    <t>39,90'6</t>
  </si>
  <si>
    <t>Aug 28 2021 - 2:00am</t>
  </si>
  <si>
    <t>Erick Yair Miranda Galindo</t>
  </si>
  <si>
    <t>Aug 28 2021 - 2:06am</t>
  </si>
  <si>
    <t>39,82</t>
  </si>
  <si>
    <t>18,37</t>
  </si>
  <si>
    <t>Aug 28 2021 - 10:00pm</t>
  </si>
  <si>
    <t>43,90'13</t>
  </si>
  <si>
    <t>Aug 29 2021 - 12:00am</t>
  </si>
  <si>
    <t>Aug 29 2021 - 2:00am</t>
  </si>
  <si>
    <t>Aug 29 2021 - 5:00pm</t>
  </si>
  <si>
    <t>19,70</t>
  </si>
  <si>
    <t>Aug 29 2021 - 11:00pm</t>
  </si>
  <si>
    <t>56,90'1</t>
  </si>
  <si>
    <t>Aug 30 2021 - 1:00am</t>
  </si>
  <si>
    <t>Sep 11 2021 - 12:00am</t>
  </si>
  <si>
    <t>Juan Andrés Esquivel González</t>
  </si>
  <si>
    <t>73,82</t>
  </si>
  <si>
    <t>44,90'6</t>
  </si>
  <si>
    <t>Sep 11 2021 - 2:00am</t>
  </si>
  <si>
    <t>19,35</t>
  </si>
  <si>
    <t>Sep 11 2021 - 2:06am</t>
  </si>
  <si>
    <t>22,90'7</t>
  </si>
  <si>
    <t>Sep 11 2021 - 10:00pm</t>
  </si>
  <si>
    <t>61,80</t>
  </si>
  <si>
    <t>Sep 12 2021 - 12:00am</t>
  </si>
  <si>
    <t>43,90'3</t>
  </si>
  <si>
    <t>31,33</t>
  </si>
  <si>
    <t>Sep 12 2021 - 2:00am</t>
  </si>
  <si>
    <t>29,72</t>
  </si>
  <si>
    <t>Sep 12 2021 - 10:00pm</t>
  </si>
  <si>
    <t>Sep 13 2021 - 12:00am</t>
  </si>
  <si>
    <t>16,43,90'1</t>
  </si>
  <si>
    <t>Sep 14 2021 - 2:00am</t>
  </si>
  <si>
    <t>32,89</t>
  </si>
  <si>
    <t>Sep 17 2021 - 1:00am</t>
  </si>
  <si>
    <t>37,40,45'1,53</t>
  </si>
  <si>
    <t>Sep 18 2021 - 2:00am</t>
  </si>
  <si>
    <t>23,35,47</t>
  </si>
  <si>
    <t>Sep 18 2021 - 10:00pm</t>
  </si>
  <si>
    <t>Sep 19 2021 - 12:00am</t>
  </si>
  <si>
    <t>2,38,61</t>
  </si>
  <si>
    <t>Sep 19 2021 - 2:00am</t>
  </si>
  <si>
    <t>21,90</t>
  </si>
  <si>
    <t>56,85</t>
  </si>
  <si>
    <t>Sep 20 2021 - 12:00am</t>
  </si>
  <si>
    <t>42,90'2</t>
  </si>
  <si>
    <t>Sep 20 2021 - 12:06am</t>
  </si>
  <si>
    <t>14,90'1</t>
  </si>
  <si>
    <t>Sep 20 2021 - 2:06am</t>
  </si>
  <si>
    <t>Sep 22 2021 - 2:00am</t>
  </si>
  <si>
    <t>Sep 23 2021 - 12:06am</t>
  </si>
  <si>
    <t>41,73</t>
  </si>
  <si>
    <t>Sep 24 2021 - 2:00am</t>
  </si>
  <si>
    <t>Sep 25 2021 - 1:00am</t>
  </si>
  <si>
    <t>Sep 25 2021 - 2:06am</t>
  </si>
  <si>
    <t>Sep 25 2021 - 10:00pm</t>
  </si>
  <si>
    <t>8,60</t>
  </si>
  <si>
    <t>Sep 26 2021 - 12:00am</t>
  </si>
  <si>
    <t>Sep 26 2021 - 2:00am</t>
  </si>
  <si>
    <t>Sep 26 2021 - 5:00pm</t>
  </si>
  <si>
    <t>24,39</t>
  </si>
  <si>
    <t>Sep 27 2021 - 12:06am</t>
  </si>
  <si>
    <t>47,90'4</t>
  </si>
  <si>
    <t>Sep 28 2021 - 10:00pm</t>
  </si>
  <si>
    <t>52,56,79</t>
  </si>
  <si>
    <t>Sep 29 2021 - 12:00am</t>
  </si>
  <si>
    <t>8,36,69</t>
  </si>
  <si>
    <t>Sep 29 2021 - 2:00am</t>
  </si>
  <si>
    <t>Sep 29 2021 - 2:05am</t>
  </si>
  <si>
    <t>Sep 29 2021 - 10:00pm</t>
  </si>
  <si>
    <t>31,55,67</t>
  </si>
  <si>
    <t>Sep 30 2021 - 2:15am</t>
  </si>
  <si>
    <t>Oct 02 2021 - 12:00am</t>
  </si>
  <si>
    <t>37,58</t>
  </si>
  <si>
    <t>Oct 02 2021 - 2:00am</t>
  </si>
  <si>
    <t>41,43,87</t>
  </si>
  <si>
    <t>Oct 02 2021 - 10:00pm</t>
  </si>
  <si>
    <t>Oct 03 2021 - 12:06am</t>
  </si>
  <si>
    <t>Oct 03 2021 - 2:00am</t>
  </si>
  <si>
    <t>Oct 03 2021 - 5:00pm</t>
  </si>
  <si>
    <t>Oct 03 2021 - 10:00pm</t>
  </si>
  <si>
    <t>36,90'8</t>
  </si>
  <si>
    <t>Oct 04 2021 - 12:00am</t>
  </si>
  <si>
    <t>Oct 04 2021 - 2:06am</t>
  </si>
  <si>
    <t>Oct 09 2021 - 12:00am</t>
  </si>
  <si>
    <t>Oct 15 2021 - 1:00am</t>
  </si>
  <si>
    <t>Oct 16 2021 - 12:00am</t>
  </si>
  <si>
    <t>Oct 16 2021 - 2:00am</t>
  </si>
  <si>
    <t>Oct 16 2021 - 10:00pm</t>
  </si>
  <si>
    <t>Oct 17 2021 - 12:00am</t>
  </si>
  <si>
    <t>90'7</t>
  </si>
  <si>
    <t>Oct 17 2021 - 12:05am</t>
  </si>
  <si>
    <t>Oct 17 2021 - 2:00am</t>
  </si>
  <si>
    <t>Oct 17 2021 - 5:00pm</t>
  </si>
  <si>
    <t>90'5</t>
  </si>
  <si>
    <t>Oct 17 2021 - 10:00pm</t>
  </si>
  <si>
    <t>45'5,90'5</t>
  </si>
  <si>
    <t>Oct 19 2021 - 10:00pm</t>
  </si>
  <si>
    <t>Oct 20 2021 - 12:00am</t>
  </si>
  <si>
    <t>69,90'5</t>
  </si>
  <si>
    <t>Oct 20 2021 - 12:05am</t>
  </si>
  <si>
    <t>67,87</t>
  </si>
  <si>
    <t>Oct 20 2021 - 2:05am</t>
  </si>
  <si>
    <t>Oct 21 2021 - 12:00am</t>
  </si>
  <si>
    <t>44,88</t>
  </si>
  <si>
    <t>Oct 21 2021 - 2:00am</t>
  </si>
  <si>
    <t>9,12,49</t>
  </si>
  <si>
    <t>Oct 21 2021 - 2:06am</t>
  </si>
  <si>
    <t>Oct 23 2021 - 2:00am</t>
  </si>
  <si>
    <t>50,52</t>
  </si>
  <si>
    <t>Oct 23 2021 - 10:00pm</t>
  </si>
  <si>
    <t>Oct 23 2021 - 10:06pm</t>
  </si>
  <si>
    <t>90'10</t>
  </si>
  <si>
    <t>Oct 24 2021 - 12:00am</t>
  </si>
  <si>
    <t>Oct 24 2021 - 2:00am</t>
  </si>
  <si>
    <t>90'4</t>
  </si>
  <si>
    <t>Oct 24 2021 - 5:00pm</t>
  </si>
  <si>
    <t>45,47,56</t>
  </si>
  <si>
    <t>Oct 25 2021 - 12:00am</t>
  </si>
  <si>
    <t>57,80</t>
  </si>
  <si>
    <t>10,29,32,45,70,74</t>
  </si>
  <si>
    <t>Oct 25 2021 - 12:06am</t>
  </si>
  <si>
    <t>32,90'5</t>
  </si>
  <si>
    <t>56,76</t>
  </si>
  <si>
    <t>Oct 25 2021 - 2:00am</t>
  </si>
  <si>
    <t>Oct 29 2021 - 12:00am</t>
  </si>
  <si>
    <t>34,77</t>
  </si>
  <si>
    <t>Oct 30 2021 - 12:00am</t>
  </si>
  <si>
    <t>38,90'4</t>
  </si>
  <si>
    <t>Oct 30 2021 - 2:00am</t>
  </si>
  <si>
    <t>67,70</t>
  </si>
  <si>
    <t>Oct 30 2021 - 10:00pm</t>
  </si>
  <si>
    <t>55,61</t>
  </si>
  <si>
    <t>4,28,87</t>
  </si>
  <si>
    <t>Oct 31 2021 - 1:06am</t>
  </si>
  <si>
    <t>Oct 31 2021 - 2:10am</t>
  </si>
  <si>
    <t>4,79</t>
  </si>
  <si>
    <t>Oct 31 2021 - 6:00pm</t>
  </si>
  <si>
    <t>Oct 31 2021 - 11:05pm</t>
  </si>
  <si>
    <t>45'1,90'7</t>
  </si>
  <si>
    <t>Nov 01 2021 - 1:05am</t>
  </si>
  <si>
    <t>Nov 04 2021 - 1:00am</t>
  </si>
  <si>
    <t>Nov 04 2021 - 3:00am</t>
  </si>
  <si>
    <t>Nov 05 2021 - 1:00am</t>
  </si>
  <si>
    <t>17,53,64</t>
  </si>
  <si>
    <t>Nov 05 2021 - 3:00am</t>
  </si>
  <si>
    <t>73,90'4</t>
  </si>
  <si>
    <t>Nov 06 2021 - 1:00am</t>
  </si>
  <si>
    <t>Nov 06 2021 - 3:00am</t>
  </si>
  <si>
    <t>Nov 06 2021 - 11:00pm</t>
  </si>
  <si>
    <t>21,52,72</t>
  </si>
  <si>
    <t>Nov 07 2021 - 1:00am</t>
  </si>
  <si>
    <t>Nov 07 2021 - 3:00am</t>
  </si>
  <si>
    <t>6,47,83</t>
  </si>
  <si>
    <t>Nov 07 2021 - 3:06am</t>
  </si>
  <si>
    <t>45,57,83</t>
  </si>
  <si>
    <t>24,54</t>
  </si>
  <si>
    <t>Nov 07 2021 - 11:00pm</t>
  </si>
  <si>
    <t>6,46,62,84</t>
  </si>
  <si>
    <t>12,21,44</t>
  </si>
  <si>
    <t>Nov 08 2021 - 1:06am</t>
  </si>
  <si>
    <t>Nov 21 2021 - 1:00am</t>
  </si>
  <si>
    <t>65,86</t>
  </si>
  <si>
    <t>Nov 21 2021 - 3:00am</t>
  </si>
  <si>
    <t>20,89</t>
  </si>
  <si>
    <t>6,62</t>
  </si>
  <si>
    <t>Nov 21 2021 - 11:00pm</t>
  </si>
  <si>
    <t>16,50</t>
  </si>
  <si>
    <t>Nov 22 2021 - 1:15am</t>
  </si>
  <si>
    <t>10,27,59,85</t>
  </si>
  <si>
    <t>Nov 25 2021 - 1:00am</t>
  </si>
  <si>
    <t>Nov 25 2021 - 3:05am</t>
  </si>
  <si>
    <t>Nov 26 2021 - 1:00am</t>
  </si>
  <si>
    <t>30,79</t>
  </si>
  <si>
    <t>Nov 26 2021 - 3:05am</t>
  </si>
  <si>
    <t>4,12</t>
  </si>
  <si>
    <t>Nov 28 2021 - 1:00am</t>
  </si>
  <si>
    <t>29,42,82</t>
  </si>
  <si>
    <t>Nov 28 2021 - 3:05am</t>
  </si>
  <si>
    <t>Nov 29 2021 - 12:00am</t>
  </si>
  <si>
    <t>Nov 29 2021 - 2:05am</t>
  </si>
  <si>
    <t>25,80</t>
  </si>
  <si>
    <t>Dec 02 2021 - 3:00am</t>
  </si>
  <si>
    <t>90,90'5</t>
  </si>
  <si>
    <t>Dec 03 2021 - 3:00am</t>
  </si>
  <si>
    <t>Dec 05 2021 - 3:00am</t>
  </si>
  <si>
    <t>8,85</t>
  </si>
  <si>
    <t>Dec 06 2021 - 1:00am</t>
  </si>
  <si>
    <t>Dec 10 2021 - 3:00am</t>
  </si>
  <si>
    <t>37,78,86</t>
  </si>
  <si>
    <t>11,65</t>
  </si>
  <si>
    <t>Dec 13 2021 - 2:15am</t>
  </si>
  <si>
    <t>Jan 07 2022 - 3:00am</t>
  </si>
  <si>
    <t>60,90'5</t>
  </si>
  <si>
    <t>Jan 08 2022 - 1:00am</t>
  </si>
  <si>
    <t>2,57</t>
  </si>
  <si>
    <t>Jan 08 2022 - 3:00am</t>
  </si>
  <si>
    <t>Jan 09 2022 - 1:06am</t>
  </si>
  <si>
    <t>Jan 09 2022 - 3:00am</t>
  </si>
  <si>
    <t>43,66</t>
  </si>
  <si>
    <t>Jan 10 2022 - 12:00am</t>
  </si>
  <si>
    <t>45,45'2,45'6</t>
  </si>
  <si>
    <t>Jan 11 2022 - 3:00am</t>
  </si>
  <si>
    <t>31,61,64,69,81</t>
  </si>
  <si>
    <t>Jan 13 2022 - 2:06am</t>
  </si>
  <si>
    <t>90'3</t>
  </si>
  <si>
    <t>Jan 15 2022 - 1:00am</t>
  </si>
  <si>
    <t>16,45,68</t>
  </si>
  <si>
    <t>Jan 15 2022 - 3:00am</t>
  </si>
  <si>
    <t>4,23,43,67</t>
  </si>
  <si>
    <t>Jan 15 2022 - 11:00pm</t>
  </si>
  <si>
    <t>Jan 16 2022 - 1:00am</t>
  </si>
  <si>
    <t>27,45'4</t>
  </si>
  <si>
    <t>Jan 16 2022 - 3:00am</t>
  </si>
  <si>
    <t>Jan 16 2022 - 3:06am</t>
  </si>
  <si>
    <t>Jan 16 2022 - 6:00pm</t>
  </si>
  <si>
    <t>41,56,80</t>
  </si>
  <si>
    <t>Jan 16 2022 - 11:00pm</t>
  </si>
  <si>
    <t>20,37</t>
  </si>
  <si>
    <t>Jan 20 2022 - 3:00am</t>
  </si>
  <si>
    <t>Jan 21 2022 - 3:00am</t>
  </si>
  <si>
    <t>Jan 22 2022 - 3:00am</t>
  </si>
  <si>
    <t>68,80</t>
  </si>
  <si>
    <t>Jan 22 2022 - 11:00pm</t>
  </si>
  <si>
    <t>Jan 23 2022 - 1:00am</t>
  </si>
  <si>
    <t>2,58</t>
  </si>
  <si>
    <t>Jan 23 2022 - 3:00am</t>
  </si>
  <si>
    <t>70,90'5</t>
  </si>
  <si>
    <t>Jan 23 2022 - 3:06am</t>
  </si>
  <si>
    <t>90'2,90'7</t>
  </si>
  <si>
    <t>31,54</t>
  </si>
  <si>
    <t>Jan 23 2022 - 6:00pm</t>
  </si>
  <si>
    <t>78,90'7</t>
  </si>
  <si>
    <t>Jan 24 2022 - 1:00am</t>
  </si>
  <si>
    <t>45'2,54,76,86</t>
  </si>
  <si>
    <t>Jan 29 2022 - 3:00am</t>
  </si>
  <si>
    <t>57,80,88</t>
  </si>
  <si>
    <t>Feb 05 2022 - 11:00pm</t>
  </si>
  <si>
    <t>4,10,75</t>
  </si>
  <si>
    <t>Feb 06 2022 - 1:00am</t>
  </si>
  <si>
    <t>90,90'4</t>
  </si>
  <si>
    <t>6,54,61</t>
  </si>
  <si>
    <t>Feb 06 2022 - 3:06am</t>
  </si>
  <si>
    <t>Feb 06 2022 - 10:00pm</t>
  </si>
  <si>
    <t>2,32</t>
  </si>
  <si>
    <t>Feb 07 2022 - 12:00am</t>
  </si>
  <si>
    <t>28,45'1</t>
  </si>
  <si>
    <t>Feb 07 2022 - 2:00am</t>
  </si>
  <si>
    <t>11,24,76,78</t>
  </si>
  <si>
    <t>47,65,90'4</t>
  </si>
  <si>
    <t>Feb 08 2022 - 3:05am</t>
  </si>
  <si>
    <t>Feb 10 2022 - 1:00am</t>
  </si>
  <si>
    <t>44,83,87</t>
  </si>
  <si>
    <t>Feb 12 2022 - 1:00am</t>
  </si>
  <si>
    <t>43,88</t>
  </si>
  <si>
    <t>Feb 12 2022 - 3:00am</t>
  </si>
  <si>
    <t>Feb 12 2022 - 11:00pm</t>
  </si>
  <si>
    <t>6,45,70</t>
  </si>
  <si>
    <t>Feb 13 2022 - 1:00am</t>
  </si>
  <si>
    <t>84,90'5</t>
  </si>
  <si>
    <t>Feb 13 2022 - 3:00am</t>
  </si>
  <si>
    <t>10,41</t>
  </si>
  <si>
    <t>13,45'1,57</t>
  </si>
  <si>
    <t>Feb 13 2022 - 6:00pm</t>
  </si>
  <si>
    <t>24,45'2</t>
  </si>
  <si>
    <t>Feb 15 2022 - 3:00am</t>
  </si>
  <si>
    <t>15,41</t>
  </si>
  <si>
    <t>5,63</t>
  </si>
  <si>
    <t>Feb 17 2022 - 1:00am</t>
  </si>
  <si>
    <t>11,32</t>
  </si>
  <si>
    <t>Feb 19 2022 - 1:00am</t>
  </si>
  <si>
    <t>Feb 19 2022 - 3:00am</t>
  </si>
  <si>
    <t>Feb 19 2022 - 3:06am</t>
  </si>
  <si>
    <t>Feb 19 2022 - 11:00pm</t>
  </si>
  <si>
    <t>59,90'3</t>
  </si>
  <si>
    <t>Feb 20 2022 - 1:00am</t>
  </si>
  <si>
    <t>72,77</t>
  </si>
  <si>
    <t>Feb 20 2022 - 3:00am</t>
  </si>
  <si>
    <t>18,90'4</t>
  </si>
  <si>
    <t>Feb 20 2022 - 10:00pm</t>
  </si>
  <si>
    <t>28,40,75</t>
  </si>
  <si>
    <t>Feb 21 2022 - 12:05am</t>
  </si>
  <si>
    <t>7,64,79,82</t>
  </si>
  <si>
    <t>Feb 21 2022 - 2:00am</t>
  </si>
  <si>
    <t>Feb 25 2022 - 1:00am</t>
  </si>
  <si>
    <t>27,45,71</t>
  </si>
  <si>
    <t>Feb 25 2022 - 3:05am</t>
  </si>
  <si>
    <t>Feb 26 2022 - 1:00am</t>
  </si>
  <si>
    <t>Feb 26 2022 - 3:00am</t>
  </si>
  <si>
    <t>62,90'2</t>
  </si>
  <si>
    <t>15,17,43</t>
  </si>
  <si>
    <t>Feb 26 2022 - 3:06am</t>
  </si>
  <si>
    <t>13,20</t>
  </si>
  <si>
    <t>Feb 26 2022 - 11:06pm</t>
  </si>
  <si>
    <t>24,82</t>
  </si>
  <si>
    <t>Feb 27 2022 - 1:00am</t>
  </si>
  <si>
    <t>26,41</t>
  </si>
  <si>
    <t>50,67,78</t>
  </si>
  <si>
    <t>Feb 27 2022 - 3:00am</t>
  </si>
  <si>
    <t>Feb 28 2022 - 1:00am</t>
  </si>
  <si>
    <t>5,90'4</t>
  </si>
  <si>
    <t>Mar 02 2022 - 1:00am</t>
  </si>
  <si>
    <t>17,85</t>
  </si>
  <si>
    <t>Mar 02 2022 - 3:00am</t>
  </si>
  <si>
    <t>Mar 03 2022 - 1:00am</t>
  </si>
  <si>
    <t>11,30</t>
  </si>
  <si>
    <t>45'4,90'2</t>
  </si>
  <si>
    <t>Mar 03 2022 - 3:00am</t>
  </si>
  <si>
    <t>21,43</t>
  </si>
  <si>
    <t>48,69</t>
  </si>
  <si>
    <t>39,73,79</t>
  </si>
  <si>
    <t>37,78</t>
  </si>
  <si>
    <t>Mar 05 2022 - 1:00am</t>
  </si>
  <si>
    <t>Mar 05 2022 - 3:00am</t>
  </si>
  <si>
    <t>Mar 05 2022 - 11:00pm</t>
  </si>
  <si>
    <t>Mar 06 2022 - 1:06am</t>
  </si>
  <si>
    <t>38,49</t>
  </si>
  <si>
    <t>Mar 06 2022 - 3:00am</t>
  </si>
  <si>
    <t>7,43,78</t>
  </si>
  <si>
    <t>Mar 12 2022 - 1:00am</t>
  </si>
  <si>
    <t>Mar 12 2022 - 3:00am</t>
  </si>
  <si>
    <t>24,59</t>
  </si>
  <si>
    <t>Mar 12 2022 - 3:06am</t>
  </si>
  <si>
    <t>19,41</t>
  </si>
  <si>
    <t>Mar 12 2022 - 11:00pm</t>
  </si>
  <si>
    <t>22,27,72</t>
  </si>
  <si>
    <t>Mar 13 2022 - 1:00am</t>
  </si>
  <si>
    <t>29,70</t>
  </si>
  <si>
    <t>Mar 13 2022 - 3:00am</t>
  </si>
  <si>
    <t>Mar 13 2022 - 6:00pm</t>
  </si>
  <si>
    <t>12,70,85</t>
  </si>
  <si>
    <t>Mar 13 2022 - 11:00pm</t>
  </si>
  <si>
    <t>41,90'6</t>
  </si>
  <si>
    <t>Mar 14 2022 - 1:00am</t>
  </si>
  <si>
    <t>41,70,85,90'3</t>
  </si>
  <si>
    <t>Mar 16 2022 - 3:06am</t>
  </si>
  <si>
    <t>48,64,90'1</t>
  </si>
  <si>
    <t>Mar 18 2022 - 3:05am</t>
  </si>
  <si>
    <t>61,77</t>
  </si>
  <si>
    <t>Estadio Generalísimo José María Morelos y Pavón (Morelia)</t>
  </si>
  <si>
    <t>Mar 19 2022 - 3:00am</t>
  </si>
  <si>
    <t>57,74</t>
  </si>
  <si>
    <t>78,80</t>
  </si>
  <si>
    <t>Mar 19 2022 - 11:00pm</t>
  </si>
  <si>
    <t>20,28,61</t>
  </si>
  <si>
    <t>Mar 20 2022 - 1:00am</t>
  </si>
  <si>
    <t>69,76</t>
  </si>
  <si>
    <t>Mar 20 2022 - 3:00am</t>
  </si>
  <si>
    <t>Mar 20 2022 - 11:00pm</t>
  </si>
  <si>
    <t>7,15,18</t>
  </si>
  <si>
    <t>Mar 21 2022 - 1:00am</t>
  </si>
  <si>
    <t>Mar 21 2022 - 3:00am</t>
  </si>
  <si>
    <t>40,45</t>
  </si>
  <si>
    <t>Mar 21 2022 - 3:06am</t>
  </si>
  <si>
    <t>Mar 26 2022 - 11:00pm</t>
  </si>
  <si>
    <t>Apr 02 2022 - 2:00am</t>
  </si>
  <si>
    <t>Apr 02 2022 - 11:00pm</t>
  </si>
  <si>
    <t>Apr 03 2022 - 1:00am</t>
  </si>
  <si>
    <t>Apr 03 2022 - 3:00am</t>
  </si>
  <si>
    <t>Apr 03 2022 - 5:00pm</t>
  </si>
  <si>
    <t>18,45</t>
  </si>
  <si>
    <t>Apr 03 2022 - 10:00pm</t>
  </si>
  <si>
    <t>Apr 04 2022 - 12:00am</t>
  </si>
  <si>
    <t>59,74</t>
  </si>
  <si>
    <t>42,51,75</t>
  </si>
  <si>
    <t>Apr 07 2022 - 12:00am</t>
  </si>
  <si>
    <t>30,90'10</t>
  </si>
  <si>
    <t>13,36</t>
  </si>
  <si>
    <t>Apr 07 2022 - 2:06am</t>
  </si>
  <si>
    <t>Jesus Rafael Lopez Valle</t>
  </si>
  <si>
    <t>Apr 08 2022 - 12:00am</t>
  </si>
  <si>
    <t>55,86</t>
  </si>
  <si>
    <t>Apr 08 2022 - 2:00am</t>
  </si>
  <si>
    <t>43,72</t>
  </si>
  <si>
    <t>Apr 09 2022 - 12:00am</t>
  </si>
  <si>
    <t>12,42</t>
  </si>
  <si>
    <t>45'1,86</t>
  </si>
  <si>
    <t>Apr 09 2022 - 2:00am</t>
  </si>
  <si>
    <t>Apr 09 2022 - 10:00pm</t>
  </si>
  <si>
    <t>14,72</t>
  </si>
  <si>
    <t>Apr 10 2022 - 12:00am</t>
  </si>
  <si>
    <t>Apr 10 2022 - 12:06am</t>
  </si>
  <si>
    <t>Apr 10 2022 - 2:00am</t>
  </si>
  <si>
    <t>27,30,90'2</t>
  </si>
  <si>
    <t>Apr 11 2022 - 12:00am</t>
  </si>
  <si>
    <t>Apr 12 2022 - 2:00am</t>
  </si>
  <si>
    <t>Apr 14 2022 - 1:05am</t>
  </si>
  <si>
    <t>45'3,59,69</t>
  </si>
  <si>
    <t>Apr 15 2022 - 2:00am</t>
  </si>
  <si>
    <t>31,43</t>
  </si>
  <si>
    <t>Apr 16 2022 - 12:00am</t>
  </si>
  <si>
    <t>20,42,45,52</t>
  </si>
  <si>
    <t>34,81</t>
  </si>
  <si>
    <t>Apr 16 2022 - 2:00am</t>
  </si>
  <si>
    <t>23,65</t>
  </si>
  <si>
    <t>Apr 16 2022 - 2:06am</t>
  </si>
  <si>
    <t>7,10,84</t>
  </si>
  <si>
    <t>Apr 16 2022 - 10:00pm</t>
  </si>
  <si>
    <t>Apr 17 2022 - 12:00am</t>
  </si>
  <si>
    <t>58,67,71</t>
  </si>
  <si>
    <t>Apr 17 2022 - 2:00am</t>
  </si>
  <si>
    <t>Apr 17 2022 - 5:00pm</t>
  </si>
  <si>
    <t>Apr 20 2022 - 12:00am</t>
  </si>
  <si>
    <t>7,25</t>
  </si>
  <si>
    <t>Apr 20 2022 - 2:00am</t>
  </si>
  <si>
    <t>38,54</t>
  </si>
  <si>
    <t>Apr 21 2022 - 12:00am</t>
  </si>
  <si>
    <t>13,71</t>
  </si>
  <si>
    <t>Apr 21 2022 - 2:00am</t>
  </si>
  <si>
    <t>8,66</t>
  </si>
  <si>
    <t>Apr 21 2022 - 2:06am</t>
  </si>
  <si>
    <t>Apr 22 2022 - 2:00am</t>
  </si>
  <si>
    <t>Apr 23 2022 - 12:00am</t>
  </si>
  <si>
    <t>Apr 23 2022 - 2:00am</t>
  </si>
  <si>
    <t>21,46</t>
  </si>
  <si>
    <t>Apr 23 2022 - 10:00pm</t>
  </si>
  <si>
    <t>17,71,75</t>
  </si>
  <si>
    <t>Apr 24 2022 - 12:00am</t>
  </si>
  <si>
    <t>32,90'2</t>
  </si>
  <si>
    <t>Apr 24 2022 - 2:00am</t>
  </si>
  <si>
    <t>11,45,61</t>
  </si>
  <si>
    <t>Apr 24 2022 - 5:00pm</t>
  </si>
  <si>
    <t>4,89</t>
  </si>
  <si>
    <t>8,45'1,59,90'7</t>
  </si>
  <si>
    <t>Apr 24 2022 - 10:00pm</t>
  </si>
  <si>
    <t>45'2</t>
  </si>
  <si>
    <t>Apr 25 2022 - 12:00am</t>
  </si>
  <si>
    <t>Apr 25 2022 - 2:06am</t>
  </si>
  <si>
    <t>6,23</t>
  </si>
  <si>
    <t>77,90'3</t>
  </si>
  <si>
    <t>Apr 30 2022 - 12:00am</t>
  </si>
  <si>
    <t>Apr 30 2022 - 2:05am</t>
  </si>
  <si>
    <t>47,57</t>
  </si>
  <si>
    <t>Apr 30 2022 - 10:00pm</t>
  </si>
  <si>
    <t>13,25,80,83</t>
  </si>
  <si>
    <t>May 01 2022 - 12:00am</t>
  </si>
  <si>
    <t>90'2</t>
  </si>
  <si>
    <t>May 01 2022 - 12:06am</t>
  </si>
  <si>
    <t>17,80</t>
  </si>
  <si>
    <t>May 01 2022 - 2:00am</t>
  </si>
  <si>
    <t>May 01 2022 - 5:00pm</t>
  </si>
  <si>
    <t>65,70</t>
  </si>
  <si>
    <t>May 01 2022 - 9:00pm</t>
  </si>
  <si>
    <t>52,62,89</t>
  </si>
  <si>
    <t>May 02 2022 - 1:06am</t>
  </si>
  <si>
    <t>18,23,37,90'1</t>
  </si>
  <si>
    <t>14,26,33,57</t>
  </si>
  <si>
    <t>May 07 2022 - 10:45pm</t>
  </si>
  <si>
    <t>May 08 2022 - 1:06am</t>
  </si>
  <si>
    <t>18,90'6</t>
  </si>
  <si>
    <t>47,53</t>
  </si>
  <si>
    <t>May 08 2022 - 10:00pm</t>
  </si>
  <si>
    <t>4,14</t>
  </si>
  <si>
    <t>37,90'1</t>
  </si>
  <si>
    <t>May 09 2022 - 12:15am</t>
  </si>
  <si>
    <t>12,51,87,89</t>
  </si>
  <si>
    <t>May 12 2022 - 12:00am</t>
  </si>
  <si>
    <t>25,90'4</t>
  </si>
  <si>
    <t>5,77</t>
  </si>
  <si>
    <t>May 12 2022 - 2:05am</t>
  </si>
  <si>
    <t>May 13 2022 - 12:00am</t>
  </si>
  <si>
    <t>May 13 2022 - 2:05am</t>
  </si>
  <si>
    <t>28,44</t>
  </si>
  <si>
    <t>May 14 2022 - 11:00pm</t>
  </si>
  <si>
    <t>42,58,73</t>
  </si>
  <si>
    <t>45'2,90'7</t>
  </si>
  <si>
    <t>May 15 2022 - 1:05am</t>
  </si>
  <si>
    <t>47,69,90'6</t>
  </si>
  <si>
    <t>52,90'3</t>
  </si>
  <si>
    <t>May 15 2022 - 11:00pm</t>
  </si>
  <si>
    <t>May 16 2022 - 1:05am</t>
  </si>
  <si>
    <t>May 19 2022 - 2:00am</t>
  </si>
  <si>
    <t>40,60,90</t>
  </si>
  <si>
    <t>May 20 2022 - 1:00am</t>
  </si>
  <si>
    <t>May 22 2022 - 1:00am</t>
  </si>
  <si>
    <t>54,59,74,81</t>
  </si>
  <si>
    <t>45,90'10</t>
  </si>
  <si>
    <t>May 25 2022 - 10:00pm</t>
  </si>
  <si>
    <t>incomplete</t>
  </si>
  <si>
    <t>May 28 2022 - 10:00pm</t>
  </si>
  <si>
    <t>Torneo</t>
  </si>
  <si>
    <t>C2022</t>
  </si>
  <si>
    <t>A2021</t>
  </si>
  <si>
    <t>Jul 25 2020 - 12:30am</t>
  </si>
  <si>
    <t>13,39,78</t>
  </si>
  <si>
    <t>Jul 26 2020 - 12:00am</t>
  </si>
  <si>
    <t>Jul 26 2020 - 2:00am</t>
  </si>
  <si>
    <t>44,72</t>
  </si>
  <si>
    <t>12,50,90'5</t>
  </si>
  <si>
    <t>Jul 26 2020 - 5:00pm</t>
  </si>
  <si>
    <t>44,67,81</t>
  </si>
  <si>
    <t>61,73</t>
  </si>
  <si>
    <t>Jul 27 2020 - 11:00pm</t>
  </si>
  <si>
    <t>Jul 28 2020 - 1:00am</t>
  </si>
  <si>
    <t>63,90</t>
  </si>
  <si>
    <t>Jul 28 2020 - 3:00am</t>
  </si>
  <si>
    <t>10,55,89,90'2</t>
  </si>
  <si>
    <t>Jul 29 2020 - 12:00am</t>
  </si>
  <si>
    <t>20,29,85</t>
  </si>
  <si>
    <t>Estadio BBVA Bancomer (Guadalupe)</t>
  </si>
  <si>
    <t>Aug 01 2020 - 12:30am</t>
  </si>
  <si>
    <t>Aug 01 2020 - 2:30am</t>
  </si>
  <si>
    <t>Aug 02 2020 - 12:00am</t>
  </si>
  <si>
    <t>Aug 02 2020 - 2:00am</t>
  </si>
  <si>
    <t>37,57,79,84</t>
  </si>
  <si>
    <t>Aug 02 2020 - 5:00pm</t>
  </si>
  <si>
    <t>7,28,49</t>
  </si>
  <si>
    <t>12,59</t>
  </si>
  <si>
    <t>Aug 02 2020 - 10:00pm</t>
  </si>
  <si>
    <t>Aug 03 2020 - 12:06am</t>
  </si>
  <si>
    <t>6,53</t>
  </si>
  <si>
    <t>Aug 04 2020 - 12:00am</t>
  </si>
  <si>
    <t>42,89</t>
  </si>
  <si>
    <t>Aug 04 2020 - 2:50am</t>
  </si>
  <si>
    <t>Aug 07 2020 - 12:00am</t>
  </si>
  <si>
    <t>Aug 07 2020 - 2:06am</t>
  </si>
  <si>
    <t>Aug 08 2020 - 12:30am</t>
  </si>
  <si>
    <t>Aug 08 2020 - 2:30am</t>
  </si>
  <si>
    <t>15,30</t>
  </si>
  <si>
    <t>Aug 09 2020 - 12:00am</t>
  </si>
  <si>
    <t>4,90</t>
  </si>
  <si>
    <t>Aug 09 2020 - 12:06am</t>
  </si>
  <si>
    <t>9,90</t>
  </si>
  <si>
    <t>24,76</t>
  </si>
  <si>
    <t>Aug 09 2020 - 2:00am</t>
  </si>
  <si>
    <t>Aug 09 2020 - 5:00pm</t>
  </si>
  <si>
    <t>Aug 10 2020 - 12:00am</t>
  </si>
  <si>
    <t>Aug 11 2020 - 10:00pm</t>
  </si>
  <si>
    <t>Aug 12 2020 - 12:00am</t>
  </si>
  <si>
    <t>Aug 12 2020 - 2:00am</t>
  </si>
  <si>
    <t>6,8</t>
  </si>
  <si>
    <t>Aug 12 2020 - 10:00pm</t>
  </si>
  <si>
    <t>Aug 13 2020 - 12:00am</t>
  </si>
  <si>
    <t>56,66</t>
  </si>
  <si>
    <t>Aug 13 2020 - 2:00am</t>
  </si>
  <si>
    <t>Aug 13 2020 - 2:06am</t>
  </si>
  <si>
    <t>25,51</t>
  </si>
  <si>
    <t>Aug 14 2020 - 12:00am</t>
  </si>
  <si>
    <t>22,57</t>
  </si>
  <si>
    <t>Aug 14 2020 - 2:00am</t>
  </si>
  <si>
    <t>17,29,31</t>
  </si>
  <si>
    <t>Aug 15 2020 - 2:30am</t>
  </si>
  <si>
    <t>Aug 15 2020 - 10:00pm</t>
  </si>
  <si>
    <t>61,79</t>
  </si>
  <si>
    <t>Aug 16 2020 - 12:00am</t>
  </si>
  <si>
    <t>33,48,62</t>
  </si>
  <si>
    <t>1,87</t>
  </si>
  <si>
    <t>Aug 16 2020 - 2:00am</t>
  </si>
  <si>
    <t>Aug 16 2020 - 2:06am</t>
  </si>
  <si>
    <t>Aug 16 2020 - 5:00pm</t>
  </si>
  <si>
    <t>44,57,90'3</t>
  </si>
  <si>
    <t>40,72</t>
  </si>
  <si>
    <t>Aug 17 2020 - 12:06am</t>
  </si>
  <si>
    <t>Aug 17 2020 - 2:00am</t>
  </si>
  <si>
    <t>34,61,67,90'2</t>
  </si>
  <si>
    <t>Aug 18 2020 - 2:00am</t>
  </si>
  <si>
    <t>56,75</t>
  </si>
  <si>
    <t>45'4</t>
  </si>
  <si>
    <t>Aug 22 2020 - 12:30am</t>
  </si>
  <si>
    <t>61,66</t>
  </si>
  <si>
    <t>Aug 22 2020 - 2:30am</t>
  </si>
  <si>
    <t>Aug 22 2020 - 10:00pm</t>
  </si>
  <si>
    <t>Aug 23 2020 - 12:00am</t>
  </si>
  <si>
    <t>Aug 23 2020 - 2:00am</t>
  </si>
  <si>
    <t>27,34,79</t>
  </si>
  <si>
    <t>Aug 23 2020 - 10:30pm</t>
  </si>
  <si>
    <t>Aug 24 2020 - 12:35am</t>
  </si>
  <si>
    <t>23,38,85</t>
  </si>
  <si>
    <t>Aug 24 2020 - 2:06am</t>
  </si>
  <si>
    <t>Aug 25 2020 - 2:05am</t>
  </si>
  <si>
    <t>16,21,67,90'2</t>
  </si>
  <si>
    <t>37,48,86</t>
  </si>
  <si>
    <t>Aug 29 2020 - 12:30am</t>
  </si>
  <si>
    <t>31,40,81,90</t>
  </si>
  <si>
    <t>Aug 29 2020 - 2:35am</t>
  </si>
  <si>
    <t>Aug 30 2020 - 12:00am</t>
  </si>
  <si>
    <t>31,49</t>
  </si>
  <si>
    <t>Aug 30 2020 - 2:00am</t>
  </si>
  <si>
    <t>36,51,59</t>
  </si>
  <si>
    <t>Aug 30 2020 - 5:00pm</t>
  </si>
  <si>
    <t>38,57,90'6</t>
  </si>
  <si>
    <t>Aug 31 2020 - 12:06am</t>
  </si>
  <si>
    <t>14,67</t>
  </si>
  <si>
    <t>Aug 31 2020 - 2:06am</t>
  </si>
  <si>
    <t>50,59</t>
  </si>
  <si>
    <t>Sep 01 2020 - 2:05am</t>
  </si>
  <si>
    <t>35,38</t>
  </si>
  <si>
    <t>Sep 03 2020 - 1:00am</t>
  </si>
  <si>
    <t>47,54,57</t>
  </si>
  <si>
    <t>Sep 04 2020 - 12:00am</t>
  </si>
  <si>
    <t>13,20,52,69</t>
  </si>
  <si>
    <t>Sep 04 2020 - 2:00am</t>
  </si>
  <si>
    <t>18,32,62</t>
  </si>
  <si>
    <t>Sep 05 2020 - 12:30am</t>
  </si>
  <si>
    <t>41,51</t>
  </si>
  <si>
    <t>Sep 05 2020 - 2:06am</t>
  </si>
  <si>
    <t>3,54</t>
  </si>
  <si>
    <t>Sep 05 2020 - 2:30am</t>
  </si>
  <si>
    <t>Sep 05 2020 - 10:00pm</t>
  </si>
  <si>
    <t>32,36,58,63</t>
  </si>
  <si>
    <t>Sep 06 2020 - 12:00am</t>
  </si>
  <si>
    <t>Sep 06 2020 - 2:00am</t>
  </si>
  <si>
    <t>21,54,90'3</t>
  </si>
  <si>
    <t>Sep 08 2020 - 10:00pm</t>
  </si>
  <si>
    <t>75,84</t>
  </si>
  <si>
    <t>Sep 09 2020 - 12:00am</t>
  </si>
  <si>
    <t>Sep 09 2020 - 12:06am</t>
  </si>
  <si>
    <t>Sep 09 2020 - 2:00am</t>
  </si>
  <si>
    <t>17,30</t>
  </si>
  <si>
    <t>52,56,65</t>
  </si>
  <si>
    <t>Sep 09 2020 - 10:00pm</t>
  </si>
  <si>
    <t>Sep 10 2020 - 12:00am</t>
  </si>
  <si>
    <t>Sep 10 2020 - 2:00am</t>
  </si>
  <si>
    <t>Sep 10 2020 - 2:06am</t>
  </si>
  <si>
    <t>29,50</t>
  </si>
  <si>
    <t>Sep 12 2020 - 12:30am</t>
  </si>
  <si>
    <t>67,90'4</t>
  </si>
  <si>
    <t>Sep 12 2020 - 2:30am</t>
  </si>
  <si>
    <t>Sep 12 2020 - 10:00pm</t>
  </si>
  <si>
    <t>Sep 13 2020 - 12:00am</t>
  </si>
  <si>
    <t>14,90'4</t>
  </si>
  <si>
    <t>Sep 13 2020 - 2:00am</t>
  </si>
  <si>
    <t>Sep 13 2020 - 5:00pm</t>
  </si>
  <si>
    <t>14,53,84</t>
  </si>
  <si>
    <t>Sep 14 2020 - 12:00am</t>
  </si>
  <si>
    <t>68,72</t>
  </si>
  <si>
    <t>19,76,80</t>
  </si>
  <si>
    <t>Sep 14 2020 - 2:06am</t>
  </si>
  <si>
    <t>48,82</t>
  </si>
  <si>
    <t>Sep 15 2020 - 2:00am</t>
  </si>
  <si>
    <t>Sep 19 2020 - 12:30am</t>
  </si>
  <si>
    <t>Sep 19 2020 - 2:30am</t>
  </si>
  <si>
    <t>1,90'5</t>
  </si>
  <si>
    <t>15,50,79</t>
  </si>
  <si>
    <t>Sep 19 2020 - 10:00pm</t>
  </si>
  <si>
    <t>Sep 20 2020 - 12:00am</t>
  </si>
  <si>
    <t>52,66,83</t>
  </si>
  <si>
    <t>Sep 20 2020 - 2:00am</t>
  </si>
  <si>
    <t>Sep 20 2020 - 5:00pm</t>
  </si>
  <si>
    <t>40,53</t>
  </si>
  <si>
    <t>Sep 21 2020 - 12:00am</t>
  </si>
  <si>
    <t>19,45'2</t>
  </si>
  <si>
    <t>Sep 22 2020 - 2:00am</t>
  </si>
  <si>
    <t>45'2,78</t>
  </si>
  <si>
    <t>Sep 25 2020 - 2:00am</t>
  </si>
  <si>
    <t>Sep 26 2020 - 12:30am</t>
  </si>
  <si>
    <t>27,68,90'1</t>
  </si>
  <si>
    <t>28,45'1,46</t>
  </si>
  <si>
    <t>Sep 26 2020 - 2:30am</t>
  </si>
  <si>
    <t>Sep 26 2020 - 10:00pm</t>
  </si>
  <si>
    <t>13,33</t>
  </si>
  <si>
    <t>Sep 27 2020 - 12:00am</t>
  </si>
  <si>
    <t>Sep 27 2020 - 2:06am</t>
  </si>
  <si>
    <t>24,79</t>
  </si>
  <si>
    <t>Sep 27 2020 - 10:00pm</t>
  </si>
  <si>
    <t>Sep 28 2020 - 1:45am</t>
  </si>
  <si>
    <t>Oct 01 2020 - 12:06am</t>
  </si>
  <si>
    <t>16,79</t>
  </si>
  <si>
    <t>Oct 03 2020 - 12:30am</t>
  </si>
  <si>
    <t>32,42</t>
  </si>
  <si>
    <t>Oct 03 2020 - 2:30am</t>
  </si>
  <si>
    <t>83,90'6</t>
  </si>
  <si>
    <t>Oct 03 2020 - 10:00pm</t>
  </si>
  <si>
    <t>Oct 04 2020 - 12:00am</t>
  </si>
  <si>
    <t>61,70,90'3</t>
  </si>
  <si>
    <t>Oct 04 2020 - 2:00am</t>
  </si>
  <si>
    <t>39,81</t>
  </si>
  <si>
    <t>28,55</t>
  </si>
  <si>
    <t>Oct 04 2020 - 5:00pm</t>
  </si>
  <si>
    <t>24,49</t>
  </si>
  <si>
    <t>Oct 04 2020 - 10:00pm</t>
  </si>
  <si>
    <t>Oct 05 2020 - 12:00am</t>
  </si>
  <si>
    <t>72,87</t>
  </si>
  <si>
    <t>Oct 05 2020 - 2:06am</t>
  </si>
  <si>
    <t>Oct 12 2020 - 12:06am</t>
  </si>
  <si>
    <t>23,36</t>
  </si>
  <si>
    <t>Oct 16 2020 - 2:00am</t>
  </si>
  <si>
    <t>27,83</t>
  </si>
  <si>
    <t>Oct 17 2020 - 12:30am</t>
  </si>
  <si>
    <t>4,81</t>
  </si>
  <si>
    <t>Oct 17 2020 - 2:30am</t>
  </si>
  <si>
    <t>5,9,34</t>
  </si>
  <si>
    <t>40,80</t>
  </si>
  <si>
    <t>Oct 17 2020 - 10:06pm</t>
  </si>
  <si>
    <t>5,34,49</t>
  </si>
  <si>
    <t>Oct 18 2020 - 12:00am</t>
  </si>
  <si>
    <t>36,41,85</t>
  </si>
  <si>
    <t>87,90'6</t>
  </si>
  <si>
    <t>Oct 18 2020 - 2:00am</t>
  </si>
  <si>
    <t>69,78</t>
  </si>
  <si>
    <t>Oct 18 2020 - 5:00pm</t>
  </si>
  <si>
    <t>Oct 19 2020 - 12:06am</t>
  </si>
  <si>
    <t>Oct 20 2020 - 2:00am</t>
  </si>
  <si>
    <t>24,45'3,52</t>
  </si>
  <si>
    <t>36,41</t>
  </si>
  <si>
    <t>Oct 24 2020 - 12:30am</t>
  </si>
  <si>
    <t>53,69</t>
  </si>
  <si>
    <t>Oct 24 2020 - 10:00pm</t>
  </si>
  <si>
    <t>Oct 25 2020 - 1:00am</t>
  </si>
  <si>
    <t>Oct 25 2020 - 2:00am</t>
  </si>
  <si>
    <t>3,41</t>
  </si>
  <si>
    <t>Oct 25 2020 - 6:00pm</t>
  </si>
  <si>
    <t>8,16</t>
  </si>
  <si>
    <t>Oct 25 2020 - 11:30pm</t>
  </si>
  <si>
    <t>41,90'2</t>
  </si>
  <si>
    <t>Oct 26 2020 - 1:06am</t>
  </si>
  <si>
    <t>25,52</t>
  </si>
  <si>
    <t>Oct 27 2020 - 3:00am</t>
  </si>
  <si>
    <t>Oct 30 2020 - 3:00am</t>
  </si>
  <si>
    <t>5,12,18,28,42</t>
  </si>
  <si>
    <t>Oct 31 2020 - 1:30am</t>
  </si>
  <si>
    <t>31,61,90'1</t>
  </si>
  <si>
    <t>18,72</t>
  </si>
  <si>
    <t>Oct 31 2020 - 3:06am</t>
  </si>
  <si>
    <t>36,73</t>
  </si>
  <si>
    <t>Oct 31 2020 - 3:30am</t>
  </si>
  <si>
    <t>Oct 31 2020 - 11:00pm</t>
  </si>
  <si>
    <t>Nov 01 2020 - 1:00am</t>
  </si>
  <si>
    <t>18,79</t>
  </si>
  <si>
    <t>6,38</t>
  </si>
  <si>
    <t>Nov 01 2020 - 3:06am</t>
  </si>
  <si>
    <t>Nov 01 2020 - 11:30pm</t>
  </si>
  <si>
    <t>42,86,90'5</t>
  </si>
  <si>
    <t>Nov 03 2020 - 3:00am</t>
  </si>
  <si>
    <t>52,71</t>
  </si>
  <si>
    <t>Nov 07 2020 - 1:30am</t>
  </si>
  <si>
    <t>Nov 07 2020 - 3:30am</t>
  </si>
  <si>
    <t>Nov 07 2020 - 11:00pm</t>
  </si>
  <si>
    <t>81,84,90'4</t>
  </si>
  <si>
    <t>Nov 08 2020 - 1:00am</t>
  </si>
  <si>
    <t>Nov 08 2020 - 3:00am</t>
  </si>
  <si>
    <t>86,90</t>
  </si>
  <si>
    <t>Nov 08 2020 - 6:00pm</t>
  </si>
  <si>
    <t>38,69</t>
  </si>
  <si>
    <t>31,73</t>
  </si>
  <si>
    <t>Nov 09 2020 - 1:06am</t>
  </si>
  <si>
    <t>50,59,86,90'3</t>
  </si>
  <si>
    <t>Nov 09 2020 - 3:06am</t>
  </si>
  <si>
    <t>9,51</t>
  </si>
  <si>
    <t>55,58</t>
  </si>
  <si>
    <t>Nov 22 2020 - 1:00am</t>
  </si>
  <si>
    <t>36,55,85</t>
  </si>
  <si>
    <t>Nov 22 2020 - 3:10am</t>
  </si>
  <si>
    <t>Nov 23 2020 - 1:00am</t>
  </si>
  <si>
    <t>Nov 23 2020 - 3:10am</t>
  </si>
  <si>
    <t>44,50</t>
  </si>
  <si>
    <t>61,90</t>
  </si>
  <si>
    <t>Nov 26 2020 - 1:00am</t>
  </si>
  <si>
    <t>1,37</t>
  </si>
  <si>
    <t>Nov 26 2020 - 3:06am</t>
  </si>
  <si>
    <t>Nov 27 2020 - 1:00am</t>
  </si>
  <si>
    <t>30,54,71</t>
  </si>
  <si>
    <t>Nov 27 2020 - 3:06am</t>
  </si>
  <si>
    <t>Nov 29 2020 - 1:00am</t>
  </si>
  <si>
    <t>5,30</t>
  </si>
  <si>
    <t>Nov 29 2020 - 3:06am</t>
  </si>
  <si>
    <t>31,72</t>
  </si>
  <si>
    <t>Nov 29 2020 - 6:00pm</t>
  </si>
  <si>
    <t>Nov 30 2020 - 12:30am</t>
  </si>
  <si>
    <t>Dec 03 2020 - 3:05am</t>
  </si>
  <si>
    <t>Dec 04 2020 - 3:00am</t>
  </si>
  <si>
    <t>2,8,13,90'5</t>
  </si>
  <si>
    <t>Dec 06 2020 - 3:00am</t>
  </si>
  <si>
    <t>Dec 07 2020 - 12:30am</t>
  </si>
  <si>
    <t>4,37,41,89</t>
  </si>
  <si>
    <t>Dec 11 2020 - 3:00am</t>
  </si>
  <si>
    <t>Dec 14 2020 - 2:30am</t>
  </si>
  <si>
    <t>12,83</t>
  </si>
  <si>
    <t>Jan 09 2021 - 1:30am</t>
  </si>
  <si>
    <t>Jan 09 2021 - 3:06am</t>
  </si>
  <si>
    <t>Jan 09 2021 - 3:30am</t>
  </si>
  <si>
    <t>28,31,71</t>
  </si>
  <si>
    <t>43,64</t>
  </si>
  <si>
    <t>Jan 09 2021 - 11:00pm</t>
  </si>
  <si>
    <t>1,45'2</t>
  </si>
  <si>
    <t>Jan 10 2021 - 1:00am</t>
  </si>
  <si>
    <t>40,68</t>
  </si>
  <si>
    <t>Jan 10 2021 - 3:00am</t>
  </si>
  <si>
    <t>26,89</t>
  </si>
  <si>
    <t>Jan 10 2021 - 6:00pm</t>
  </si>
  <si>
    <t>Adalid Maganda Villalva</t>
  </si>
  <si>
    <t>31,32,63</t>
  </si>
  <si>
    <t>Jan 11 2021 - 1:06am</t>
  </si>
  <si>
    <t>Jan 12 2021 - 3:00am</t>
  </si>
  <si>
    <t>Jan 16 2021 - 1:30am</t>
  </si>
  <si>
    <t>Jan 16 2021 - 3:30am</t>
  </si>
  <si>
    <t>Jan 16 2021 - 11:00pm</t>
  </si>
  <si>
    <t>Jan 17 2021 - 1:00am</t>
  </si>
  <si>
    <t>Jan 17 2021 - 3:06am</t>
  </si>
  <si>
    <t>Jan 17 2021 - 6:00pm</t>
  </si>
  <si>
    <t>11,61,70</t>
  </si>
  <si>
    <t>Jan 18 2021 - 1:06am</t>
  </si>
  <si>
    <t>74,80</t>
  </si>
  <si>
    <t>Jan 18 2021 - 3:06am</t>
  </si>
  <si>
    <t>Jan 19 2021 - 3:00am</t>
  </si>
  <si>
    <t>Jan 22 2021 - 3:00am</t>
  </si>
  <si>
    <t>7,28,62</t>
  </si>
  <si>
    <t>Jan 23 2021 - 1:30am</t>
  </si>
  <si>
    <t>Jan 23 2021 - 3:30am</t>
  </si>
  <si>
    <t>Jan 24 2021 - 1:00am</t>
  </si>
  <si>
    <t>17,90'1</t>
  </si>
  <si>
    <t>Jan 24 2021 - 6:00pm</t>
  </si>
  <si>
    <t>27,90'4</t>
  </si>
  <si>
    <t>Jan 25 2021 - 1:00am</t>
  </si>
  <si>
    <t>22,44</t>
  </si>
  <si>
    <t>Jan 26 2021 - 3:00am</t>
  </si>
  <si>
    <t>Jan 27 2021 - 2:30am</t>
  </si>
  <si>
    <t>29,74</t>
  </si>
  <si>
    <t>Jan 29 2021 - 3:00am</t>
  </si>
  <si>
    <t>Jan 30 2021 - 3:30am</t>
  </si>
  <si>
    <t>Jan 31 2021 - 1:00am</t>
  </si>
  <si>
    <t>10,29</t>
  </si>
  <si>
    <t>Jan 31 2021 - 3:00am</t>
  </si>
  <si>
    <t>23,36,44,74</t>
  </si>
  <si>
    <t>Jan 31 2021 - 3:06am</t>
  </si>
  <si>
    <t>13,21,24</t>
  </si>
  <si>
    <t>37,53</t>
  </si>
  <si>
    <t>Jan 31 2021 - 6:00pm</t>
  </si>
  <si>
    <t>Feb 01 2021 - 1:06am</t>
  </si>
  <si>
    <t>Feb 02 2021 - 3:00am</t>
  </si>
  <si>
    <t>62,78,88</t>
  </si>
  <si>
    <t>Feb 03 2021 - 3:00am</t>
  </si>
  <si>
    <t>Feb 05 2021 - 1:00am</t>
  </si>
  <si>
    <t>3,90'5</t>
  </si>
  <si>
    <t>22,32</t>
  </si>
  <si>
    <t>Feb 05 2021 - 3:00am</t>
  </si>
  <si>
    <t>26,29,58</t>
  </si>
  <si>
    <t>Feb 06 2021 - 3:30am</t>
  </si>
  <si>
    <t>3,26</t>
  </si>
  <si>
    <t>Feb 06 2021 - 11:00pm</t>
  </si>
  <si>
    <t>Feb 07 2021 - 1:00am</t>
  </si>
  <si>
    <t>Feb 07 2021 - 3:06am</t>
  </si>
  <si>
    <t>Feb 07 2021 - 6:00pm</t>
  </si>
  <si>
    <t>19,30,35,87</t>
  </si>
  <si>
    <t>Feb 09 2021 - 3:00am</t>
  </si>
  <si>
    <t>23,45'1,84</t>
  </si>
  <si>
    <t>Feb 13 2021 - 1:30am</t>
  </si>
  <si>
    <t>5,43,51,70</t>
  </si>
  <si>
    <t>Feb 13 2021 - 3:06am</t>
  </si>
  <si>
    <t>6,90'5</t>
  </si>
  <si>
    <t>Feb 13 2021 - 3:30am</t>
  </si>
  <si>
    <t>16,38,62</t>
  </si>
  <si>
    <t>Feb 14 2021 - 1:00am</t>
  </si>
  <si>
    <t>45'1,90'4</t>
  </si>
  <si>
    <t>39,53</t>
  </si>
  <si>
    <t>Feb 14 2021 - 3:00am</t>
  </si>
  <si>
    <t>26,84</t>
  </si>
  <si>
    <t>Feb 14 2021 - 6:00pm</t>
  </si>
  <si>
    <t>Feb 15 2021 - 1:06am</t>
  </si>
  <si>
    <t>Feb 16 2021 - 3:00am</t>
  </si>
  <si>
    <t>Feb 18 2021 - 3:00am</t>
  </si>
  <si>
    <t>5,90'3</t>
  </si>
  <si>
    <t>Feb 19 2021 - 3:00am</t>
  </si>
  <si>
    <t>Feb 20 2021 - 1:30am</t>
  </si>
  <si>
    <t>Feb 20 2021 - 3:30am</t>
  </si>
  <si>
    <t>Feb 21 2021 - 1:00am</t>
  </si>
  <si>
    <t>6,27,63</t>
  </si>
  <si>
    <t>44,45'2</t>
  </si>
  <si>
    <t>Feb 21 2021 - 3:00am</t>
  </si>
  <si>
    <t>39,90'4</t>
  </si>
  <si>
    <t>Feb 21 2021 - 6:00pm</t>
  </si>
  <si>
    <t>Feb 21 2021 - 11:00pm</t>
  </si>
  <si>
    <t>Feb 22 2021 - 1:00am</t>
  </si>
  <si>
    <t>3,15,52</t>
  </si>
  <si>
    <t>90,90'3</t>
  </si>
  <si>
    <t>Feb 23 2021 - 3:00am</t>
  </si>
  <si>
    <t>Feb 26 2021 - 3:00am</t>
  </si>
  <si>
    <t>25,90'3</t>
  </si>
  <si>
    <t>34,61</t>
  </si>
  <si>
    <t>Feb 27 2021 - 1:30am</t>
  </si>
  <si>
    <t>Feb 27 2021 - 3:30am</t>
  </si>
  <si>
    <t>18,35,80</t>
  </si>
  <si>
    <t>Feb 27 2021 - 11:00pm</t>
  </si>
  <si>
    <t>Feb 28 2021 - 1:00am</t>
  </si>
  <si>
    <t>29,42</t>
  </si>
  <si>
    <t>Feb 28 2021 - 3:00am</t>
  </si>
  <si>
    <t>Feb 28 2021 - 11:00pm</t>
  </si>
  <si>
    <t>Mar 01 2021 - 1:06am</t>
  </si>
  <si>
    <t>3,30,67</t>
  </si>
  <si>
    <t>76,81</t>
  </si>
  <si>
    <t>Mar 01 2021 - 3:00am</t>
  </si>
  <si>
    <t>28,37</t>
  </si>
  <si>
    <t>Mar 02 2021 - 11:00pm</t>
  </si>
  <si>
    <t>10,60,83</t>
  </si>
  <si>
    <t>Mar 03 2021 - 1:00am</t>
  </si>
  <si>
    <t>Mar 03 2021 - 3:00am</t>
  </si>
  <si>
    <t>85,90'5</t>
  </si>
  <si>
    <t>Mar 04 2021 - 1:00am</t>
  </si>
  <si>
    <t>38,75</t>
  </si>
  <si>
    <t>14,19,46,49,72,83</t>
  </si>
  <si>
    <t>Mar 04 2021 - 3:00am</t>
  </si>
  <si>
    <t>Mar 04 2021 - 3:06am</t>
  </si>
  <si>
    <t>65,83</t>
  </si>
  <si>
    <t>Mar 05 2021 - 1:00am</t>
  </si>
  <si>
    <t>6,49</t>
  </si>
  <si>
    <t>20,85</t>
  </si>
  <si>
    <t>Mar 05 2021 - 3:00am</t>
  </si>
  <si>
    <t>Mar 06 2021 - 1:30am</t>
  </si>
  <si>
    <t>Mar 06 2021 - 3:30am</t>
  </si>
  <si>
    <t>Mar 06 2021 - 11:00pm</t>
  </si>
  <si>
    <t>Mar 07 2021 - 1:00am</t>
  </si>
  <si>
    <t>6,90'2</t>
  </si>
  <si>
    <t>Mar 07 2021 - 1:06am</t>
  </si>
  <si>
    <t>16,21</t>
  </si>
  <si>
    <t>Mar 07 2021 - 3:00am</t>
  </si>
  <si>
    <t>Mar 08 2021 - 1:06am</t>
  </si>
  <si>
    <t>37,53,90'2</t>
  </si>
  <si>
    <t>Mar 08 2021 - 3:00am</t>
  </si>
  <si>
    <t>Mar 09 2021 - 3:00am</t>
  </si>
  <si>
    <t>40,42</t>
  </si>
  <si>
    <t>Mar 11 2021 - 3:00am</t>
  </si>
  <si>
    <t>Mar 13 2021 - 1:30am</t>
  </si>
  <si>
    <t>Mar 13 2021 - 3:30am</t>
  </si>
  <si>
    <t>Mar 14 2021 - 1:00am</t>
  </si>
  <si>
    <t>45'1,64</t>
  </si>
  <si>
    <t>Mar 14 2021 - 3:00am</t>
  </si>
  <si>
    <t>Mar 14 2021 - 3:06am</t>
  </si>
  <si>
    <t>Mar 14 2021 - 6:00pm</t>
  </si>
  <si>
    <t>83,90'2</t>
  </si>
  <si>
    <t>Mar 15 2021 - 12:00am</t>
  </si>
  <si>
    <t>23,45'2</t>
  </si>
  <si>
    <t>Mar 15 2021 - 2:00am</t>
  </si>
  <si>
    <t>45,75,79</t>
  </si>
  <si>
    <t>Mar 16 2021 - 3:00am</t>
  </si>
  <si>
    <t>16,26,66</t>
  </si>
  <si>
    <t>Mar 19 2021 - 2:00am</t>
  </si>
  <si>
    <t>Mar 20 2021 - 1:00am</t>
  </si>
  <si>
    <t>Mar 20 2021 - 3:00am</t>
  </si>
  <si>
    <t>Mar 20 2021 - 11:00pm</t>
  </si>
  <si>
    <t>Mar 21 2021 - 1:00am</t>
  </si>
  <si>
    <t>9,67,79</t>
  </si>
  <si>
    <t>38,90'6</t>
  </si>
  <si>
    <t>Mar 21 2021 - 3:06am</t>
  </si>
  <si>
    <t>2,5,31</t>
  </si>
  <si>
    <t>Mar 21 2021 - 6:00pm</t>
  </si>
  <si>
    <t>33,54,78,88</t>
  </si>
  <si>
    <t>58,61,87,90</t>
  </si>
  <si>
    <t>Mar 22 2021 - 1:06am</t>
  </si>
  <si>
    <t>Apr 03 2021 - 1:30am</t>
  </si>
  <si>
    <t>45'6,64,72</t>
  </si>
  <si>
    <t>Apr 03 2021 - 3:30am</t>
  </si>
  <si>
    <t>Apr 03 2021 - 11:00pm</t>
  </si>
  <si>
    <t>Apr 04 2021 - 1:00am</t>
  </si>
  <si>
    <t>45'2,60</t>
  </si>
  <si>
    <t>Apr 04 2021 - 3:06am</t>
  </si>
  <si>
    <t>74,90'5</t>
  </si>
  <si>
    <t>Apr 04 2021 - 5:00pm</t>
  </si>
  <si>
    <t>36,76</t>
  </si>
  <si>
    <t>Apr 04 2021 - 10:00pm</t>
  </si>
  <si>
    <t>Apr 05 2021 - 12:00am</t>
  </si>
  <si>
    <t>Apr 05 2021 - 2:05am</t>
  </si>
  <si>
    <t>52,73</t>
  </si>
  <si>
    <t>Apr 10 2021 - 12:30am</t>
  </si>
  <si>
    <t>Apr 10 2021 - 2:30am</t>
  </si>
  <si>
    <t>34,63</t>
  </si>
  <si>
    <t>Apr 10 2021 - 10:00pm</t>
  </si>
  <si>
    <t>37,67,90'1</t>
  </si>
  <si>
    <t>Apr 11 2021 - 12:00am</t>
  </si>
  <si>
    <t>Apr 11 2021 - 2:05am</t>
  </si>
  <si>
    <t>6,55,69</t>
  </si>
  <si>
    <t>Apr 11 2021 - 5:00pm</t>
  </si>
  <si>
    <t>51,60</t>
  </si>
  <si>
    <t>Apr 12 2021 - 12:00am</t>
  </si>
  <si>
    <t>Apr 12 2021 - 2:06am</t>
  </si>
  <si>
    <t>5,22</t>
  </si>
  <si>
    <t>45'1,66,90'1</t>
  </si>
  <si>
    <t>Apr 13 2021 - 2:00am</t>
  </si>
  <si>
    <t>2,66,90'6</t>
  </si>
  <si>
    <t>Apr 15 2021 - 2:00am</t>
  </si>
  <si>
    <t>77,80</t>
  </si>
  <si>
    <t>70,86,88</t>
  </si>
  <si>
    <t>Apr 17 2021 - 12:30am</t>
  </si>
  <si>
    <t>Apr 17 2021 - 2:30am</t>
  </si>
  <si>
    <t>Apr 17 2021 - 10:00pm</t>
  </si>
  <si>
    <t>41,60,84,90'4</t>
  </si>
  <si>
    <t>Apr 18 2021 - 12:00am</t>
  </si>
  <si>
    <t>49,80</t>
  </si>
  <si>
    <t>Apr 18 2021 - 2:05am</t>
  </si>
  <si>
    <t>Apr 18 2021 - 5:00pm</t>
  </si>
  <si>
    <t>Apr 19 2021 - 12:00am</t>
  </si>
  <si>
    <t>4,17,53</t>
  </si>
  <si>
    <t>Apr 19 2021 - 2:06am</t>
  </si>
  <si>
    <t>Apr 20 2021 - 2:00am</t>
  </si>
  <si>
    <t>56,90'3</t>
  </si>
  <si>
    <t>Apr 22 2021 - 2:00am</t>
  </si>
  <si>
    <t>27,90</t>
  </si>
  <si>
    <t>Apr 24 2021 - 12:30am</t>
  </si>
  <si>
    <t>Apr 24 2021 - 2:06am</t>
  </si>
  <si>
    <t>Apr 24 2021 - 2:35am</t>
  </si>
  <si>
    <t>43,55,58,73</t>
  </si>
  <si>
    <t>11,29,90'6</t>
  </si>
  <si>
    <t>Apr 24 2021 - 10:00pm</t>
  </si>
  <si>
    <t>2,22,74</t>
  </si>
  <si>
    <t>32,77</t>
  </si>
  <si>
    <t>Apr 25 2021 - 12:00am</t>
  </si>
  <si>
    <t>Apr 25 2021 - 2:10am</t>
  </si>
  <si>
    <t>35,64</t>
  </si>
  <si>
    <t>Apr 25 2021 - 10:30pm</t>
  </si>
  <si>
    <t>8,11,73</t>
  </si>
  <si>
    <t>Apr 26 2021 - 12:30am</t>
  </si>
  <si>
    <t>Apr 27 2021 - 2:00am</t>
  </si>
  <si>
    <t>Apr 30 2021 - 2:00am</t>
  </si>
  <si>
    <t>2,20,59,62,65</t>
  </si>
  <si>
    <t>May 01 2021 - 12:30am</t>
  </si>
  <si>
    <t>23,45,47,88,90'3</t>
  </si>
  <si>
    <t>May 01 2021 - 2:30am</t>
  </si>
  <si>
    <t>May 01 2021 - 10:00pm</t>
  </si>
  <si>
    <t>39,64</t>
  </si>
  <si>
    <t>May 02 2021 - 12:00am</t>
  </si>
  <si>
    <t>May 02 2021 - 2:06am</t>
  </si>
  <si>
    <t>May 03 2021 - 12:06am</t>
  </si>
  <si>
    <t>May 03 2021 - 2:05am</t>
  </si>
  <si>
    <t>May 09 2021 - 12:00am</t>
  </si>
  <si>
    <t>May 09 2021 - 2:15am</t>
  </si>
  <si>
    <t>21,24,49,60,62</t>
  </si>
  <si>
    <t>May 10 2021 - 12:00am</t>
  </si>
  <si>
    <t>45'1,89</t>
  </si>
  <si>
    <t>17,58</t>
  </si>
  <si>
    <t>May 10 2021 - 2:15am</t>
  </si>
  <si>
    <t>51,69,80,89</t>
  </si>
  <si>
    <t>10,90'3</t>
  </si>
  <si>
    <t>May 13 2021 - 12:00am</t>
  </si>
  <si>
    <t>27,52</t>
  </si>
  <si>
    <t>May 13 2021 - 2:05am</t>
  </si>
  <si>
    <t>May 14 2021 - 12:00am</t>
  </si>
  <si>
    <t>29,65,90'4</t>
  </si>
  <si>
    <t>May 14 2021 - 2:05am</t>
  </si>
  <si>
    <t>52,63</t>
  </si>
  <si>
    <t>May 15 2021 - 11:00pm</t>
  </si>
  <si>
    <t>May 16 2021 - 1:05am</t>
  </si>
  <si>
    <t>11,80,90'3</t>
  </si>
  <si>
    <t>May 16 2021 - 11:00pm</t>
  </si>
  <si>
    <t>May 17 2021 - 1:05am</t>
  </si>
  <si>
    <t>17,27,53,73</t>
  </si>
  <si>
    <t>May 20 2021 - 1:30am</t>
  </si>
  <si>
    <t>May 21 2021 - 2:00am</t>
  </si>
  <si>
    <t>1,27,72</t>
  </si>
  <si>
    <t>May 23 2021 - 1:00am</t>
  </si>
  <si>
    <t>May 24 2021 - 12:00am</t>
  </si>
  <si>
    <t>May 28 2021 - 2:00am</t>
  </si>
  <si>
    <t>May 31 2021 - 1:15am</t>
  </si>
  <si>
    <t>C2020</t>
  </si>
  <si>
    <t>C2021</t>
  </si>
  <si>
    <t>Margin</t>
  </si>
  <si>
    <t>OddH</t>
  </si>
  <si>
    <t>ProbH</t>
  </si>
  <si>
    <t>ProbD</t>
  </si>
  <si>
    <t>ProbA</t>
  </si>
  <si>
    <t>Reference</t>
  </si>
  <si>
    <t>Escenario</t>
  </si>
  <si>
    <t>OddD</t>
  </si>
  <si>
    <t>OddA</t>
  </si>
  <si>
    <t>xPHome</t>
  </si>
  <si>
    <t>xPAway</t>
  </si>
  <si>
    <t>xGoals</t>
  </si>
  <si>
    <t>FTHG</t>
  </si>
  <si>
    <t>FTAG</t>
  </si>
  <si>
    <t>HTHG</t>
  </si>
  <si>
    <t>HTAG</t>
  </si>
  <si>
    <t>HS</t>
  </si>
  <si>
    <t>AS</t>
  </si>
  <si>
    <t>HST</t>
  </si>
  <si>
    <t>AST</t>
  </si>
  <si>
    <t>HSM</t>
  </si>
  <si>
    <t>ASM</t>
  </si>
  <si>
    <t>HF</t>
  </si>
  <si>
    <t>AF</t>
  </si>
  <si>
    <t>HY</t>
  </si>
  <si>
    <t>AY</t>
  </si>
  <si>
    <t>HR</t>
  </si>
  <si>
    <t>AR</t>
  </si>
  <si>
    <t>xHG</t>
  </si>
  <si>
    <t>xAG</t>
  </si>
  <si>
    <t>Árbitro</t>
  </si>
  <si>
    <t>oG</t>
  </si>
  <si>
    <t>oHG</t>
  </si>
  <si>
    <t>oAG</t>
  </si>
  <si>
    <t>xG</t>
  </si>
  <si>
    <t>oHF</t>
  </si>
  <si>
    <t>oAF</t>
  </si>
  <si>
    <t>xHF</t>
  </si>
  <si>
    <t>xAF</t>
  </si>
  <si>
    <t>oHY</t>
  </si>
  <si>
    <t>oAY</t>
  </si>
  <si>
    <t>xHY</t>
  </si>
  <si>
    <t>xAY</t>
  </si>
  <si>
    <t>oHR</t>
  </si>
  <si>
    <t>xHR</t>
  </si>
  <si>
    <t>xAR</t>
  </si>
  <si>
    <t>oAR</t>
  </si>
  <si>
    <t>pG</t>
  </si>
  <si>
    <t>pHG</t>
  </si>
  <si>
    <t>pAG</t>
  </si>
  <si>
    <t>pHF</t>
  </si>
  <si>
    <t>pAF</t>
  </si>
  <si>
    <t>pHY</t>
  </si>
  <si>
    <t>pAY</t>
  </si>
  <si>
    <t>pR</t>
  </si>
  <si>
    <t>oR</t>
  </si>
  <si>
    <t>xR</t>
  </si>
  <si>
    <t>oHWins</t>
  </si>
  <si>
    <t>oDraws</t>
  </si>
  <si>
    <t>oAWins</t>
  </si>
  <si>
    <t>xHWins</t>
  </si>
  <si>
    <t>xDraws</t>
  </si>
  <si>
    <t>xAWins</t>
  </si>
  <si>
    <t>Result</t>
  </si>
  <si>
    <t>Tarjetas Rojas</t>
  </si>
  <si>
    <t>Tarjetas Amarillas Visitante</t>
  </si>
  <si>
    <t>Tarjetas Amarillas Local</t>
  </si>
  <si>
    <t>Faltas Visitante</t>
  </si>
  <si>
    <t>Faltas Local</t>
  </si>
  <si>
    <t>Goles de Visitante</t>
  </si>
  <si>
    <t>Goles de Local</t>
  </si>
  <si>
    <t>Goles</t>
  </si>
  <si>
    <t>Empates</t>
  </si>
  <si>
    <t>Victorias de Locales</t>
  </si>
  <si>
    <t>Victorias de Visitantes</t>
  </si>
  <si>
    <t>xH</t>
  </si>
  <si>
    <t>xD</t>
  </si>
  <si>
    <t>xA</t>
  </si>
  <si>
    <t>oH</t>
  </si>
  <si>
    <t>oD</t>
  </si>
  <si>
    <t>oA</t>
  </si>
  <si>
    <t>Goles de Locales</t>
  </si>
  <si>
    <t>Goles de Visitantes</t>
  </si>
  <si>
    <t>Faltas de Locales</t>
  </si>
  <si>
    <t>Faltas de Visitantes</t>
  </si>
  <si>
    <t>Tarjetas Rojas de Locales</t>
  </si>
  <si>
    <t>Tarjetas Amarillas de Locales</t>
  </si>
  <si>
    <t>Tarjetas Amarillas de Visitantes</t>
  </si>
  <si>
    <t>Tarjetas Rojas de Visitantes</t>
  </si>
  <si>
    <t>A2020</t>
  </si>
  <si>
    <t>Totales</t>
  </si>
  <si>
    <t>D</t>
  </si>
  <si>
    <t>GF</t>
  </si>
  <si>
    <t>GC</t>
  </si>
  <si>
    <t>A</t>
  </si>
  <si>
    <t>H</t>
  </si>
  <si>
    <t>W</t>
  </si>
  <si>
    <t>HPts</t>
  </si>
  <si>
    <t>GD</t>
  </si>
  <si>
    <t>Points</t>
  </si>
  <si>
    <t>Team</t>
  </si>
  <si>
    <t>HW</t>
  </si>
  <si>
    <t>HD</t>
  </si>
  <si>
    <t>HA</t>
  </si>
  <si>
    <t>HGD</t>
  </si>
  <si>
    <t>HGF</t>
  </si>
  <si>
    <t>HGC</t>
  </si>
  <si>
    <t>Apts</t>
  </si>
  <si>
    <t>AW</t>
  </si>
  <si>
    <t>AD</t>
  </si>
  <si>
    <t>AGD</t>
  </si>
  <si>
    <t>AGF</t>
  </si>
  <si>
    <t>AGC</t>
  </si>
  <si>
    <t>xW</t>
  </si>
  <si>
    <t>xHGD</t>
  </si>
  <si>
    <t>xHGF</t>
  </si>
  <si>
    <t>xHGC</t>
  </si>
  <si>
    <t>xAGD</t>
  </si>
  <si>
    <t>xAGF</t>
  </si>
  <si>
    <t>xAGC</t>
  </si>
  <si>
    <t>xGF</t>
  </si>
  <si>
    <t>xGC</t>
  </si>
  <si>
    <t>xGD</t>
  </si>
  <si>
    <t>DifGF</t>
  </si>
  <si>
    <t>DifGC</t>
  </si>
  <si>
    <t>GoalsF_Diff</t>
  </si>
  <si>
    <t>GoalsA_Diff</t>
  </si>
  <si>
    <t>Promedio</t>
  </si>
  <si>
    <t>xPoints</t>
  </si>
  <si>
    <t>xHW</t>
  </si>
  <si>
    <t>xHD</t>
  </si>
  <si>
    <t>xHA</t>
  </si>
  <si>
    <t>Matches</t>
  </si>
  <si>
    <t>Mazatlan FC</t>
  </si>
  <si>
    <t>U.N.A.M.- Pumas</t>
  </si>
  <si>
    <t>Juarez</t>
  </si>
  <si>
    <t>Club Leon</t>
  </si>
  <si>
    <t>U.A.N.L.- Tigres</t>
  </si>
  <si>
    <t>Club America</t>
  </si>
  <si>
    <t>Guadalajara Chivas</t>
  </si>
  <si>
    <t>Atl. San Luis</t>
  </si>
  <si>
    <t>Club Tijuana</t>
  </si>
  <si>
    <t>Queretaro</t>
  </si>
  <si>
    <t>Pachuca (A2021)</t>
  </si>
  <si>
    <t>Pachuca (C2022)</t>
  </si>
  <si>
    <t>Atlas (A2021)</t>
  </si>
  <si>
    <t>Atlas (C2022)</t>
  </si>
  <si>
    <t>Empate</t>
  </si>
  <si>
    <t>Margin/3</t>
  </si>
  <si>
    <t>Línea de gol</t>
  </si>
  <si>
    <t>Over</t>
  </si>
  <si>
    <t>Under</t>
  </si>
  <si>
    <t>P_Over</t>
  </si>
  <si>
    <t>P_Under</t>
  </si>
  <si>
    <t>iP_Over</t>
  </si>
  <si>
    <t>iP_Under</t>
  </si>
  <si>
    <t>Margin/2</t>
  </si>
  <si>
    <t>Check</t>
  </si>
  <si>
    <t>Atlas o Empate</t>
  </si>
  <si>
    <t>Atlas o Pachuca</t>
  </si>
  <si>
    <t>Empate o Pachuca</t>
  </si>
  <si>
    <t>Prob_Imp</t>
  </si>
  <si>
    <t>Prob</t>
  </si>
  <si>
    <t>BTTS</t>
  </si>
  <si>
    <t>Momio_Sí</t>
  </si>
  <si>
    <t>Momio_No</t>
  </si>
  <si>
    <t>Prob_Sí</t>
  </si>
  <si>
    <t>Prob_No</t>
  </si>
  <si>
    <t>Apuesta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</si>
</sst>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33" borderId="0" xfId="0" applyFont="1" applyFill="1"/>
    <xf numFmtId="0" fontId="19" fillId="34" borderId="0" xfId="0" applyFont="1" applyFill="1"/>
    <xf numFmtId="0" fontId="20" fillId="0" borderId="11" xfId="0" applyFont="1" applyBorder="1" applyAlignment="1">
      <alignment horizontal="center" vertical="top"/>
    </xf>
    <xf numFmtId="0" fontId="0" fillId="0" borderId="0" xfId="0" applyNumberFormat="1"/>
    <xf numFmtId="9" fontId="0" fillId="0" borderId="0" xfId="1" applyFont="1"/>
    <xf numFmtId="0" fontId="19" fillId="35" borderId="0" xfId="0" applyFont="1" applyFill="1"/>
    <xf numFmtId="0" fontId="0" fillId="0" borderId="0" xfId="0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0" fontId="0" fillId="37" borderId="0" xfId="0" applyFill="1" applyAlignment="1">
      <alignment horizontal="left" vertical="center"/>
    </xf>
    <xf numFmtId="0" fontId="0" fillId="37" borderId="0" xfId="0" applyFill="1" applyAlignment="1">
      <alignment horizontal="center" vertical="center"/>
    </xf>
    <xf numFmtId="0" fontId="0" fillId="38" borderId="0" xfId="0" applyFill="1" applyAlignment="1">
      <alignment horizontal="left" vertical="center"/>
    </xf>
    <xf numFmtId="0" fontId="0" fillId="38" borderId="0" xfId="0" applyFill="1" applyAlignment="1">
      <alignment horizontal="center" vertical="center"/>
    </xf>
    <xf numFmtId="0" fontId="0" fillId="38" borderId="0" xfId="0" applyFill="1"/>
    <xf numFmtId="0" fontId="0" fillId="39" borderId="0" xfId="0" applyFill="1" applyAlignment="1">
      <alignment horizontal="left" vertical="center"/>
    </xf>
    <xf numFmtId="0" fontId="0" fillId="39" borderId="0" xfId="0" applyFill="1" applyAlignment="1">
      <alignment horizontal="center" vertical="center"/>
    </xf>
    <xf numFmtId="0" fontId="0" fillId="33" borderId="10" xfId="0" applyFill="1" applyBorder="1"/>
    <xf numFmtId="1" fontId="0" fillId="0" borderId="10" xfId="0" applyNumberFormat="1" applyBorder="1"/>
    <xf numFmtId="0" fontId="0" fillId="40" borderId="0" xfId="0" applyFill="1" applyAlignment="1">
      <alignment horizontal="left" vertical="center"/>
    </xf>
    <xf numFmtId="0" fontId="0" fillId="40" borderId="0" xfId="0" applyFill="1" applyAlignment="1">
      <alignment horizontal="center" vertical="center"/>
    </xf>
    <xf numFmtId="14" fontId="0" fillId="0" borderId="0" xfId="0" applyNumberFormat="1"/>
    <xf numFmtId="0" fontId="0" fillId="41" borderId="10" xfId="0" applyFill="1" applyBorder="1"/>
    <xf numFmtId="0" fontId="0" fillId="38" borderId="10" xfId="0" applyFill="1" applyBorder="1"/>
    <xf numFmtId="1" fontId="0" fillId="0" borderId="0" xfId="0" applyNumberFormat="1" applyFill="1" applyBorder="1"/>
    <xf numFmtId="1" fontId="0" fillId="0" borderId="0" xfId="0" quotePrefix="1" applyNumberFormat="1" applyFill="1" applyBorder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164" formatCode="[$-F800]dddd\,\ mmmm\ dd\,\ yyyy"/>
    </dxf>
  </dxfs>
  <tableStyles count="0" defaultTableStyle="TableStyleMedium2" defaultPivotStyle="PivotStyleLight16"/>
  <colors>
    <mruColors>
      <color rgb="FFCCECFF"/>
      <color rgb="FF99FF66"/>
      <color rgb="FFFFCC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Clausura 2022 Temporada regular </a:t>
            </a:r>
            <a:b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20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Desempeño en Goles</a:t>
            </a:r>
            <a:endParaRPr lang="es-MX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DifG_C2022!$C$1</c:f>
              <c:strCache>
                <c:ptCount val="1"/>
                <c:pt idx="0">
                  <c:v>GoalsA_Diff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DifG_C2022!$B$2:$B$19</c:f>
              <c:numCache>
                <c:formatCode>0</c:formatCode>
                <c:ptCount val="18"/>
                <c:pt idx="0">
                  <c:v>6.1500711853987085</c:v>
                </c:pt>
                <c:pt idx="1">
                  <c:v>4.3043868163719452</c:v>
                </c:pt>
                <c:pt idx="2">
                  <c:v>-2.4368511789084515</c:v>
                </c:pt>
                <c:pt idx="3">
                  <c:v>-0.78612417856638928</c:v>
                </c:pt>
                <c:pt idx="4">
                  <c:v>3.6566909764337368</c:v>
                </c:pt>
                <c:pt idx="5">
                  <c:v>3.1864392333940827</c:v>
                </c:pt>
                <c:pt idx="6">
                  <c:v>-4.8608105229388272</c:v>
                </c:pt>
                <c:pt idx="7">
                  <c:v>-3.2189763698163816</c:v>
                </c:pt>
                <c:pt idx="8">
                  <c:v>0.96143457022384027</c:v>
                </c:pt>
                <c:pt idx="9">
                  <c:v>1.0829287248386166</c:v>
                </c:pt>
                <c:pt idx="10">
                  <c:v>2.89842381387313</c:v>
                </c:pt>
                <c:pt idx="11">
                  <c:v>1.8732373273281411</c:v>
                </c:pt>
                <c:pt idx="12">
                  <c:v>-6.8779934486286507</c:v>
                </c:pt>
                <c:pt idx="13">
                  <c:v>3.2545275951954302</c:v>
                </c:pt>
                <c:pt idx="14">
                  <c:v>1.2240949835065962</c:v>
                </c:pt>
                <c:pt idx="15">
                  <c:v>-1.6569517893469836</c:v>
                </c:pt>
                <c:pt idx="16">
                  <c:v>-5.8191939630667555</c:v>
                </c:pt>
                <c:pt idx="17">
                  <c:v>-8.233348775678742</c:v>
                </c:pt>
              </c:numCache>
            </c:numRef>
          </c:xVal>
          <c:yVal>
            <c:numRef>
              <c:f>DifG_C2022!$C$2:$C$19</c:f>
              <c:numCache>
                <c:formatCode>0</c:formatCode>
                <c:ptCount val="18"/>
                <c:pt idx="0">
                  <c:v>4.7673796180405184</c:v>
                </c:pt>
                <c:pt idx="1">
                  <c:v>-1.3740587306833874</c:v>
                </c:pt>
                <c:pt idx="2">
                  <c:v>5.015291493799289</c:v>
                </c:pt>
                <c:pt idx="3">
                  <c:v>1.8509375138396251</c:v>
                </c:pt>
                <c:pt idx="4">
                  <c:v>2.9155639865987695</c:v>
                </c:pt>
                <c:pt idx="5">
                  <c:v>-2.1209085597554633E-2</c:v>
                </c:pt>
                <c:pt idx="6">
                  <c:v>1.569362921184478</c:v>
                </c:pt>
                <c:pt idx="7">
                  <c:v>3.3151826526695061</c:v>
                </c:pt>
                <c:pt idx="8">
                  <c:v>1.7978560618375496</c:v>
                </c:pt>
                <c:pt idx="9">
                  <c:v>1.461284569544901</c:v>
                </c:pt>
                <c:pt idx="10">
                  <c:v>1.0278821522184032</c:v>
                </c:pt>
                <c:pt idx="11">
                  <c:v>2.2554345465651231</c:v>
                </c:pt>
                <c:pt idx="12">
                  <c:v>-2.5765129412257117</c:v>
                </c:pt>
                <c:pt idx="13">
                  <c:v>-3.6927187889934103</c:v>
                </c:pt>
                <c:pt idx="14">
                  <c:v>-12.09388427749672</c:v>
                </c:pt>
                <c:pt idx="15">
                  <c:v>3.1845625269845961</c:v>
                </c:pt>
                <c:pt idx="16">
                  <c:v>-1.8715172227330967</c:v>
                </c:pt>
                <c:pt idx="17">
                  <c:v>-2.2328219961659279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8-4238-B65D-A0F78A1FD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1184"/>
        <c:axId val="697337088"/>
      </c:scatterChart>
      <c:valAx>
        <c:axId val="697331184"/>
        <c:scaling>
          <c:orientation val="minMax"/>
          <c:max val="13"/>
          <c:min val="-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 flip="none" rotWithShape="1">
              <a:gsLst>
                <a:gs pos="100000">
                  <a:srgbClr val="FF0000"/>
                </a:gs>
                <a:gs pos="3000">
                  <a:srgbClr val="0070C0"/>
                </a:gs>
                <a:gs pos="77000">
                  <a:srgbClr val="FF0000"/>
                </a:gs>
                <a:gs pos="38000">
                  <a:srgbClr val="0070C0"/>
                </a:gs>
              </a:gsLst>
              <a:lin ang="10800000" scaled="1"/>
              <a:tileRect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7088"/>
        <c:crosses val="autoZero"/>
        <c:crossBetween val="midCat"/>
        <c:majorUnit val="1"/>
      </c:valAx>
      <c:valAx>
        <c:axId val="697337088"/>
        <c:scaling>
          <c:orientation val="minMax"/>
          <c:max val="13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>
              <a:gsLst>
                <a:gs pos="33350">
                  <a:srgbClr val="D21422"/>
                </a:gs>
                <a:gs pos="0">
                  <a:srgbClr val="FF0000"/>
                </a:gs>
                <a:gs pos="26000">
                  <a:srgbClr val="FF0000"/>
                </a:gs>
                <a:gs pos="68000">
                  <a:srgbClr val="0070C0"/>
                </a:gs>
                <a:gs pos="100000">
                  <a:srgbClr val="0070C0"/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1184"/>
        <c:crosses val="autoZero"/>
        <c:crossBetween val="midCat"/>
        <c:majorUnit val="1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Comparación de Desempeño en Goles en Liga MX</a:t>
            </a:r>
            <a:b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800" b="0" i="0" cap="none" spc="0" baseline="0">
                <a:ln w="0"/>
                <a:solidFill>
                  <a:schemeClr val="accent2">
                    <a:lumMod val="75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Apertura 2021</a:t>
            </a: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vs </a:t>
            </a:r>
            <a:r>
              <a:rPr lang="en-US" sz="1800" b="0" i="0" cap="none" spc="0" baseline="0">
                <a:ln w="0"/>
                <a:solidFill>
                  <a:schemeClr val="accent6">
                    <a:lumMod val="75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Clausura 2022</a:t>
            </a:r>
            <a:endParaRPr lang="es-MX" sz="18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DifG_A2021_C2022!$C$1</c:f>
              <c:strCache>
                <c:ptCount val="1"/>
                <c:pt idx="0">
                  <c:v>GoalsA_Diff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DifG_A2021_C2022!$B$2:$B$19</c:f>
              <c:numCache>
                <c:formatCode>0</c:formatCode>
                <c:ptCount val="18"/>
                <c:pt idx="0">
                  <c:v>6.1500711853987085</c:v>
                </c:pt>
                <c:pt idx="1">
                  <c:v>4.3043868163719452</c:v>
                </c:pt>
                <c:pt idx="2">
                  <c:v>-2.4368511789084515</c:v>
                </c:pt>
                <c:pt idx="3">
                  <c:v>-0.78612417856638928</c:v>
                </c:pt>
                <c:pt idx="4">
                  <c:v>3.6566909764337368</c:v>
                </c:pt>
                <c:pt idx="5">
                  <c:v>3.1864392333940827</c:v>
                </c:pt>
                <c:pt idx="6">
                  <c:v>-4.8608105229388272</c:v>
                </c:pt>
                <c:pt idx="7">
                  <c:v>-3.2189763698163816</c:v>
                </c:pt>
                <c:pt idx="8">
                  <c:v>0.96143457022384027</c:v>
                </c:pt>
                <c:pt idx="9">
                  <c:v>1.0829287248386166</c:v>
                </c:pt>
                <c:pt idx="10">
                  <c:v>2.89842381387313</c:v>
                </c:pt>
                <c:pt idx="11">
                  <c:v>1.8732373273281411</c:v>
                </c:pt>
                <c:pt idx="12">
                  <c:v>-6.8779934486286507</c:v>
                </c:pt>
                <c:pt idx="13">
                  <c:v>3.2545275951954302</c:v>
                </c:pt>
                <c:pt idx="14">
                  <c:v>1.2240949835065962</c:v>
                </c:pt>
                <c:pt idx="15">
                  <c:v>-1.6569517893469836</c:v>
                </c:pt>
                <c:pt idx="16">
                  <c:v>-5.8191939630667555</c:v>
                </c:pt>
                <c:pt idx="17">
                  <c:v>-8.233348775678742</c:v>
                </c:pt>
              </c:numCache>
            </c:numRef>
          </c:xVal>
          <c:yVal>
            <c:numRef>
              <c:f>DifG_A2021_C2022!$C$2:$C$19</c:f>
              <c:numCache>
                <c:formatCode>0</c:formatCode>
                <c:ptCount val="18"/>
                <c:pt idx="0">
                  <c:v>4.7673796180405184</c:v>
                </c:pt>
                <c:pt idx="1">
                  <c:v>-1.3740587306833874</c:v>
                </c:pt>
                <c:pt idx="2">
                  <c:v>5.015291493799289</c:v>
                </c:pt>
                <c:pt idx="3">
                  <c:v>1.8509375138396251</c:v>
                </c:pt>
                <c:pt idx="4">
                  <c:v>2.9155639865987695</c:v>
                </c:pt>
                <c:pt idx="5">
                  <c:v>-2.1209085597554633E-2</c:v>
                </c:pt>
                <c:pt idx="6">
                  <c:v>1.569362921184478</c:v>
                </c:pt>
                <c:pt idx="7">
                  <c:v>3.3151826526695061</c:v>
                </c:pt>
                <c:pt idx="8">
                  <c:v>1.7978560618375496</c:v>
                </c:pt>
                <c:pt idx="9">
                  <c:v>1.461284569544901</c:v>
                </c:pt>
                <c:pt idx="10">
                  <c:v>1.0278821522184032</c:v>
                </c:pt>
                <c:pt idx="11">
                  <c:v>2.2554345465651231</c:v>
                </c:pt>
                <c:pt idx="12">
                  <c:v>-2.5765129412257117</c:v>
                </c:pt>
                <c:pt idx="13">
                  <c:v>-3.6927187889934103</c:v>
                </c:pt>
                <c:pt idx="14">
                  <c:v>-12.09388427749672</c:v>
                </c:pt>
                <c:pt idx="15">
                  <c:v>3.1845625269845961</c:v>
                </c:pt>
                <c:pt idx="16">
                  <c:v>-1.8715172227330967</c:v>
                </c:pt>
                <c:pt idx="17">
                  <c:v>-2.2328219961659279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D-4BAD-9C96-75C3DF882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1184"/>
        <c:axId val="697337088"/>
      </c:scatterChart>
      <c:valAx>
        <c:axId val="697331184"/>
        <c:scaling>
          <c:orientation val="minMax"/>
          <c:max val="13"/>
          <c:min val="-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 flip="none" rotWithShape="1">
              <a:gsLst>
                <a:gs pos="100000">
                  <a:srgbClr val="FF0000"/>
                </a:gs>
                <a:gs pos="3000">
                  <a:srgbClr val="0070C0"/>
                </a:gs>
                <a:gs pos="77000">
                  <a:srgbClr val="FF0000"/>
                </a:gs>
                <a:gs pos="38000">
                  <a:srgbClr val="0070C0"/>
                </a:gs>
              </a:gsLst>
              <a:lin ang="10800000" scaled="1"/>
              <a:tileRect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7088"/>
        <c:crosses val="autoZero"/>
        <c:crossBetween val="midCat"/>
        <c:majorUnit val="1"/>
      </c:valAx>
      <c:valAx>
        <c:axId val="697337088"/>
        <c:scaling>
          <c:orientation val="minMax"/>
          <c:max val="13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>
              <a:gsLst>
                <a:gs pos="33350">
                  <a:srgbClr val="D21422"/>
                </a:gs>
                <a:gs pos="0">
                  <a:srgbClr val="FF0000"/>
                </a:gs>
                <a:gs pos="26000">
                  <a:srgbClr val="FF0000"/>
                </a:gs>
                <a:gs pos="68000">
                  <a:srgbClr val="0070C0"/>
                </a:gs>
                <a:gs pos="100000">
                  <a:srgbClr val="0070C0"/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1184"/>
        <c:crosses val="autoZero"/>
        <c:crossBetween val="midCat"/>
        <c:majorUnit val="1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Comparación de Desempeño en Goles en Liga MX</a:t>
            </a:r>
            <a:b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800" b="0" i="0" cap="none" spc="0" baseline="0">
                <a:ln w="0"/>
                <a:solidFill>
                  <a:schemeClr val="accent4">
                    <a:lumMod val="50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Apertura 2021</a:t>
            </a: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vs </a:t>
            </a:r>
            <a:r>
              <a:rPr lang="en-US" sz="1800" b="0" i="0" cap="none" spc="0" baseline="0">
                <a:ln w="0"/>
                <a:solidFill>
                  <a:schemeClr val="accent6">
                    <a:lumMod val="75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Clausura 2022</a:t>
            </a:r>
            <a:endParaRPr lang="es-MX" sz="18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DifG_A2021_C2022_PAC_ATS!$C$1</c:f>
              <c:strCache>
                <c:ptCount val="1"/>
                <c:pt idx="0">
                  <c:v>GoalsA_Diff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DifG_A2021_C2022_PAC_ATS!$B$2:$B$19</c:f>
              <c:numCache>
                <c:formatCode>0</c:formatCode>
                <c:ptCount val="18"/>
              </c:numCache>
            </c:numRef>
          </c:xVal>
          <c:yVal>
            <c:numRef>
              <c:f>DifG_A2021_C2022_PAC_ATS!$C$2:$C$19</c:f>
              <c:numCache>
                <c:formatCode>0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2-4347-A2D8-91572BDEB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1184"/>
        <c:axId val="697337088"/>
      </c:scatterChart>
      <c:valAx>
        <c:axId val="697331184"/>
        <c:scaling>
          <c:orientation val="minMax"/>
          <c:max val="13"/>
          <c:min val="-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 flip="none" rotWithShape="1">
              <a:gsLst>
                <a:gs pos="100000">
                  <a:srgbClr val="FF0000"/>
                </a:gs>
                <a:gs pos="3000">
                  <a:srgbClr val="0070C0"/>
                </a:gs>
                <a:gs pos="77000">
                  <a:srgbClr val="FF0000"/>
                </a:gs>
                <a:gs pos="38000">
                  <a:srgbClr val="0070C0"/>
                </a:gs>
              </a:gsLst>
              <a:lin ang="10800000" scaled="1"/>
              <a:tileRect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7088"/>
        <c:crosses val="autoZero"/>
        <c:crossBetween val="midCat"/>
        <c:majorUnit val="1"/>
      </c:valAx>
      <c:valAx>
        <c:axId val="697337088"/>
        <c:scaling>
          <c:orientation val="minMax"/>
          <c:max val="13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>
              <a:gsLst>
                <a:gs pos="33350">
                  <a:srgbClr val="D21422"/>
                </a:gs>
                <a:gs pos="0">
                  <a:srgbClr val="FF0000"/>
                </a:gs>
                <a:gs pos="26000">
                  <a:srgbClr val="FF0000"/>
                </a:gs>
                <a:gs pos="68000">
                  <a:srgbClr val="0070C0"/>
                </a:gs>
                <a:gs pos="100000">
                  <a:srgbClr val="0070C0"/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1184"/>
        <c:crosses val="autoZero"/>
        <c:crossBetween val="midCat"/>
        <c:majorUnit val="1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2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Apertura</a:t>
            </a:r>
            <a:r>
              <a:rPr lang="en-US" sz="28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2021 </a:t>
            </a:r>
            <a:r>
              <a:rPr lang="en-US" sz="2800"/>
              <a:t> </a:t>
            </a:r>
            <a:r>
              <a:rPr lang="en-US" sz="2800" baseline="0"/>
              <a:t>   </a:t>
            </a:r>
            <a:r>
              <a:rPr lang="en-US" sz="2800"/>
              <a:t>  </a:t>
            </a:r>
            <a:r>
              <a:rPr lang="en-US" sz="2800" b="0" cap="none" spc="0" baseline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Clausura 2022</a:t>
            </a:r>
            <a:endParaRPr lang="en-US" sz="2800" baseline="0">
              <a:solidFill>
                <a:srgbClr val="0070C0"/>
              </a:solidFill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s-MX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Resumen!$A$2</c:f>
              <c:strCache>
                <c:ptCount val="1"/>
                <c:pt idx="0">
                  <c:v>C2022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3.8190710575759616E-2"/>
                  <c:y val="-0.203469424722176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A1B-4404-A3BC-247BD9977E77}"/>
                </c:ext>
              </c:extLst>
            </c:dLbl>
            <c:dLbl>
              <c:idx val="1"/>
              <c:layout>
                <c:manualLayout>
                  <c:x val="0.15849144888940211"/>
                  <c:y val="-9.09105159510399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A1B-4404-A3BC-247BD9977E77}"/>
                </c:ext>
              </c:extLst>
            </c:dLbl>
            <c:dLbl>
              <c:idx val="2"/>
              <c:layout>
                <c:manualLayout>
                  <c:x val="0.20241076605152558"/>
                  <c:y val="-7.83161976396608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A1B-4404-A3BC-247BD9977E77}"/>
                </c:ext>
              </c:extLst>
            </c:dLbl>
            <c:dLbl>
              <c:idx val="3"/>
              <c:layout>
                <c:manualLayout>
                  <c:x val="0.17949633970606971"/>
                  <c:y val="4.43791786624744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A1B-4404-A3BC-247BD9977E77}"/>
                </c:ext>
              </c:extLst>
            </c:dLbl>
            <c:dLbl>
              <c:idx val="4"/>
              <c:layout>
                <c:manualLayout>
                  <c:x val="0.20241076605152544"/>
                  <c:y val="0.11747429645949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A1B-4404-A3BC-247BD9977E77}"/>
                </c:ext>
              </c:extLst>
            </c:dLbl>
            <c:dLbl>
              <c:idx val="5"/>
              <c:layout>
                <c:manualLayout>
                  <c:x val="0.17376773311970592"/>
                  <c:y val="0.154174549553036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A1B-4404-A3BC-247BD9977E77}"/>
                </c:ext>
              </c:extLst>
            </c:dLbl>
            <c:dLbl>
              <c:idx val="6"/>
              <c:layout>
                <c:manualLayout>
                  <c:x val="4.3919317162123474E-2"/>
                  <c:y val="0.201011573941796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A1B-4404-A3BC-247BD9977E77}"/>
                </c:ext>
              </c:extLst>
            </c:dLbl>
            <c:dLbl>
              <c:idx val="7"/>
              <c:layout>
                <c:manualLayout>
                  <c:x val="-9.1657705381822913E-2"/>
                  <c:y val="0.169685094885931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A1B-4404-A3BC-247BD9977E77}"/>
                </c:ext>
              </c:extLst>
            </c:dLbl>
            <c:dLbl>
              <c:idx val="8"/>
              <c:layout>
                <c:manualLayout>
                  <c:x val="-0.10502445408333874"/>
                  <c:y val="8.19962100217675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A1B-4404-A3BC-247BD9977E77}"/>
                </c:ext>
              </c:extLst>
            </c:dLbl>
            <c:dLbl>
              <c:idx val="9"/>
              <c:layout>
                <c:manualLayout>
                  <c:x val="-3.4371639518183589E-2"/>
                  <c:y val="4.69897185837964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1B-4404-A3BC-247BD9977E77}"/>
                </c:ext>
              </c:extLst>
            </c:dLbl>
            <c:dLbl>
              <c:idx val="10"/>
              <c:layout>
                <c:manualLayout>
                  <c:x val="-0.11457213172727863"/>
                  <c:y val="2.610448140154881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1B-4404-A3BC-247BD9977E77}"/>
                </c:ext>
              </c:extLst>
            </c:dLbl>
            <c:dLbl>
              <c:idx val="11"/>
              <c:layout>
                <c:manualLayout>
                  <c:x val="-9.165770538182291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1B-4404-A3BC-247BD9977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none" spc="0" baseline="0">
                    <a:ln w="0"/>
                    <a:solidFill>
                      <a:srgbClr val="0070C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Resumen!$B$2:$AL$2</c15:sqref>
                  </c15:fullRef>
                </c:ext>
              </c:extLst>
              <c:f>(Resumen!$C$2,Resumen!$F$2,Resumen!$I$2,Resumen!$L$2,Resumen!$O$2,Resumen!$R$2,Resumen!$U$2,Resumen!$X$2,Resumen!$AA$2,Resumen!$AD$2,Resumen!$AG$2,Resumen!$AJ$2)</c:f>
              <c:numCache>
                <c:formatCode>0%</c:formatCode>
                <c:ptCount val="12"/>
                <c:pt idx="0">
                  <c:v>0.91237516388454265</c:v>
                </c:pt>
                <c:pt idx="1">
                  <c:v>0.90192979757353353</c:v>
                </c:pt>
                <c:pt idx="2">
                  <c:v>1.2270034550018325</c:v>
                </c:pt>
                <c:pt idx="3">
                  <c:v>0.98139675776748381</c:v>
                </c:pt>
                <c:pt idx="4">
                  <c:v>0.91051919806114134</c:v>
                </c:pt>
                <c:pt idx="5">
                  <c:v>1.0736502368283756</c:v>
                </c:pt>
                <c:pt idx="6">
                  <c:v>1.0093260657788172</c:v>
                </c:pt>
                <c:pt idx="7">
                  <c:v>0.91065649119011916</c:v>
                </c:pt>
                <c:pt idx="8">
                  <c:v>1.4866329207336924</c:v>
                </c:pt>
                <c:pt idx="9">
                  <c:v>2.1105392536426395</c:v>
                </c:pt>
                <c:pt idx="10">
                  <c:v>1.2707108376586371</c:v>
                </c:pt>
                <c:pt idx="11">
                  <c:v>1.6944059575817874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B-4404-A3BC-247BD9977E77}"/>
            </c:ext>
          </c:extLst>
        </c:ser>
        <c:ser>
          <c:idx val="1"/>
          <c:order val="1"/>
          <c:tx>
            <c:strRef>
              <c:f>Resumen!$A$3</c:f>
              <c:strCache>
                <c:ptCount val="1"/>
                <c:pt idx="0">
                  <c:v>A2021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7738388219699432E-2"/>
                  <c:y val="-0.208843205132571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A1B-4404-A3BC-247BD9977E77}"/>
                </c:ext>
              </c:extLst>
            </c:dLbl>
            <c:dLbl>
              <c:idx val="1"/>
              <c:layout>
                <c:manualLayout>
                  <c:x val="5.5376530334851272E-2"/>
                  <c:y val="-4.91419910390547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A1B-4404-A3BC-247BD9977E77}"/>
                </c:ext>
              </c:extLst>
            </c:dLbl>
            <c:dLbl>
              <c:idx val="2"/>
              <c:layout>
                <c:manualLayout>
                  <c:x val="0.13366748701515827"/>
                  <c:y val="-2.34948073582551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A1B-4404-A3BC-247BD9977E77}"/>
                </c:ext>
              </c:extLst>
            </c:dLbl>
            <c:dLbl>
              <c:idx val="3"/>
              <c:layout>
                <c:manualLayout>
                  <c:x val="0.11457213172727863"/>
                  <c:y val="4.43791786624743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A1B-4404-A3BC-247BD9977E77}"/>
                </c:ext>
              </c:extLst>
            </c:dLbl>
            <c:dLbl>
              <c:idx val="4"/>
              <c:layout>
                <c:manualLayout>
                  <c:x val="0.1260293449000065"/>
                  <c:y val="0.122695376302135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A1B-4404-A3BC-247BD9977E77}"/>
                </c:ext>
              </c:extLst>
            </c:dLbl>
            <c:dLbl>
              <c:idx val="5"/>
              <c:layout>
                <c:manualLayout>
                  <c:x val="8.7838634324246948E-2"/>
                  <c:y val="0.17751671464989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A1B-4404-A3BC-247BD9977E77}"/>
                </c:ext>
              </c:extLst>
            </c:dLbl>
            <c:dLbl>
              <c:idx val="6"/>
              <c:layout>
                <c:manualLayout>
                  <c:x val="-4.0100246104547592E-2"/>
                  <c:y val="0.211453733627084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A1B-4404-A3BC-247BD9977E77}"/>
                </c:ext>
              </c:extLst>
            </c:dLbl>
            <c:dLbl>
              <c:idx val="7"/>
              <c:layout>
                <c:manualLayout>
                  <c:x val="-0.1852249462924338"/>
                  <c:y val="0.177516714649897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A1B-4404-A3BC-247BD9977E77}"/>
                </c:ext>
              </c:extLst>
            </c:dLbl>
            <c:dLbl>
              <c:idx val="8"/>
              <c:layout>
                <c:manualLayout>
                  <c:x val="-0.23296333451213322"/>
                  <c:y val="0.100269927575497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A1B-4404-A3BC-247BD9977E77}"/>
                </c:ext>
              </c:extLst>
            </c:dLbl>
            <c:dLbl>
              <c:idx val="9"/>
              <c:layout>
                <c:manualLayout>
                  <c:x val="-0.18331541076364583"/>
                  <c:y val="4.69897185837963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A1B-4404-A3BC-247BD9977E77}"/>
                </c:ext>
              </c:extLst>
            </c:dLbl>
            <c:dLbl>
              <c:idx val="10"/>
              <c:layout>
                <c:manualLayout>
                  <c:x val="-0.21768705028182941"/>
                  <c:y val="-4.915515068569589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A1B-4404-A3BC-247BD9977E77}"/>
                </c:ext>
              </c:extLst>
            </c:dLbl>
            <c:dLbl>
              <c:idx val="11"/>
              <c:layout>
                <c:manualLayout>
                  <c:x val="-0.1794963397060699"/>
                  <c:y val="2.763332270240355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A1B-4404-A3BC-247BD9977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Resumen!$B$3:$AL$3</c15:sqref>
                  </c15:fullRef>
                </c:ext>
              </c:extLst>
              <c:f>(Resumen!$C$3,Resumen!$F$3,Resumen!$I$3,Resumen!$L$3,Resumen!$O$3,Resumen!$R$3,Resumen!$U$3,Resumen!$X$3,Resumen!$AA$3,Resumen!$AD$3,Resumen!$AG$3,Resumen!$AJ$3)</c:f>
              <c:numCache>
                <c:formatCode>0%</c:formatCode>
                <c:ptCount val="12"/>
                <c:pt idx="0">
                  <c:v>0.87035265054969768</c:v>
                </c:pt>
                <c:pt idx="1">
                  <c:v>1.283370189552363</c:v>
                </c:pt>
                <c:pt idx="2">
                  <c:v>0.92732824841049455</c:v>
                </c:pt>
                <c:pt idx="3">
                  <c:v>0.83927752997655292</c:v>
                </c:pt>
                <c:pt idx="4">
                  <c:v>0.82600416573072855</c:v>
                </c:pt>
                <c:pt idx="5">
                  <c:v>0.85681825638835984</c:v>
                </c:pt>
                <c:pt idx="6">
                  <c:v>0.90864143829684652</c:v>
                </c:pt>
                <c:pt idx="7">
                  <c:v>0.85394103857739034</c:v>
                </c:pt>
                <c:pt idx="8">
                  <c:v>1.1767145045842275</c:v>
                </c:pt>
                <c:pt idx="9">
                  <c:v>1.6028300529356678</c:v>
                </c:pt>
                <c:pt idx="10">
                  <c:v>1.1738632372837321</c:v>
                </c:pt>
                <c:pt idx="11">
                  <c:v>1.7454780168297475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1B-4404-A3BC-247BD9977E77}"/>
            </c:ext>
          </c:extLst>
        </c:ser>
        <c:ser>
          <c:idx val="2"/>
          <c:order val="2"/>
          <c:tx>
            <c:strRef>
              <c:f>Resumen!$A$4</c:f>
              <c:strCache>
                <c:ptCount val="1"/>
                <c:pt idx="0">
                  <c:v>Promedio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Resumen!$B$4:$AL$4</c15:sqref>
                  </c15:fullRef>
                </c:ext>
              </c:extLst>
              <c:f>(Resumen!$C$4,Resumen!$F$4,Resumen!$I$4,Resumen!$L$4,Resumen!$O$4,Resumen!$R$4,Resumen!$U$4,Resumen!$X$4,Resumen!$AA$4,Resumen!$AD$4,Resumen!$AG$4,Resumen!$AJ$4)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A1B-4404-A3BC-247BD9977E77}"/>
            </c:ext>
          </c:extLst>
        </c:ser>
        <c:ser>
          <c:idx val="3"/>
          <c:order val="3"/>
          <c:tx>
            <c:strRef>
              <c:f>Resumen!$A$5</c:f>
              <c:strCache>
                <c:ptCount val="1"/>
                <c:pt idx="0">
                  <c:v>C2021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Resumen!$B$5:$AL$5</c15:sqref>
                  </c15:fullRef>
                </c:ext>
              </c:extLst>
              <c:f>(Resumen!$C$5,Resumen!$F$5,Resumen!$I$5,Resumen!$L$5,Resumen!$O$5,Resumen!$R$5,Resumen!$U$5,Resumen!$X$5,Resumen!$AA$5,Resumen!$AD$5,Resumen!$AG$5,Resumen!$AJ$5)</c:f>
              <c:numCache>
                <c:formatCode>0%</c:formatCode>
                <c:ptCount val="12"/>
                <c:pt idx="0">
                  <c:v>1.0678671187742117</c:v>
                </c:pt>
                <c:pt idx="1">
                  <c:v>0.91957942743049759</c:v>
                </c:pt>
                <c:pt idx="2">
                  <c:v>0.97169339165472868</c:v>
                </c:pt>
                <c:pt idx="3">
                  <c:v>0.91317104403125582</c:v>
                </c:pt>
                <c:pt idx="4">
                  <c:v>0.88184404990073595</c:v>
                </c:pt>
                <c:pt idx="5">
                  <c:v>0.95435365365459002</c:v>
                </c:pt>
                <c:pt idx="6">
                  <c:v>1.0030089470529739</c:v>
                </c:pt>
                <c:pt idx="7">
                  <c:v>0.91793390551463083</c:v>
                </c:pt>
                <c:pt idx="8">
                  <c:v>1.1179239754298529</c:v>
                </c:pt>
                <c:pt idx="9">
                  <c:v>1.6770191114865263</c:v>
                </c:pt>
                <c:pt idx="10">
                  <c:v>1.0679334770398288</c:v>
                </c:pt>
                <c:pt idx="11">
                  <c:v>1.0545253345086196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A1B-4404-A3BC-247BD9977E77}"/>
            </c:ext>
          </c:extLst>
        </c:ser>
        <c:ser>
          <c:idx val="4"/>
          <c:order val="4"/>
          <c:tx>
            <c:strRef>
              <c:f>Resumen!$A$6</c:f>
              <c:strCache>
                <c:ptCount val="1"/>
                <c:pt idx="0">
                  <c:v>A2020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Resumen!$B$6:$AL$6</c15:sqref>
                  </c15:fullRef>
                </c:ext>
              </c:extLst>
              <c:f>(Resumen!$C$6,Resumen!$F$6,Resumen!$I$6,Resumen!$L$6,Resumen!$O$6,Resumen!$R$6,Resumen!$U$6,Resumen!$X$6,Resumen!$AA$6,Resumen!$AD$6,Resumen!$AG$6,Resumen!$AJ$6)</c:f>
              <c:numCache>
                <c:formatCode>0%</c:formatCode>
                <c:ptCount val="12"/>
                <c:pt idx="0">
                  <c:v>1.0660208300678455</c:v>
                </c:pt>
                <c:pt idx="1">
                  <c:v>1.0012025729340821</c:v>
                </c:pt>
                <c:pt idx="2">
                  <c:v>0.90429113908923853</c:v>
                </c:pt>
                <c:pt idx="3">
                  <c:v>0.98148827671051952</c:v>
                </c:pt>
                <c:pt idx="4">
                  <c:v>0.98357377865705442</c:v>
                </c:pt>
                <c:pt idx="5">
                  <c:v>0.97880248406919668</c:v>
                </c:pt>
                <c:pt idx="6">
                  <c:v>1.0442391086889218</c:v>
                </c:pt>
                <c:pt idx="7">
                  <c:v>0.96680349229473295</c:v>
                </c:pt>
                <c:pt idx="8">
                  <c:v>1.2694821185219658</c:v>
                </c:pt>
                <c:pt idx="9">
                  <c:v>1.5818313447272021</c:v>
                </c:pt>
                <c:pt idx="10">
                  <c:v>1.0979933573683567</c:v>
                </c:pt>
                <c:pt idx="11">
                  <c:v>1.789928977558628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A1B-4404-A3BC-247BD9977E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96380640"/>
        <c:axId val="1696383968"/>
      </c:radarChart>
      <c:catAx>
        <c:axId val="16963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s-MX"/>
          </a:p>
        </c:txPr>
        <c:crossAx val="1696383968"/>
        <c:crosses val="autoZero"/>
        <c:auto val="1"/>
        <c:lblAlgn val="ctr"/>
        <c:lblOffset val="100"/>
        <c:noMultiLvlLbl val="0"/>
      </c:catAx>
      <c:valAx>
        <c:axId val="16963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s-MX"/>
          </a:p>
        </c:txPr>
        <c:crossAx val="169638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Test_Cesar_Ramos!$A$2</c:f>
              <c:strCache>
                <c:ptCount val="1"/>
                <c:pt idx="0">
                  <c:v>César Arturo Ramos Palazuelos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196261823093599E-2"/>
                  <c:y val="-0.107188104059370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2D-4791-A0CE-87F837F63E62}"/>
                </c:ext>
              </c:extLst>
            </c:dLbl>
            <c:dLbl>
              <c:idx val="1"/>
              <c:layout>
                <c:manualLayout>
                  <c:x val="9.3707176142331844E-2"/>
                  <c:y val="-8.40122977762631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2D-4791-A0CE-87F837F63E62}"/>
                </c:ext>
              </c:extLst>
            </c:dLbl>
            <c:dLbl>
              <c:idx val="2"/>
              <c:layout>
                <c:manualLayout>
                  <c:x val="0.19339566140013184"/>
                  <c:y val="-2.0278830497718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2D-4791-A0CE-87F837F63E62}"/>
                </c:ext>
              </c:extLst>
            </c:dLbl>
            <c:dLbl>
              <c:idx val="3"/>
              <c:layout>
                <c:manualLayout>
                  <c:x val="0.13158880054029576"/>
                  <c:y val="7.82183462054863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2D-4791-A0CE-87F837F63E62}"/>
                </c:ext>
              </c:extLst>
            </c:dLbl>
            <c:dLbl>
              <c:idx val="4"/>
              <c:layout>
                <c:manualLayout>
                  <c:x val="0.1315888005402959"/>
                  <c:y val="0.156436692410972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2D-4791-A0CE-87F837F63E62}"/>
                </c:ext>
              </c:extLst>
            </c:dLbl>
            <c:dLbl>
              <c:idx val="5"/>
              <c:layout>
                <c:manualLayout>
                  <c:x val="9.3707176142331997E-2"/>
                  <c:y val="0.205685280762575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2D-4791-A0CE-87F837F63E62}"/>
                </c:ext>
              </c:extLst>
            </c:dLbl>
            <c:dLbl>
              <c:idx val="6"/>
              <c:layout>
                <c:manualLayout>
                  <c:x val="-7.576324879592794E-2"/>
                  <c:y val="0.214376208118740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2D-4791-A0CE-87F837F63E62}"/>
                </c:ext>
              </c:extLst>
            </c:dLbl>
            <c:dLbl>
              <c:idx val="7"/>
              <c:layout>
                <c:manualLayout>
                  <c:x val="-0.14554518847638792"/>
                  <c:y val="0.165127619767137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82D-4791-A0CE-87F837F63E62}"/>
                </c:ext>
              </c:extLst>
            </c:dLbl>
            <c:dLbl>
              <c:idx val="8"/>
              <c:layout>
                <c:manualLayout>
                  <c:x val="-0.15950157641247992"/>
                  <c:y val="6.95274188493212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2D-4791-A0CE-87F837F63E62}"/>
                </c:ext>
              </c:extLst>
            </c:dLbl>
            <c:dLbl>
              <c:idx val="9"/>
              <c:layout>
                <c:manualLayout>
                  <c:x val="-0.18741435228466388"/>
                  <c:y val="-8.69092735616520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2D-4791-A0CE-87F837F63E62}"/>
                </c:ext>
              </c:extLst>
            </c:dLbl>
            <c:dLbl>
              <c:idx val="10"/>
              <c:layout>
                <c:manualLayout>
                  <c:x val="-4.3862933513431998E-2"/>
                  <c:y val="6.37334672785444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2D-4791-A0CE-87F837F63E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Test_Cesar_Ramos!$C$1:$AM$1</c15:sqref>
                  </c15:fullRef>
                </c:ext>
              </c:extLst>
              <c:f>(Test_Cesar_Ramos!$C$1,Test_Cesar_Ramos!$F$1,Test_Cesar_Ramos!$I$1,Test_Cesar_Ramos!$L$1,Test_Cesar_Ramos!$O$1,Test_Cesar_Ramos!$R$1,Test_Cesar_Ramos!$U$1,Test_Cesar_Ramos!$X$1,Test_Cesar_Ramos!$AA$1,Test_Cesar_Ramos!$AD$1,Test_Cesar_Ramos!$AG$1)</c:f>
              <c:strCache>
                <c:ptCount val="11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</c:v>
                </c:pt>
                <c:pt idx="5">
                  <c:v>Goles de Visitante</c:v>
                </c:pt>
                <c:pt idx="6">
                  <c:v>Faltas Local</c:v>
                </c:pt>
                <c:pt idx="7">
                  <c:v>Faltas Visitante</c:v>
                </c:pt>
                <c:pt idx="8">
                  <c:v>Tarjetas Amarillas Local</c:v>
                </c:pt>
                <c:pt idx="9">
                  <c:v>Tarjetas Amarillas Visitante</c:v>
                </c:pt>
                <c:pt idx="10">
                  <c:v>Tarjetas Rojas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Test_Cesar_Ramos!$C$2:$AM$2</c15:sqref>
                  </c15:fullRef>
                </c:ext>
              </c:extLst>
              <c:f>(Test_Cesar_Ramos!$C$2,Test_Cesar_Ramos!$F$2,Test_Cesar_Ramos!$I$2,Test_Cesar_Ramos!$L$2,Test_Cesar_Ramos!$O$2,Test_Cesar_Ramos!$R$2,Test_Cesar_Ramos!$U$2,Test_Cesar_Ramos!$X$2,Test_Cesar_Ramos!$AA$2,Test_Cesar_Ramos!$AD$2,Test_Cesar_Ramos!$AG$2)</c:f>
              <c:numCache>
                <c:formatCode>General</c:formatCode>
                <c:ptCount val="11"/>
                <c:pt idx="0" formatCode="0%">
                  <c:v>1.0985317181545655</c:v>
                </c:pt>
                <c:pt idx="1" formatCode="0%">
                  <c:v>0.97350382239114275</c:v>
                </c:pt>
                <c:pt idx="2" formatCode="0%">
                  <c:v>0.86929595928293879</c:v>
                </c:pt>
                <c:pt idx="3" formatCode="0%">
                  <c:v>0.99923148977076515</c:v>
                </c:pt>
                <c:pt idx="4" formatCode="0%">
                  <c:v>1.0107083893798097</c:v>
                </c:pt>
                <c:pt idx="5" formatCode="0%">
                  <c:v>0.98382813189569096</c:v>
                </c:pt>
                <c:pt idx="6" formatCode="0%">
                  <c:v>0.95192678372993655</c:v>
                </c:pt>
                <c:pt idx="7" formatCode="0%">
                  <c:v>0.95194664535770379</c:v>
                </c:pt>
                <c:pt idx="8" formatCode="0%">
                  <c:v>1.2829423035059242</c:v>
                </c:pt>
                <c:pt idx="9" formatCode="0%">
                  <c:v>1.1285280770081119</c:v>
                </c:pt>
                <c:pt idx="10" formatCode="0%">
                  <c:v>2.2533648943516966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D-4791-A0CE-87F837F63E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51407520"/>
        <c:axId val="751409184"/>
      </c:radarChart>
      <c:catAx>
        <c:axId val="75140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409184"/>
        <c:crosses val="autoZero"/>
        <c:auto val="1"/>
        <c:lblAlgn val="ctr"/>
        <c:lblOffset val="100"/>
        <c:noMultiLvlLbl val="0"/>
      </c:catAx>
      <c:valAx>
        <c:axId val="7514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40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1.png"/><Relationship Id="rId16" Type="http://schemas.openxmlformats.org/officeDocument/2006/relationships/image" Target="../media/image7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17.png"/><Relationship Id="rId10" Type="http://schemas.openxmlformats.org/officeDocument/2006/relationships/image" Target="../media/image15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microsoft.com/office/2007/relationships/hdphoto" Target="../media/hdphoto2.wdp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microsoft.com/office/2007/relationships/hdphoto" Target="../media/hdphoto1.wdp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17.png"/><Relationship Id="rId10" Type="http://schemas.openxmlformats.org/officeDocument/2006/relationships/image" Target="../media/image15.png"/><Relationship Id="rId19" Type="http://schemas.openxmlformats.org/officeDocument/2006/relationships/image" Target="../media/image20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6.png"/><Relationship Id="rId22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649216</xdr:colOff>
      <xdr:row>0</xdr:row>
      <xdr:rowOff>177726</xdr:rowOff>
    </xdr:from>
    <xdr:to>
      <xdr:col>13</xdr:col>
      <xdr:colOff>571501</xdr:colOff>
      <xdr:row>30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4F9F8-8261-46F7-BA1E-7A53DE382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60613</xdr:colOff>
      <xdr:row>31</xdr:row>
      <xdr:rowOff>112568</xdr:rowOff>
    </xdr:from>
    <xdr:to>
      <xdr:col>3</xdr:col>
      <xdr:colOff>606135</xdr:colOff>
      <xdr:row>43</xdr:row>
      <xdr:rowOff>155863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4762AE3-D541-411D-947E-654491BB9513}"/>
            </a:ext>
          </a:extLst>
        </xdr:cNvPr>
        <xdr:cNvSpPr/>
      </xdr:nvSpPr>
      <xdr:spPr>
        <a:xfrm>
          <a:off x="60613" y="5722793"/>
          <a:ext cx="2964872" cy="2214995"/>
        </a:xfrm>
        <a:prstGeom prst="rect">
          <a:avLst/>
        </a:prstGeom>
        <a:solidFill>
          <a:srgbClr val="FFCCCC">
            <a:alpha val="4980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62346</xdr:colOff>
      <xdr:row>31</xdr:row>
      <xdr:rowOff>109971</xdr:rowOff>
    </xdr:from>
    <xdr:to>
      <xdr:col>8</xdr:col>
      <xdr:colOff>458931</xdr:colOff>
      <xdr:row>43</xdr:row>
      <xdr:rowOff>151533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92B2589-EB09-46EF-8C08-0BC5139DE83B}"/>
            </a:ext>
          </a:extLst>
        </xdr:cNvPr>
        <xdr:cNvSpPr/>
      </xdr:nvSpPr>
      <xdr:spPr>
        <a:xfrm>
          <a:off x="3129396" y="5720196"/>
          <a:ext cx="2987385" cy="2213262"/>
        </a:xfrm>
        <a:prstGeom prst="rect">
          <a:avLst/>
        </a:prstGeom>
        <a:solidFill>
          <a:schemeClr val="accent4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535132</xdr:colOff>
      <xdr:row>32</xdr:row>
      <xdr:rowOff>34637</xdr:rowOff>
    </xdr:from>
    <xdr:to>
      <xdr:col>18</xdr:col>
      <xdr:colOff>268433</xdr:colOff>
      <xdr:row>44</xdr:row>
      <xdr:rowOff>77932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88867FF-32D1-4B1D-8CDE-28824CB27439}"/>
            </a:ext>
          </a:extLst>
        </xdr:cNvPr>
        <xdr:cNvSpPr/>
      </xdr:nvSpPr>
      <xdr:spPr>
        <a:xfrm>
          <a:off x="9431482" y="5825837"/>
          <a:ext cx="2971801" cy="2214995"/>
        </a:xfrm>
        <a:prstGeom prst="rect">
          <a:avLst/>
        </a:prstGeom>
        <a:solidFill>
          <a:schemeClr val="accent6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587085</xdr:colOff>
      <xdr:row>31</xdr:row>
      <xdr:rowOff>123825</xdr:rowOff>
    </xdr:from>
    <xdr:to>
      <xdr:col>13</xdr:col>
      <xdr:colOff>316055</xdr:colOff>
      <xdr:row>43</xdr:row>
      <xdr:rowOff>165387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F9F6AE7-F85A-4B13-88A2-4C16F45CA04F}"/>
            </a:ext>
          </a:extLst>
        </xdr:cNvPr>
        <xdr:cNvSpPr/>
      </xdr:nvSpPr>
      <xdr:spPr>
        <a:xfrm>
          <a:off x="6244935" y="5734050"/>
          <a:ext cx="2967470" cy="2213262"/>
        </a:xfrm>
        <a:prstGeom prst="rect">
          <a:avLst/>
        </a:prstGeom>
        <a:solidFill>
          <a:schemeClr val="accent1">
            <a:lumMod val="20000"/>
            <a:lumOff val="8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0.03423</cdr:x>
      <cdr:y>0.14912</cdr:y>
    </cdr:from>
    <cdr:to>
      <cdr:x>0.49797</cdr:x>
      <cdr:y>0.55708</cdr:y>
    </cdr:to>
    <cdr:sp macro="" textlink="">
      <cdr:nvSpPr>
        <cdr:cNvPr id="48" name="Rectangle 47">
          <a:extLst xmlns:a="http://schemas.openxmlformats.org/drawingml/2006/main">
            <a:ext uri="{FF2B5EF4-FFF2-40B4-BE49-F238E27FC236}">
              <a16:creationId xmlns:a16="http://schemas.microsoft.com/office/drawing/2014/main" id="{179DC817-2C0D-5CD6-3A7A-2E80EFD2294F}"/>
            </a:ext>
          </a:extLst>
        </cdr:cNvPr>
        <cdr:cNvSpPr/>
      </cdr:nvSpPr>
      <cdr:spPr>
        <a:xfrm xmlns:a="http://schemas.openxmlformats.org/drawingml/2006/main">
          <a:off x="219640" y="812806"/>
          <a:ext cx="2975636" cy="2223660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0.50655</cdr:x>
      <cdr:y>0.56613</cdr:y>
    </cdr:from>
    <cdr:to>
      <cdr:x>0.97029</cdr:x>
      <cdr:y>0.97409</cdr:y>
    </cdr:to>
    <cdr:sp macro="" textlink="">
      <cdr:nvSpPr>
        <cdr:cNvPr id="49" name="Rectangle 48">
          <a:extLst xmlns:a="http://schemas.openxmlformats.org/drawingml/2006/main">
            <a:ext uri="{FF2B5EF4-FFF2-40B4-BE49-F238E27FC236}">
              <a16:creationId xmlns:a16="http://schemas.microsoft.com/office/drawing/2014/main" id="{179DC817-2C0D-5CD6-3A7A-2E80EFD2294F}"/>
            </a:ext>
          </a:extLst>
        </cdr:cNvPr>
        <cdr:cNvSpPr/>
      </cdr:nvSpPr>
      <cdr:spPr>
        <a:xfrm xmlns:a="http://schemas.openxmlformats.org/drawingml/2006/main">
          <a:off x="3250334" y="3085811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0.50474</cdr:x>
      <cdr:y>0.15009</cdr:y>
    </cdr:from>
    <cdr:to>
      <cdr:x>0.97145</cdr:x>
      <cdr:y>0.55757</cdr:y>
    </cdr:to>
    <cdr:sp macro="" textlink="">
      <cdr:nvSpPr>
        <cdr:cNvPr id="24" name="Rectangle 23">
          <a:extLst xmlns:a="http://schemas.openxmlformats.org/drawingml/2006/main">
            <a:ext uri="{FF2B5EF4-FFF2-40B4-BE49-F238E27FC236}">
              <a16:creationId xmlns:a16="http://schemas.microsoft.com/office/drawing/2014/main" id="{D8660E6E-9D06-B182-45DB-174AA45AAFF2}"/>
            </a:ext>
          </a:extLst>
        </cdr:cNvPr>
        <cdr:cNvSpPr/>
      </cdr:nvSpPr>
      <cdr:spPr>
        <a:xfrm xmlns:a="http://schemas.openxmlformats.org/drawingml/2006/main">
          <a:off x="3238716" y="818068"/>
          <a:ext cx="2994675" cy="222105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20000"/>
            <a:lumOff val="80000"/>
            <a:alpha val="2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0.54501</cdr:x>
      <cdr:y>0.46208</cdr:y>
    </cdr:from>
    <cdr:to>
      <cdr:x>0.59562</cdr:x>
      <cdr:y>0.52165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BFCE78F-70FA-45BB-9CB3-F830C626E2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97121" y="2518640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0.29873</cdr:x>
      <cdr:y>0.48035</cdr:y>
    </cdr:from>
    <cdr:to>
      <cdr:x>0.35878</cdr:x>
      <cdr:y>0.55104</cdr:y>
    </cdr:to>
    <cdr:pic>
      <cdr:nvPicPr>
        <cdr:cNvPr id="2" name="Picture 1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558425C-491E-4B64-A29F-208CD3E2CE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16836" y="2618221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0.03356</cdr:x>
      <cdr:y>0.56534</cdr:y>
    </cdr:from>
    <cdr:to>
      <cdr:x>0.49913</cdr:x>
      <cdr:y>0.97441</cdr:y>
    </cdr:to>
    <cdr:sp macro="" textlink="">
      <cdr:nvSpPr>
        <cdr:cNvPr id="27" name="Rectangle 26">
          <a:extLst xmlns:a="http://schemas.openxmlformats.org/drawingml/2006/main">
            <a:ext uri="{FF2B5EF4-FFF2-40B4-BE49-F238E27FC236}">
              <a16:creationId xmlns:a16="http://schemas.microsoft.com/office/drawing/2014/main" id="{F32C6F85-4D8F-ED41-B67C-305BE98E6F16}"/>
            </a:ext>
          </a:extLst>
        </cdr:cNvPr>
        <cdr:cNvSpPr/>
      </cdr:nvSpPr>
      <cdr:spPr>
        <a:xfrm xmlns:a="http://schemas.openxmlformats.org/drawingml/2006/main">
          <a:off x="215322" y="3081482"/>
          <a:ext cx="2987385" cy="2229715"/>
        </a:xfrm>
        <a:prstGeom xmlns:a="http://schemas.openxmlformats.org/drawingml/2006/main" prst="rect">
          <a:avLst/>
        </a:prstGeom>
        <a:solidFill xmlns:a="http://schemas.openxmlformats.org/drawingml/2006/main">
          <a:srgbClr val="FFCCCC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0.5801</cdr:x>
      <cdr:y>0.49147</cdr:y>
    </cdr:from>
    <cdr:to>
      <cdr:x>0.63138</cdr:x>
      <cdr:y>0.55184</cdr:y>
    </cdr:to>
    <cdr:pic>
      <cdr:nvPicPr>
        <cdr:cNvPr id="4" name="Picture 3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0C294FD-0BB3-4FA9-9B19-36D4C2CC4B7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22255" y="2678833"/>
          <a:ext cx="329046" cy="3290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0.1793</cdr:x>
      <cdr:y>0.60903</cdr:y>
    </cdr:from>
    <cdr:to>
      <cdr:x>0.23058</cdr:x>
      <cdr:y>0.66939</cdr:y>
    </cdr:to>
    <cdr:pic>
      <cdr:nvPicPr>
        <cdr:cNvPr id="5" name="Picture 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4A96DFF-F97D-4C80-8579-2249F7EA32B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50503" y="3319606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0.60506</cdr:x>
      <cdr:y>0.43587</cdr:y>
    </cdr:from>
    <cdr:to>
      <cdr:x>0.66174</cdr:x>
      <cdr:y>0.50259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A3BE820-4745-4DFF-B534-CE3F45FAAE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82448" y="2375766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0.22181</cdr:x>
      <cdr:y>0.60744</cdr:y>
    </cdr:from>
    <cdr:to>
      <cdr:x>0.28389</cdr:x>
      <cdr:y>0.68051</cdr:y>
    </cdr:to>
    <cdr:pic>
      <cdr:nvPicPr>
        <cdr:cNvPr id="7" name="Picture 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DE2BF74-A289-4E2E-B4A2-34CC1769F8A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23265" y="3310948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0.3878</cdr:x>
      <cdr:y>0.36914</cdr:y>
    </cdr:from>
    <cdr:to>
      <cdr:x>0.44245</cdr:x>
      <cdr:y>0.43348</cdr:y>
    </cdr:to>
    <cdr:pic>
      <cdr:nvPicPr>
        <cdr:cNvPr id="8" name="Picture 7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FE6A655-E189-43F1-8B64-2D6A414B038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88337" y="2012082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28575" cap="rnd">
          <a:solidFill>
            <a:srgbClr val="00B050"/>
          </a:solidFill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  <cdr:relSizeAnchor xmlns:cdr="http://schemas.openxmlformats.org/drawingml/2006/chartDrawing">
    <cdr:from>
      <cdr:x>0.628</cdr:x>
      <cdr:y>0.57249</cdr:y>
    </cdr:from>
    <cdr:to>
      <cdr:x>0.68549</cdr:x>
      <cdr:y>0.64016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B1A4ACE-E935-448A-B5D5-91F4EB65E7F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29652" y="3120446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0.44717</cdr:x>
      <cdr:y>0.46684</cdr:y>
    </cdr:from>
    <cdr:to>
      <cdr:x>0.50399</cdr:x>
      <cdr:y>0.53372</cdr:y>
    </cdr:to>
    <cdr:pic>
      <cdr:nvPicPr>
        <cdr:cNvPr id="10" name="Picture 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554A965-0171-4935-8D15-23147876025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9313" y="2544597"/>
          <a:ext cx="364591" cy="3645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0.5828</cdr:x>
      <cdr:y>0.52721</cdr:y>
    </cdr:from>
    <cdr:to>
      <cdr:x>0.64703</cdr:x>
      <cdr:y>0.60283</cdr:y>
    </cdr:to>
    <cdr:pic>
      <cdr:nvPicPr>
        <cdr:cNvPr id="11" name="Picture 1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4CA5C33-4E2A-4134-9331-4C378B29E5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39573" y="2873665"/>
          <a:ext cx="412170" cy="4121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0.68941</cdr:x>
      <cdr:y>0.37232</cdr:y>
    </cdr:from>
    <cdr:to>
      <cdr:x>0.75499</cdr:x>
      <cdr:y>0.44953</cdr:y>
    </cdr:to>
    <cdr:pic>
      <cdr:nvPicPr>
        <cdr:cNvPr id="13" name="Picture 12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7DC3E3A-3713-4791-B2E2-345B7F724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23641" y="2029401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28575" cap="rnd">
          <a:solidFill>
            <a:srgbClr val="00B050"/>
          </a:solidFill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  <cdr:relSizeAnchor xmlns:cdr="http://schemas.openxmlformats.org/drawingml/2006/chartDrawing">
    <cdr:from>
      <cdr:x>0.35878</cdr:x>
      <cdr:y>0.42713</cdr:y>
    </cdr:from>
    <cdr:to>
      <cdr:x>0.41276</cdr:x>
      <cdr:y>0.49067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40ACF405-8486-4818-9500-EE8B5324E2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2165" y="2328139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0.26027</cdr:x>
      <cdr:y>0.57725</cdr:y>
    </cdr:from>
    <cdr:to>
      <cdr:x>0.33179</cdr:x>
      <cdr:y>0.66145</cdr:y>
    </cdr:to>
    <cdr:pic>
      <cdr:nvPicPr>
        <cdr:cNvPr id="15" name="Picture 14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AE13334-E30A-4A17-AF74-5F10C419A1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70050" y="3146422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0.41546</cdr:x>
      <cdr:y>0.43507</cdr:y>
    </cdr:from>
    <cdr:to>
      <cdr:x>0.46269</cdr:x>
      <cdr:y>0.49067</cdr:y>
    </cdr:to>
    <cdr:pic>
      <cdr:nvPicPr>
        <cdr:cNvPr id="16" name="Picture 1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F546BFA-1925-4C92-977F-9AA12DA1D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65847" y="2371436"/>
          <a:ext cx="303067" cy="303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0.52139</cdr:x>
      <cdr:y>0.49067</cdr:y>
    </cdr:from>
    <cdr:to>
      <cdr:x>0.58428</cdr:x>
      <cdr:y>0.5647</cdr:y>
    </cdr:to>
    <cdr:pic>
      <cdr:nvPicPr>
        <cdr:cNvPr id="12" name="Picture 1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9B88D3-6681-4449-AA6F-260B2EB710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345584" y="2674505"/>
          <a:ext cx="403513" cy="403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0.50453</cdr:x>
      <cdr:y>0.46684</cdr:y>
    </cdr:from>
    <cdr:to>
      <cdr:x>0.56255</cdr:x>
      <cdr:y>0.53515</cdr:y>
    </cdr:to>
    <cdr:pic>
      <cdr:nvPicPr>
        <cdr:cNvPr id="17" name="Picture 16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C591115-95E5-4E48-8BCB-47A822C5121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37347" y="2544620"/>
          <a:ext cx="372340" cy="3723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0.58887</cdr:x>
      <cdr:y>0.63683</cdr:y>
    </cdr:from>
    <cdr:to>
      <cdr:x>0.65229</cdr:x>
      <cdr:y>0.71149</cdr:y>
    </cdr:to>
    <cdr:pic>
      <cdr:nvPicPr>
        <cdr:cNvPr id="19" name="Picture 18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9A11C32-74F5-46A5-8DEA-F13F7DE1FDF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8538" y="3471141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0.50925</cdr:x>
      <cdr:y>0.89736</cdr:y>
    </cdr:from>
    <cdr:to>
      <cdr:x>0.57402</cdr:x>
      <cdr:y>0.97362</cdr:y>
    </cdr:to>
    <cdr:pic>
      <cdr:nvPicPr>
        <cdr:cNvPr id="18" name="Picture 17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44A846-254B-4F3E-A90C-C2EC1FF942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67652" y="4891231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0.749</cdr:x>
      <cdr:y>0.14991</cdr:y>
    </cdr:from>
    <cdr:to>
      <cdr:x>0.96761</cdr:x>
      <cdr:y>0.27859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4839CE6F-8E84-F9BA-F002-B957C2BC03BC}"/>
            </a:ext>
          </a:extLst>
        </cdr:cNvPr>
        <cdr:cNvSpPr txBox="1"/>
      </cdr:nvSpPr>
      <cdr:spPr>
        <a:xfrm xmlns:a="http://schemas.openxmlformats.org/drawingml/2006/main">
          <a:off x="4806014" y="817129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0.03558</cdr:x>
      <cdr:y>0.15292</cdr:y>
    </cdr:from>
    <cdr:to>
      <cdr:x>0.24092</cdr:x>
      <cdr:y>0.27859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3EEFB0F0-15D4-65F5-D202-DDCA485BD3F3}"/>
            </a:ext>
          </a:extLst>
        </cdr:cNvPr>
        <cdr:cNvSpPr txBox="1"/>
      </cdr:nvSpPr>
      <cdr:spPr>
        <a:xfrm xmlns:a="http://schemas.openxmlformats.org/drawingml/2006/main">
          <a:off x="228312" y="833509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0.03491</cdr:x>
      <cdr:y>0.84891</cdr:y>
    </cdr:from>
    <cdr:to>
      <cdr:x>0.24024</cdr:x>
      <cdr:y>0.97458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A3C1F81B-B0D6-C981-CE0E-D924A5937254}"/>
            </a:ext>
          </a:extLst>
        </cdr:cNvPr>
        <cdr:cNvSpPr txBox="1"/>
      </cdr:nvSpPr>
      <cdr:spPr>
        <a:xfrm xmlns:a="http://schemas.openxmlformats.org/drawingml/2006/main">
          <a:off x="223982" y="4627129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0.74878</cdr:x>
      <cdr:y>0.84811</cdr:y>
    </cdr:from>
    <cdr:to>
      <cdr:x>0.9674</cdr:x>
      <cdr:y>0.97679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:a16="http://schemas.microsoft.com/office/drawing/2014/main" id="{40B4D5A1-E54C-857D-CD34-AB96EE82EA4F}"/>
            </a:ext>
          </a:extLst>
        </cdr:cNvPr>
        <cdr:cNvSpPr txBox="1"/>
      </cdr:nvSpPr>
      <cdr:spPr>
        <a:xfrm xmlns:a="http://schemas.openxmlformats.org/drawingml/2006/main">
          <a:off x="4804642" y="4622800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0.8925</cdr:x>
      <cdr:y>0.26429</cdr:y>
    </cdr:from>
    <cdr:to>
      <cdr:x>0.92974</cdr:x>
      <cdr:y>0.27911</cdr:y>
    </cdr:to>
    <cdr:sp macro="" textlink="">
      <cdr:nvSpPr>
        <cdr:cNvPr id="36" name="Half Frame 35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805937" y="1361482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0.07539</cdr:x>
      <cdr:y>0.26429</cdr:y>
    </cdr:from>
    <cdr:to>
      <cdr:x>0.11263</cdr:x>
      <cdr:y>0.27911</cdr:y>
    </cdr:to>
    <cdr:sp macro="" textlink="">
      <cdr:nvSpPr>
        <cdr:cNvPr id="37" name="Half Frame 36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62856" y="1361482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0.89453</cdr:x>
      <cdr:y>0.20154</cdr:y>
    </cdr:from>
    <cdr:to>
      <cdr:x>0.93177</cdr:x>
      <cdr:y>0.21636</cdr:y>
    </cdr:to>
    <cdr:sp macro="" textlink="">
      <cdr:nvSpPr>
        <cdr:cNvPr id="42" name="Half Frame 41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818926" y="1019448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0.8925</cdr:x>
      <cdr:y>0.89736</cdr:y>
    </cdr:from>
    <cdr:to>
      <cdr:x>0.92974</cdr:x>
      <cdr:y>0.91218</cdr:y>
    </cdr:to>
    <cdr:sp macro="" textlink="">
      <cdr:nvSpPr>
        <cdr:cNvPr id="43" name="Half Frame 42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805938" y="4812131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0.06864</cdr:x>
      <cdr:y>0.19598</cdr:y>
    </cdr:from>
    <cdr:to>
      <cdr:x>0.11115</cdr:x>
      <cdr:y>0.22934</cdr:y>
    </cdr:to>
    <cdr:sp macro="" textlink="">
      <cdr:nvSpPr>
        <cdr:cNvPr id="44" name="Multiplication Sign 43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440459" y="1068243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0.06662</cdr:x>
      <cdr:y>0.89418</cdr:y>
    </cdr:from>
    <cdr:to>
      <cdr:x>0.10913</cdr:x>
      <cdr:y>0.92755</cdr:y>
    </cdr:to>
    <cdr:sp macro="" textlink="">
      <cdr:nvSpPr>
        <cdr:cNvPr id="45" name="Multiplication Sign 44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427470" y="4873914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0.06729</cdr:x>
      <cdr:y>0.95376</cdr:y>
    </cdr:from>
    <cdr:to>
      <cdr:x>0.1098</cdr:x>
      <cdr:y>0.98712</cdr:y>
    </cdr:to>
    <cdr:sp macro="" textlink="">
      <cdr:nvSpPr>
        <cdr:cNvPr id="46" name="Multiplication Sign 45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431800" y="5198630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0.88845</cdr:x>
      <cdr:y>0.95535</cdr:y>
    </cdr:from>
    <cdr:to>
      <cdr:x>0.93096</cdr:x>
      <cdr:y>0.98871</cdr:y>
    </cdr:to>
    <cdr:sp macro="" textlink="">
      <cdr:nvSpPr>
        <cdr:cNvPr id="47" name="Multiplication Sign 46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5700857" y="5207289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0.6822</cdr:x>
      <cdr:y>0.21363</cdr:y>
    </cdr:from>
    <cdr:to>
      <cdr:x>0.84548</cdr:x>
      <cdr:y>0.34231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6CF172D-CD30-A0D9-EC50-07EFC599219B}"/>
            </a:ext>
          </a:extLst>
        </cdr:cNvPr>
        <cdr:cNvSpPr txBox="1"/>
      </cdr:nvSpPr>
      <cdr:spPr>
        <a:xfrm xmlns:a="http://schemas.openxmlformats.org/drawingml/2006/main">
          <a:off x="4377385" y="1164433"/>
          <a:ext cx="1047752" cy="701387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 b="0" cap="none" spc="0">
              <a:ln w="0"/>
              <a:solidFill>
                <a:srgbClr val="FFFF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Pachuca</a:t>
          </a:r>
        </a:p>
        <a:p xmlns:a="http://schemas.openxmlformats.org/drawingml/2006/main">
          <a:pPr algn="ctr"/>
          <a:r>
            <a:rPr lang="es-MX" sz="14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+6 xGF</a:t>
          </a:r>
        </a:p>
        <a:p xmlns:a="http://schemas.openxmlformats.org/drawingml/2006/main">
          <a:pPr algn="ctr"/>
          <a:r>
            <a:rPr lang="es-MX" sz="14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-5</a:t>
          </a:r>
          <a:r>
            <a:rPr lang="es-MX" sz="1400" b="0" cap="none" spc="0" baseline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xGC</a:t>
          </a:r>
          <a:endParaRPr lang="es-MX" sz="1400" b="0" cap="none" spc="0">
            <a:ln w="0"/>
            <a:solidFill>
              <a:schemeClr val="accent5">
                <a:lumMod val="20000"/>
                <a:lumOff val="8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0.23552</cdr:x>
      <cdr:y>0.21505</cdr:y>
    </cdr:from>
    <cdr:to>
      <cdr:x>0.39454</cdr:x>
      <cdr:y>0.34373</cdr:y>
    </cdr:to>
    <cdr:sp macro="" textlink="">
      <cdr:nvSpPr>
        <cdr:cNvPr id="39" name="TextBox 1">
          <a:extLst xmlns:a="http://schemas.openxmlformats.org/drawingml/2006/main">
            <a:ext uri="{FF2B5EF4-FFF2-40B4-BE49-F238E27FC236}">
              <a16:creationId xmlns:a16="http://schemas.microsoft.com/office/drawing/2014/main" id="{083B079D-DAD3-6CEB-7945-79EE2D4DF5A3}"/>
            </a:ext>
          </a:extLst>
        </cdr:cNvPr>
        <cdr:cNvSpPr txBox="1"/>
      </cdr:nvSpPr>
      <cdr:spPr>
        <a:xfrm xmlns:a="http://schemas.openxmlformats.org/drawingml/2006/main">
          <a:off x="1511228" y="1172152"/>
          <a:ext cx="1020401" cy="701387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 b="0" cap="none" spc="0">
              <a:ln w="0"/>
              <a:solidFill>
                <a:srgbClr val="FFFF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Atlas</a:t>
          </a:r>
          <a:endParaRPr lang="es-MX" sz="1400" b="0" cap="none" spc="0">
            <a:ln w="0"/>
            <a:solidFill>
              <a:srgbClr val="FFFF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 xmlns:a="http://schemas.openxmlformats.org/drawingml/2006/main">
          <a:pPr algn="ctr"/>
          <a:r>
            <a:rPr lang="es-MX" sz="1400" b="0" cap="none" spc="0">
              <a:ln w="0"/>
              <a:solidFill>
                <a:schemeClr val="accent2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-2 xGF</a:t>
          </a:r>
        </a:p>
        <a:p xmlns:a="http://schemas.openxmlformats.org/drawingml/2006/main">
          <a:pPr algn="ctr"/>
          <a:r>
            <a:rPr lang="es-MX" sz="14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-5</a:t>
          </a:r>
          <a:r>
            <a:rPr lang="es-MX" sz="1400" b="0" cap="none" spc="0" baseline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xGC</a:t>
          </a:r>
          <a:endParaRPr lang="es-MX" sz="1400" b="0" cap="none" spc="0">
            <a:ln w="0"/>
            <a:solidFill>
              <a:schemeClr val="accent5">
                <a:lumMod val="20000"/>
                <a:lumOff val="8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0.32189</cdr:x>
      <cdr:y>0.34549</cdr:y>
    </cdr:from>
    <cdr:to>
      <cdr:x>0.3878</cdr:x>
      <cdr:y>0.40131</cdr:y>
    </cdr:to>
    <cdr:cxnSp macro="">
      <cdr:nvCxnSpPr>
        <cdr:cNvPr id="25" name="Connector: Curved 24">
          <a:extLst xmlns:a="http://schemas.openxmlformats.org/drawingml/2006/main">
            <a:ext uri="{FF2B5EF4-FFF2-40B4-BE49-F238E27FC236}">
              <a16:creationId xmlns:a16="http://schemas.microsoft.com/office/drawing/2014/main" id="{C46C496D-54C9-40EC-12AE-87303843B103}"/>
            </a:ext>
          </a:extLst>
        </cdr:cNvPr>
        <cdr:cNvCxnSpPr>
          <a:endCxn xmlns:a="http://schemas.openxmlformats.org/drawingml/2006/main" id="8" idx="2"/>
        </cdr:cNvCxnSpPr>
      </cdr:nvCxnSpPr>
      <cdr:spPr>
        <a:xfrm xmlns:a="http://schemas.openxmlformats.org/drawingml/2006/main">
          <a:off x="2065409" y="1883138"/>
          <a:ext cx="422950" cy="304276"/>
        </a:xfrm>
        <a:prstGeom xmlns:a="http://schemas.openxmlformats.org/drawingml/2006/main" prst="curvedConnector3">
          <a:avLst/>
        </a:prstGeom>
        <a:ln xmlns:a="http://schemas.openxmlformats.org/drawingml/2006/main" w="19050">
          <a:solidFill>
            <a:srgbClr val="00B05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0.75237</cdr:x>
      <cdr:y>0.34708</cdr:y>
    </cdr:from>
    <cdr:to>
      <cdr:x>0.75499</cdr:x>
      <cdr:y>0.41092</cdr:y>
    </cdr:to>
    <cdr:cxnSp macro="">
      <cdr:nvCxnSpPr>
        <cdr:cNvPr id="30" name="Connector: Curved 29">
          <a:extLst xmlns:a="http://schemas.openxmlformats.org/drawingml/2006/main">
            <a:ext uri="{FF2B5EF4-FFF2-40B4-BE49-F238E27FC236}">
              <a16:creationId xmlns:a16="http://schemas.microsoft.com/office/drawing/2014/main" id="{65C36E6A-EC45-4DC1-7C4F-13ED783E84DC}"/>
            </a:ext>
          </a:extLst>
        </cdr:cNvPr>
        <cdr:cNvCxnSpPr>
          <a:endCxn xmlns:a="http://schemas.openxmlformats.org/drawingml/2006/main" id="13" idx="6"/>
        </cdr:cNvCxnSpPr>
      </cdr:nvCxnSpPr>
      <cdr:spPr>
        <a:xfrm xmlns:a="http://schemas.openxmlformats.org/drawingml/2006/main" rot="16200000" flipH="1">
          <a:off x="4827659" y="1891796"/>
          <a:ext cx="16813" cy="348025"/>
        </a:xfrm>
        <a:prstGeom xmlns:a="http://schemas.openxmlformats.org/drawingml/2006/main" prst="curvedConnector4">
          <a:avLst>
            <a:gd name="adj1" fmla="val 19769"/>
            <a:gd name="adj2" fmla="val 1459662"/>
          </a:avLst>
        </a:prstGeom>
        <a:ln xmlns:a="http://schemas.openxmlformats.org/drawingml/2006/main" w="19050">
          <a:solidFill>
            <a:srgbClr val="00B05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0.18694</cdr:x>
      <cdr:y>0.82287</cdr:y>
    </cdr:from>
    <cdr:to>
      <cdr:x>0.4231</cdr:x>
      <cdr:y>0.96664</cdr:y>
    </cdr:to>
    <cdr:sp macro="" textlink="">
      <cdr:nvSpPr>
        <cdr:cNvPr id="50" name="TextBox 1">
          <a:extLst xmlns:a="http://schemas.openxmlformats.org/drawingml/2006/main">
            <a:ext uri="{FF2B5EF4-FFF2-40B4-BE49-F238E27FC236}">
              <a16:creationId xmlns:a16="http://schemas.microsoft.com/office/drawing/2014/main" id="{4E2A75BA-33EA-214A-0168-ACC8E270805A}"/>
            </a:ext>
          </a:extLst>
        </cdr:cNvPr>
        <cdr:cNvSpPr txBox="1"/>
      </cdr:nvSpPr>
      <cdr:spPr>
        <a:xfrm xmlns:a="http://schemas.openxmlformats.org/drawingml/2006/main">
          <a:off x="1199500" y="4485195"/>
          <a:ext cx="1515341" cy="783649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1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xGF =</a:t>
          </a:r>
          <a:r>
            <a:rPr lang="es-MX" sz="1100" b="0" cap="none" spc="0" baseline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Goles a Favor Esperados</a:t>
          </a:r>
        </a:p>
        <a:p xmlns:a="http://schemas.openxmlformats.org/drawingml/2006/main">
          <a:pPr algn="ctr"/>
          <a:r>
            <a:rPr lang="es-MX" sz="1100" b="0" cap="none" spc="0" baseline="0">
              <a:ln w="0"/>
              <a:solidFill>
                <a:schemeClr val="accent2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xGC = Goles en Contra Esperados</a:t>
          </a:r>
          <a:endParaRPr lang="es-MX" sz="1100" b="0" cap="none" spc="0">
            <a:ln w="0"/>
            <a:solidFill>
              <a:schemeClr val="accent2">
                <a:lumMod val="20000"/>
                <a:lumOff val="8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480364</xdr:colOff>
      <xdr:row>1</xdr:row>
      <xdr:rowOff>26192</xdr:rowOff>
    </xdr:from>
    <xdr:to>
      <xdr:col>13</xdr:col>
      <xdr:colOff>402649</xdr:colOff>
      <xdr:row>31</xdr:row>
      <xdr:rowOff>21648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EB292-2EEF-4640-8C91-05AF07C92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60613</xdr:colOff>
      <xdr:row>31</xdr:row>
      <xdr:rowOff>112568</xdr:rowOff>
    </xdr:from>
    <xdr:to>
      <xdr:col>3</xdr:col>
      <xdr:colOff>606135</xdr:colOff>
      <xdr:row>43</xdr:row>
      <xdr:rowOff>155863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18AC4B3-3827-4D0D-B0A4-77D0DDA4CA81}"/>
            </a:ext>
          </a:extLst>
        </xdr:cNvPr>
        <xdr:cNvSpPr/>
      </xdr:nvSpPr>
      <xdr:spPr>
        <a:xfrm>
          <a:off x="60613" y="5722793"/>
          <a:ext cx="2964872" cy="2214995"/>
        </a:xfrm>
        <a:prstGeom prst="rect">
          <a:avLst/>
        </a:prstGeom>
        <a:solidFill>
          <a:srgbClr val="FFCCCC">
            <a:alpha val="4980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62346</xdr:colOff>
      <xdr:row>31</xdr:row>
      <xdr:rowOff>109971</xdr:rowOff>
    </xdr:from>
    <xdr:to>
      <xdr:col>8</xdr:col>
      <xdr:colOff>458931</xdr:colOff>
      <xdr:row>43</xdr:row>
      <xdr:rowOff>151533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99E05FE-BEB2-4AE5-9702-C93C83F76116}"/>
            </a:ext>
          </a:extLst>
        </xdr:cNvPr>
        <xdr:cNvSpPr/>
      </xdr:nvSpPr>
      <xdr:spPr>
        <a:xfrm>
          <a:off x="3129396" y="5720196"/>
          <a:ext cx="2987385" cy="2213262"/>
        </a:xfrm>
        <a:prstGeom prst="rect">
          <a:avLst/>
        </a:prstGeom>
        <a:solidFill>
          <a:schemeClr val="accent4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535132</xdr:colOff>
      <xdr:row>32</xdr:row>
      <xdr:rowOff>34637</xdr:rowOff>
    </xdr:from>
    <xdr:to>
      <xdr:col>18</xdr:col>
      <xdr:colOff>268433</xdr:colOff>
      <xdr:row>44</xdr:row>
      <xdr:rowOff>77932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4F4EBA5-1F69-4834-90F1-C3A09F846647}"/>
            </a:ext>
          </a:extLst>
        </xdr:cNvPr>
        <xdr:cNvSpPr/>
      </xdr:nvSpPr>
      <xdr:spPr>
        <a:xfrm>
          <a:off x="9431482" y="5825837"/>
          <a:ext cx="3448051" cy="2214995"/>
        </a:xfrm>
        <a:prstGeom prst="rect">
          <a:avLst/>
        </a:prstGeom>
        <a:solidFill>
          <a:schemeClr val="accent6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587085</xdr:colOff>
      <xdr:row>31</xdr:row>
      <xdr:rowOff>123825</xdr:rowOff>
    </xdr:from>
    <xdr:to>
      <xdr:col>13</xdr:col>
      <xdr:colOff>316055</xdr:colOff>
      <xdr:row>43</xdr:row>
      <xdr:rowOff>165387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B64E144-430E-4A6E-A97D-F955282E555B}"/>
            </a:ext>
          </a:extLst>
        </xdr:cNvPr>
        <xdr:cNvSpPr/>
      </xdr:nvSpPr>
      <xdr:spPr>
        <a:xfrm>
          <a:off x="6244935" y="5734050"/>
          <a:ext cx="2967470" cy="2213262"/>
        </a:xfrm>
        <a:prstGeom prst="rect">
          <a:avLst/>
        </a:prstGeom>
        <a:solidFill>
          <a:schemeClr val="accent1">
            <a:lumMod val="20000"/>
            <a:lumOff val="8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0.03445</cdr:x>
      <cdr:y>0.56693</cdr:y>
    </cdr:from>
    <cdr:to>
      <cdr:x>0.49778</cdr:x>
      <cdr:y>0.976</cdr:y>
    </cdr:to>
    <cdr:sp macro="" textlink="">
      <cdr:nvSpPr>
        <cdr:cNvPr id="47" name="Rectangle 46">
          <a:extLst xmlns:a="http://schemas.openxmlformats.org/drawingml/2006/main">
            <a:ext uri="{FF2B5EF4-FFF2-40B4-BE49-F238E27FC236}">
              <a16:creationId xmlns:a16="http://schemas.microsoft.com/office/drawing/2014/main" id="{781D4C57-CC62-5517-7C8A-EA1E429F031C}"/>
            </a:ext>
          </a:extLst>
        </cdr:cNvPr>
        <cdr:cNvSpPr/>
      </cdr:nvSpPr>
      <cdr:spPr>
        <a:xfrm xmlns:a="http://schemas.openxmlformats.org/drawingml/2006/main">
          <a:off x="221023" y="3090141"/>
          <a:ext cx="2973025" cy="2229715"/>
        </a:xfrm>
        <a:prstGeom xmlns:a="http://schemas.openxmlformats.org/drawingml/2006/main" prst="rect">
          <a:avLst/>
        </a:prstGeom>
        <a:solidFill xmlns:a="http://schemas.openxmlformats.org/drawingml/2006/main">
          <a:srgbClr val="FFCCCC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0.5052</cdr:x>
      <cdr:y>0.1523</cdr:y>
    </cdr:from>
    <cdr:to>
      <cdr:x>0.97191</cdr:x>
      <cdr:y>0.55978</cdr:y>
    </cdr:to>
    <cdr:sp macro="" textlink="">
      <cdr:nvSpPr>
        <cdr:cNvPr id="46" name="Rectangle 45">
          <a:extLst xmlns:a="http://schemas.openxmlformats.org/drawingml/2006/main">
            <a:ext uri="{FF2B5EF4-FFF2-40B4-BE49-F238E27FC236}">
              <a16:creationId xmlns:a16="http://schemas.microsoft.com/office/drawing/2014/main" id="{36CCF319-7FCE-D4A7-80DE-D333305D02DA}"/>
            </a:ext>
          </a:extLst>
        </cdr:cNvPr>
        <cdr:cNvSpPr/>
      </cdr:nvSpPr>
      <cdr:spPr>
        <a:xfrm xmlns:a="http://schemas.openxmlformats.org/drawingml/2006/main">
          <a:off x="3241675" y="830118"/>
          <a:ext cx="2994675" cy="222105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20000"/>
            <a:lumOff val="80000"/>
            <a:alpha val="2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0.03761</cdr:x>
      <cdr:y>0.1515</cdr:y>
    </cdr:from>
    <cdr:to>
      <cdr:x>0.50134</cdr:x>
      <cdr:y>0.55946</cdr:y>
    </cdr:to>
    <cdr:sp macro="" textlink="">
      <cdr:nvSpPr>
        <cdr:cNvPr id="60" name="Rectangle 59">
          <a:extLst xmlns:a="http://schemas.openxmlformats.org/drawingml/2006/main">
            <a:ext uri="{FF2B5EF4-FFF2-40B4-BE49-F238E27FC236}">
              <a16:creationId xmlns:a16="http://schemas.microsoft.com/office/drawing/2014/main" id="{1858E9C6-8800-B139-9DCF-28C2268DBED1}"/>
            </a:ext>
          </a:extLst>
        </cdr:cNvPr>
        <cdr:cNvSpPr/>
      </cdr:nvSpPr>
      <cdr:spPr>
        <a:xfrm xmlns:a="http://schemas.openxmlformats.org/drawingml/2006/main">
          <a:off x="241300" y="825788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0.21844</cdr:x>
      <cdr:y>0.45016</cdr:y>
    </cdr:from>
    <cdr:to>
      <cdr:x>0.27849</cdr:x>
      <cdr:y>0.52086</cdr:y>
    </cdr:to>
    <cdr:pic>
      <cdr:nvPicPr>
        <cdr:cNvPr id="20" name="Picture 19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1817029-7636-40CE-AA97-84C3001D22A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01622" y="2453696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0.49441</cdr:x>
      <cdr:y>0.4311</cdr:y>
    </cdr:from>
    <cdr:to>
      <cdr:x>0.54501</cdr:x>
      <cdr:y>0.49067</cdr:y>
    </cdr:to>
    <cdr:pic>
      <cdr:nvPicPr>
        <cdr:cNvPr id="21" name="Picture 20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334030-00DE-45D0-95B8-CFD1A159E94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72404" y="2349786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0.42693</cdr:x>
      <cdr:y>0.44222</cdr:y>
    </cdr:from>
    <cdr:to>
      <cdr:x>0.47821</cdr:x>
      <cdr:y>0.50259</cdr:y>
    </cdr:to>
    <cdr:pic>
      <cdr:nvPicPr>
        <cdr:cNvPr id="22" name="Picture 21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DEE8C80-CB1D-45E9-8440-5B0D9DD9B26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39447" y="2410400"/>
          <a:ext cx="329046" cy="3290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0.32977</cdr:x>
      <cdr:y>0.44143</cdr:y>
    </cdr:from>
    <cdr:to>
      <cdr:x>0.38105</cdr:x>
      <cdr:y>0.50179</cdr:y>
    </cdr:to>
    <cdr:pic>
      <cdr:nvPicPr>
        <cdr:cNvPr id="23" name="Picture 2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13BA07-CD6A-4318-8F0D-B96750ACB9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15991" y="2406072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0.32639</cdr:x>
      <cdr:y>0.30004</cdr:y>
    </cdr:from>
    <cdr:to>
      <cdr:x>0.38307</cdr:x>
      <cdr:y>0.36676</cdr:y>
    </cdr:to>
    <cdr:pic>
      <cdr:nvPicPr>
        <cdr:cNvPr id="24" name="Picture 2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0209262-935D-4683-A9D4-772F6D662E9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94345" y="1635412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0.32437</cdr:x>
      <cdr:y>0.35485</cdr:y>
    </cdr:from>
    <cdr:to>
      <cdr:x>0.38645</cdr:x>
      <cdr:y>0.42792</cdr:y>
    </cdr:to>
    <cdr:pic>
      <cdr:nvPicPr>
        <cdr:cNvPr id="25" name="Picture 2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CA616C5-1E9A-453F-B7BC-ED9EBE5EAD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1357" y="1934152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0.55648</cdr:x>
      <cdr:y>0.34611</cdr:y>
    </cdr:from>
    <cdr:to>
      <cdr:x>0.61397</cdr:x>
      <cdr:y>0.41378</cdr:y>
    </cdr:to>
    <cdr:pic>
      <cdr:nvPicPr>
        <cdr:cNvPr id="27" name="Picture 26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D6012D68-303F-45B8-B4AE-311490EE26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0720" y="1886525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0.28524</cdr:x>
      <cdr:y>0.27065</cdr:y>
    </cdr:from>
    <cdr:to>
      <cdr:x>0.34205</cdr:x>
      <cdr:y>0.33753</cdr:y>
    </cdr:to>
    <cdr:pic>
      <cdr:nvPicPr>
        <cdr:cNvPr id="28" name="Picture 2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5B7A90C1-AE93-4A1B-B85C-4EB1314DB26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830243" y="1475220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0.18267</cdr:x>
      <cdr:y>0.23093</cdr:y>
    </cdr:from>
    <cdr:to>
      <cdr:x>0.24691</cdr:x>
      <cdr:y>0.30655</cdr:y>
    </cdr:to>
    <cdr:pic>
      <cdr:nvPicPr>
        <cdr:cNvPr id="29" name="Picture 28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1B6D9EC-2709-46CD-90CF-0144AF1C93F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72153" y="1258743"/>
          <a:ext cx="412170" cy="4121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0.46404</cdr:x>
      <cdr:y>0.50259</cdr:y>
    </cdr:from>
    <cdr:to>
      <cdr:x>0.52693</cdr:x>
      <cdr:y>0.57662</cdr:y>
    </cdr:to>
    <cdr:pic>
      <cdr:nvPicPr>
        <cdr:cNvPr id="30" name="Picture 2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D9BA562-4393-4F1B-8CD7-98079C47E1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7573" y="2739447"/>
          <a:ext cx="403513" cy="403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0.36216</cdr:x>
      <cdr:y>0.47161</cdr:y>
    </cdr:from>
    <cdr:to>
      <cdr:x>0.41614</cdr:x>
      <cdr:y>0.53515</cdr:y>
    </cdr:to>
    <cdr:pic>
      <cdr:nvPicPr>
        <cdr:cNvPr id="32" name="Picture 31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38B32C95-D3DB-4BF3-8F28-BACC32A726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3810" y="2570593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0.33112</cdr:x>
      <cdr:y>0.60823</cdr:y>
    </cdr:from>
    <cdr:to>
      <cdr:x>0.40264</cdr:x>
      <cdr:y>0.69243</cdr:y>
    </cdr:to>
    <cdr:pic>
      <cdr:nvPicPr>
        <cdr:cNvPr id="33" name="Picture 32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CEC8D3A-4BEA-4FC4-AD1D-4EDC6AA9A0F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24651" y="3315274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0.22788</cdr:x>
      <cdr:y>0.3334</cdr:y>
    </cdr:from>
    <cdr:to>
      <cdr:x>0.27511</cdr:x>
      <cdr:y>0.389</cdr:y>
    </cdr:to>
    <cdr:pic>
      <cdr:nvPicPr>
        <cdr:cNvPr id="34" name="Picture 33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ADCC984C-34D8-45DA-BA70-AB6B84EDAA1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62234" y="1817255"/>
          <a:ext cx="303067" cy="303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0.3075</cdr:x>
      <cdr:y>0.49544</cdr:y>
    </cdr:from>
    <cdr:to>
      <cdr:x>0.36553</cdr:x>
      <cdr:y>0.56375</cdr:y>
    </cdr:to>
    <cdr:pic>
      <cdr:nvPicPr>
        <cdr:cNvPr id="35" name="Picture 34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3884A1C-1D3B-4597-AAB0-9D39BAA5937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73118" y="2700483"/>
          <a:ext cx="372340" cy="3723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0.45527</cdr:x>
      <cdr:y>0.37788</cdr:y>
    </cdr:from>
    <cdr:to>
      <cdr:x>0.5187</cdr:x>
      <cdr:y>0.45255</cdr:y>
    </cdr:to>
    <cdr:pic>
      <cdr:nvPicPr>
        <cdr:cNvPr id="37" name="Picture 36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B24F210-1EB2-42EF-A717-3CDD2F49AA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1288" y="2059706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0.54501</cdr:x>
      <cdr:y>0.46208</cdr:y>
    </cdr:from>
    <cdr:to>
      <cdr:x>0.59562</cdr:x>
      <cdr:y>0.52165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BFCE78F-70FA-45BB-9CB3-F830C626E2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97121" y="2518640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0.32505</cdr:x>
      <cdr:y>0.25238</cdr:y>
    </cdr:from>
    <cdr:to>
      <cdr:x>0.3797</cdr:x>
      <cdr:y>0.31672</cdr:y>
    </cdr:to>
    <cdr:pic>
      <cdr:nvPicPr>
        <cdr:cNvPr id="26" name="Picture 25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5F41C5C-AFF8-4832-B7AA-ECD3FC36AC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5687" y="1375637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0.29873</cdr:x>
      <cdr:y>0.48035</cdr:y>
    </cdr:from>
    <cdr:to>
      <cdr:x>0.35878</cdr:x>
      <cdr:y>0.55104</cdr:y>
    </cdr:to>
    <cdr:pic>
      <cdr:nvPicPr>
        <cdr:cNvPr id="2" name="Picture 1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558425C-491E-4B64-A29F-208CD3E2CE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16836" y="2618221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0.53489</cdr:x>
      <cdr:y>0.48273</cdr:y>
    </cdr:from>
    <cdr:to>
      <cdr:x>0.59966</cdr:x>
      <cdr:y>0.55898</cdr:y>
    </cdr:to>
    <cdr:pic>
      <cdr:nvPicPr>
        <cdr:cNvPr id="36" name="Picture 3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A58B6E-2152-4F20-B333-9AF5E03022F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32173" y="2631207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0.58955</cdr:x>
      <cdr:y>0.49147</cdr:y>
    </cdr:from>
    <cdr:to>
      <cdr:x>0.64083</cdr:x>
      <cdr:y>0.55184</cdr:y>
    </cdr:to>
    <cdr:pic>
      <cdr:nvPicPr>
        <cdr:cNvPr id="4" name="Picture 3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0C294FD-0BB3-4FA9-9B19-36D4C2CC4B7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2885" y="2678847"/>
          <a:ext cx="329043" cy="329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0.50588</cdr:x>
      <cdr:y>0.56534</cdr:y>
    </cdr:from>
    <cdr:to>
      <cdr:x>0.96961</cdr:x>
      <cdr:y>0.9733</cdr:y>
    </cdr:to>
    <cdr:sp macro="" textlink="">
      <cdr:nvSpPr>
        <cdr:cNvPr id="61" name="Rectangle 60">
          <a:extLst xmlns:a="http://schemas.openxmlformats.org/drawingml/2006/main">
            <a:ext uri="{FF2B5EF4-FFF2-40B4-BE49-F238E27FC236}">
              <a16:creationId xmlns:a16="http://schemas.microsoft.com/office/drawing/2014/main" id="{1858E9C6-8800-B139-9DCF-28C2268DBED1}"/>
            </a:ext>
          </a:extLst>
        </cdr:cNvPr>
        <cdr:cNvSpPr/>
      </cdr:nvSpPr>
      <cdr:spPr>
        <a:xfrm xmlns:a="http://schemas.openxmlformats.org/drawingml/2006/main">
          <a:off x="3246005" y="3081483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0.1793</cdr:x>
      <cdr:y>0.60903</cdr:y>
    </cdr:from>
    <cdr:to>
      <cdr:x>0.23058</cdr:x>
      <cdr:y>0.66939</cdr:y>
    </cdr:to>
    <cdr:pic>
      <cdr:nvPicPr>
        <cdr:cNvPr id="5" name="Picture 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4A96DFF-F97D-4C80-8579-2249F7EA32B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50503" y="3319606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0.60506</cdr:x>
      <cdr:y>0.43587</cdr:y>
    </cdr:from>
    <cdr:to>
      <cdr:x>0.66174</cdr:x>
      <cdr:y>0.50259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A3BE820-4745-4DFF-B534-CE3F45FAAE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82448" y="2375766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0.22181</cdr:x>
      <cdr:y>0.60744</cdr:y>
    </cdr:from>
    <cdr:to>
      <cdr:x>0.28389</cdr:x>
      <cdr:y>0.68051</cdr:y>
    </cdr:to>
    <cdr:pic>
      <cdr:nvPicPr>
        <cdr:cNvPr id="7" name="Picture 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DE2BF74-A289-4E2E-B4A2-34CC1769F8A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23265" y="3310948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0.3878</cdr:x>
      <cdr:y>0.36914</cdr:y>
    </cdr:from>
    <cdr:to>
      <cdr:x>0.44245</cdr:x>
      <cdr:y>0.43348</cdr:y>
    </cdr:to>
    <cdr:pic>
      <cdr:nvPicPr>
        <cdr:cNvPr id="8" name="Picture 7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FE6A655-E189-43F1-8B64-2D6A414B038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88337" y="2012082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0.628</cdr:x>
      <cdr:y>0.57249</cdr:y>
    </cdr:from>
    <cdr:to>
      <cdr:x>0.68549</cdr:x>
      <cdr:y>0.64016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B1A4ACE-E935-448A-B5D5-91F4EB65E7F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29652" y="3120446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0.44717</cdr:x>
      <cdr:y>0.46684</cdr:y>
    </cdr:from>
    <cdr:to>
      <cdr:x>0.50399</cdr:x>
      <cdr:y>0.53372</cdr:y>
    </cdr:to>
    <cdr:pic>
      <cdr:nvPicPr>
        <cdr:cNvPr id="10" name="Picture 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554A965-0171-4935-8D15-23147876025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9336" y="2544617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0.59022</cdr:x>
      <cdr:y>0.52721</cdr:y>
    </cdr:from>
    <cdr:to>
      <cdr:x>0.65445</cdr:x>
      <cdr:y>0.60283</cdr:y>
    </cdr:to>
    <cdr:pic>
      <cdr:nvPicPr>
        <cdr:cNvPr id="11" name="Picture 1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4CA5C33-4E2A-4134-9331-4C378B29E5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7222" y="2873655"/>
          <a:ext cx="412138" cy="4121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0.68941</cdr:x>
      <cdr:y>0.37232</cdr:y>
    </cdr:from>
    <cdr:to>
      <cdr:x>0.75499</cdr:x>
      <cdr:y>0.44953</cdr:y>
    </cdr:to>
    <cdr:pic>
      <cdr:nvPicPr>
        <cdr:cNvPr id="13" name="Picture 12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7DC3E3A-3713-4791-B2E2-345B7F724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23641" y="2029401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0.35878</cdr:x>
      <cdr:y>0.42713</cdr:y>
    </cdr:from>
    <cdr:to>
      <cdr:x>0.41276</cdr:x>
      <cdr:y>0.49067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40ACF405-8486-4818-9500-EE8B5324E2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2165" y="2328139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0.26027</cdr:x>
      <cdr:y>0.57725</cdr:y>
    </cdr:from>
    <cdr:to>
      <cdr:x>0.33179</cdr:x>
      <cdr:y>0.66145</cdr:y>
    </cdr:to>
    <cdr:pic>
      <cdr:nvPicPr>
        <cdr:cNvPr id="15" name="Picture 14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AE13334-E30A-4A17-AF74-5F10C419A1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70050" y="3146422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0.41276</cdr:x>
      <cdr:y>0.4303</cdr:y>
    </cdr:from>
    <cdr:to>
      <cdr:x>0.45999</cdr:x>
      <cdr:y>0.4859</cdr:y>
    </cdr:to>
    <cdr:pic>
      <cdr:nvPicPr>
        <cdr:cNvPr id="16" name="Picture 1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F546BFA-1925-4C92-977F-9AA12DA1D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524" y="2345452"/>
          <a:ext cx="303057" cy="303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0.51397</cdr:x>
      <cdr:y>0.49861</cdr:y>
    </cdr:from>
    <cdr:to>
      <cdr:x>0.57686</cdr:x>
      <cdr:y>0.57264</cdr:y>
    </cdr:to>
    <cdr:pic>
      <cdr:nvPicPr>
        <cdr:cNvPr id="12" name="Picture 1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9B88D3-6681-4449-AA6F-260B2EB710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7928" y="2717782"/>
          <a:ext cx="403540" cy="403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0.49981</cdr:x>
      <cdr:y>0.46763</cdr:y>
    </cdr:from>
    <cdr:to>
      <cdr:x>0.55783</cdr:x>
      <cdr:y>0.53594</cdr:y>
    </cdr:to>
    <cdr:pic>
      <cdr:nvPicPr>
        <cdr:cNvPr id="17" name="Picture 16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C591115-95E5-4E48-8BCB-47A822C5121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07063" y="2548927"/>
          <a:ext cx="372292" cy="372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0.58887</cdr:x>
      <cdr:y>0.63683</cdr:y>
    </cdr:from>
    <cdr:to>
      <cdr:x>0.65229</cdr:x>
      <cdr:y>0.71149</cdr:y>
    </cdr:to>
    <cdr:pic>
      <cdr:nvPicPr>
        <cdr:cNvPr id="19" name="Picture 18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9A11C32-74F5-46A5-8DEA-F13F7DE1FDF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8538" y="3471141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0.50925</cdr:x>
      <cdr:y>0.89736</cdr:y>
    </cdr:from>
    <cdr:to>
      <cdr:x>0.57402</cdr:x>
      <cdr:y>0.97362</cdr:y>
    </cdr:to>
    <cdr:pic>
      <cdr:nvPicPr>
        <cdr:cNvPr id="18" name="Picture 17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44A846-254B-4F3E-A90C-C2EC1FF942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67652" y="4891231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0.3021</cdr:x>
      <cdr:y>0.55819</cdr:y>
    </cdr:from>
    <cdr:to>
      <cdr:x>0.36769</cdr:x>
      <cdr:y>0.6354</cdr:y>
    </cdr:to>
    <cdr:pic>
      <cdr:nvPicPr>
        <cdr:cNvPr id="31" name="Picture 30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8F93D67-1018-41E4-B22E-0C8D0B37DC7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38482" y="3042514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0.03761</cdr:x>
      <cdr:y>0.14912</cdr:y>
    </cdr:from>
    <cdr:to>
      <cdr:x>0.24294</cdr:x>
      <cdr:y>0.27479</cdr:y>
    </cdr:to>
    <cdr:sp macro="" textlink="">
      <cdr:nvSpPr>
        <cdr:cNvPr id="48" name="TextBox 1">
          <a:extLst xmlns:a="http://schemas.openxmlformats.org/drawingml/2006/main">
            <a:ext uri="{FF2B5EF4-FFF2-40B4-BE49-F238E27FC236}">
              <a16:creationId xmlns:a16="http://schemas.microsoft.com/office/drawing/2014/main" id="{7AAC46B7-4B2A-AD75-86BC-0CD50D040F60}"/>
            </a:ext>
          </a:extLst>
        </cdr:cNvPr>
        <cdr:cNvSpPr txBox="1"/>
      </cdr:nvSpPr>
      <cdr:spPr>
        <a:xfrm xmlns:a="http://schemas.openxmlformats.org/drawingml/2006/main">
          <a:off x="241300" y="812800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0.03558</cdr:x>
      <cdr:y>0.8505</cdr:y>
    </cdr:from>
    <cdr:to>
      <cdr:x>0.24092</cdr:x>
      <cdr:y>0.97617</cdr:y>
    </cdr:to>
    <cdr:sp macro="" textlink="">
      <cdr:nvSpPr>
        <cdr:cNvPr id="49" name="TextBox 1">
          <a:extLst xmlns:a="http://schemas.openxmlformats.org/drawingml/2006/main">
            <a:ext uri="{FF2B5EF4-FFF2-40B4-BE49-F238E27FC236}">
              <a16:creationId xmlns:a16="http://schemas.microsoft.com/office/drawing/2014/main" id="{7AAC46B7-4B2A-AD75-86BC-0CD50D040F60}"/>
            </a:ext>
          </a:extLst>
        </cdr:cNvPr>
        <cdr:cNvSpPr txBox="1"/>
      </cdr:nvSpPr>
      <cdr:spPr>
        <a:xfrm xmlns:a="http://schemas.openxmlformats.org/drawingml/2006/main">
          <a:off x="228312" y="4635789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0.74878</cdr:x>
      <cdr:y>0.14832</cdr:y>
    </cdr:from>
    <cdr:to>
      <cdr:x>0.9674</cdr:x>
      <cdr:y>0.277</cdr:y>
    </cdr:to>
    <cdr:sp macro="" textlink="">
      <cdr:nvSpPr>
        <cdr:cNvPr id="50" name="TextBox 1">
          <a:extLst xmlns:a="http://schemas.openxmlformats.org/drawingml/2006/main">
            <a:ext uri="{FF2B5EF4-FFF2-40B4-BE49-F238E27FC236}">
              <a16:creationId xmlns:a16="http://schemas.microsoft.com/office/drawing/2014/main" id="{9FCD30EA-D4BA-8AC2-10BB-EC5854C38CCA}"/>
            </a:ext>
          </a:extLst>
        </cdr:cNvPr>
        <cdr:cNvSpPr txBox="1"/>
      </cdr:nvSpPr>
      <cdr:spPr>
        <a:xfrm xmlns:a="http://schemas.openxmlformats.org/drawingml/2006/main">
          <a:off x="4804641" y="808470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0.74878</cdr:x>
      <cdr:y>0.84732</cdr:y>
    </cdr:from>
    <cdr:to>
      <cdr:x>0.9674</cdr:x>
      <cdr:y>0.976</cdr:y>
    </cdr:to>
    <cdr:sp macro="" textlink="">
      <cdr:nvSpPr>
        <cdr:cNvPr id="51" name="TextBox 1">
          <a:extLst xmlns:a="http://schemas.openxmlformats.org/drawingml/2006/main">
            <a:ext uri="{FF2B5EF4-FFF2-40B4-BE49-F238E27FC236}">
              <a16:creationId xmlns:a16="http://schemas.microsoft.com/office/drawing/2014/main" id="{9FCD30EA-D4BA-8AC2-10BB-EC5854C38CCA}"/>
            </a:ext>
          </a:extLst>
        </cdr:cNvPr>
        <cdr:cNvSpPr txBox="1"/>
      </cdr:nvSpPr>
      <cdr:spPr>
        <a:xfrm xmlns:a="http://schemas.openxmlformats.org/drawingml/2006/main">
          <a:off x="4804641" y="4618471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0.89318</cdr:x>
      <cdr:y>0.90054</cdr:y>
    </cdr:from>
    <cdr:to>
      <cdr:x>0.93042</cdr:x>
      <cdr:y>0.91535</cdr:y>
    </cdr:to>
    <cdr:sp macro="" textlink="">
      <cdr:nvSpPr>
        <cdr:cNvPr id="52" name="Half Frame 51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10265" y="4829445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0.89318</cdr:x>
      <cdr:y>0.26429</cdr:y>
    </cdr:from>
    <cdr:to>
      <cdr:x>0.93042</cdr:x>
      <cdr:y>0.27911</cdr:y>
    </cdr:to>
    <cdr:sp macro="" textlink="">
      <cdr:nvSpPr>
        <cdr:cNvPr id="53" name="Half Frame 52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10264" y="1361482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0.89588</cdr:x>
      <cdr:y>0.19995</cdr:y>
    </cdr:from>
    <cdr:to>
      <cdr:x>0.93312</cdr:x>
      <cdr:y>0.21477</cdr:y>
    </cdr:to>
    <cdr:sp macro="" textlink="">
      <cdr:nvSpPr>
        <cdr:cNvPr id="54" name="Half Frame 53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27584" y="1010789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0.07809</cdr:x>
      <cdr:y>0.26271</cdr:y>
    </cdr:from>
    <cdr:to>
      <cdr:x>0.11533</cdr:x>
      <cdr:y>0.27752</cdr:y>
    </cdr:to>
    <cdr:sp macro="" textlink="">
      <cdr:nvSpPr>
        <cdr:cNvPr id="55" name="Half Frame 54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0175" y="1352823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0.06662</cdr:x>
      <cdr:y>0.1936</cdr:y>
    </cdr:from>
    <cdr:to>
      <cdr:x>0.10913</cdr:x>
      <cdr:y>0.22696</cdr:y>
    </cdr:to>
    <cdr:sp macro="" textlink="">
      <cdr:nvSpPr>
        <cdr:cNvPr id="56" name="Multiplication Sign 55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427470" y="1055254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0.06662</cdr:x>
      <cdr:y>0.89339</cdr:y>
    </cdr:from>
    <cdr:to>
      <cdr:x>0.10913</cdr:x>
      <cdr:y>0.92675</cdr:y>
    </cdr:to>
    <cdr:sp macro="" textlink="">
      <cdr:nvSpPr>
        <cdr:cNvPr id="57" name="Multiplication Sign 56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427471" y="4869584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0.06729</cdr:x>
      <cdr:y>0.95693</cdr:y>
    </cdr:from>
    <cdr:to>
      <cdr:x>0.1098</cdr:x>
      <cdr:y>0.9903</cdr:y>
    </cdr:to>
    <cdr:sp macro="" textlink="">
      <cdr:nvSpPr>
        <cdr:cNvPr id="58" name="Multiplication Sign 57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431800" y="5215947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0.89183</cdr:x>
      <cdr:y>0.95693</cdr:y>
    </cdr:from>
    <cdr:to>
      <cdr:x>0.93434</cdr:x>
      <cdr:y>0.9903</cdr:y>
    </cdr:to>
    <cdr:sp macro="" textlink="">
      <cdr:nvSpPr>
        <cdr:cNvPr id="59" name="Multiplication Sign 58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5722504" y="5215948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480364</xdr:colOff>
      <xdr:row>1</xdr:row>
      <xdr:rowOff>26192</xdr:rowOff>
    </xdr:from>
    <xdr:to>
      <xdr:col>13</xdr:col>
      <xdr:colOff>402649</xdr:colOff>
      <xdr:row>31</xdr:row>
      <xdr:rowOff>21648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DA1FD-4076-4042-8AA4-44FD5CA29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60613</xdr:colOff>
      <xdr:row>31</xdr:row>
      <xdr:rowOff>112568</xdr:rowOff>
    </xdr:from>
    <xdr:to>
      <xdr:col>3</xdr:col>
      <xdr:colOff>606135</xdr:colOff>
      <xdr:row>43</xdr:row>
      <xdr:rowOff>155863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E2EAB91-0B69-4B6C-B436-3A6754FD725E}"/>
            </a:ext>
          </a:extLst>
        </xdr:cNvPr>
        <xdr:cNvSpPr/>
      </xdr:nvSpPr>
      <xdr:spPr>
        <a:xfrm>
          <a:off x="60613" y="5722793"/>
          <a:ext cx="2964872" cy="2214995"/>
        </a:xfrm>
        <a:prstGeom prst="rect">
          <a:avLst/>
        </a:prstGeom>
        <a:solidFill>
          <a:srgbClr val="FFCCCC">
            <a:alpha val="4980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62346</xdr:colOff>
      <xdr:row>31</xdr:row>
      <xdr:rowOff>109971</xdr:rowOff>
    </xdr:from>
    <xdr:to>
      <xdr:col>8</xdr:col>
      <xdr:colOff>458931</xdr:colOff>
      <xdr:row>43</xdr:row>
      <xdr:rowOff>151533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2E5EB1D-4E79-41B5-965D-EB8955BBEB15}"/>
            </a:ext>
          </a:extLst>
        </xdr:cNvPr>
        <xdr:cNvSpPr/>
      </xdr:nvSpPr>
      <xdr:spPr>
        <a:xfrm>
          <a:off x="3129396" y="5720196"/>
          <a:ext cx="2987385" cy="2213262"/>
        </a:xfrm>
        <a:prstGeom prst="rect">
          <a:avLst/>
        </a:prstGeom>
        <a:solidFill>
          <a:schemeClr val="accent4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535132</xdr:colOff>
      <xdr:row>32</xdr:row>
      <xdr:rowOff>34637</xdr:rowOff>
    </xdr:from>
    <xdr:to>
      <xdr:col>18</xdr:col>
      <xdr:colOff>268433</xdr:colOff>
      <xdr:row>44</xdr:row>
      <xdr:rowOff>77932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A46D0A2-6185-4580-8056-3881F142AE50}"/>
            </a:ext>
          </a:extLst>
        </xdr:cNvPr>
        <xdr:cNvSpPr/>
      </xdr:nvSpPr>
      <xdr:spPr>
        <a:xfrm>
          <a:off x="9431482" y="5825837"/>
          <a:ext cx="2971801" cy="2214995"/>
        </a:xfrm>
        <a:prstGeom prst="rect">
          <a:avLst/>
        </a:prstGeom>
        <a:solidFill>
          <a:schemeClr val="accent6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587085</xdr:colOff>
      <xdr:row>31</xdr:row>
      <xdr:rowOff>123825</xdr:rowOff>
    </xdr:from>
    <xdr:to>
      <xdr:col>13</xdr:col>
      <xdr:colOff>316055</xdr:colOff>
      <xdr:row>43</xdr:row>
      <xdr:rowOff>165387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B077593-ED23-4022-8BA4-B5CFB8BE2481}"/>
            </a:ext>
          </a:extLst>
        </xdr:cNvPr>
        <xdr:cNvSpPr/>
      </xdr:nvSpPr>
      <xdr:spPr>
        <a:xfrm>
          <a:off x="6244935" y="5734050"/>
          <a:ext cx="2967470" cy="2213262"/>
        </a:xfrm>
        <a:prstGeom prst="rect">
          <a:avLst/>
        </a:prstGeom>
        <a:solidFill>
          <a:schemeClr val="accent1">
            <a:lumMod val="20000"/>
            <a:lumOff val="8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0.03356</cdr:x>
      <cdr:y>0.56613</cdr:y>
    </cdr:from>
    <cdr:to>
      <cdr:x>0.49689</cdr:x>
      <cdr:y>0.9752</cdr:y>
    </cdr:to>
    <cdr:sp macro="" textlink="">
      <cdr:nvSpPr>
        <cdr:cNvPr id="51" name="Rectangle 50">
          <a:extLst xmlns:a="http://schemas.openxmlformats.org/drawingml/2006/main">
            <a:ext uri="{FF2B5EF4-FFF2-40B4-BE49-F238E27FC236}">
              <a16:creationId xmlns:a16="http://schemas.microsoft.com/office/drawing/2014/main" id="{3BEE2B81-8532-32A8-9E68-2511F28C4038}"/>
            </a:ext>
          </a:extLst>
        </cdr:cNvPr>
        <cdr:cNvSpPr/>
      </cdr:nvSpPr>
      <cdr:spPr>
        <a:xfrm xmlns:a="http://schemas.openxmlformats.org/drawingml/2006/main">
          <a:off x="215323" y="3085811"/>
          <a:ext cx="2973005" cy="2229711"/>
        </a:xfrm>
        <a:prstGeom xmlns:a="http://schemas.openxmlformats.org/drawingml/2006/main" prst="rect">
          <a:avLst/>
        </a:prstGeom>
        <a:solidFill xmlns:a="http://schemas.openxmlformats.org/drawingml/2006/main">
          <a:srgbClr val="FFCCCC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0.50723</cdr:x>
      <cdr:y>0.56772</cdr:y>
    </cdr:from>
    <cdr:to>
      <cdr:x>0.97096</cdr:x>
      <cdr:y>0.97568</cdr:y>
    </cdr:to>
    <cdr:sp macro="" textlink="">
      <cdr:nvSpPr>
        <cdr:cNvPr id="50" name="Rectangle 49">
          <a:extLst xmlns:a="http://schemas.openxmlformats.org/drawingml/2006/main">
            <a:ext uri="{FF2B5EF4-FFF2-40B4-BE49-F238E27FC236}">
              <a16:creationId xmlns:a16="http://schemas.microsoft.com/office/drawing/2014/main" id="{F3D571D4-7AF9-F72F-C8C7-9035DAAB9A28}"/>
            </a:ext>
          </a:extLst>
        </cdr:cNvPr>
        <cdr:cNvSpPr/>
      </cdr:nvSpPr>
      <cdr:spPr>
        <a:xfrm xmlns:a="http://schemas.openxmlformats.org/drawingml/2006/main">
          <a:off x="3254664" y="3094471"/>
          <a:ext cx="2975572" cy="2223661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0.03558</cdr:x>
      <cdr:y>0.14912</cdr:y>
    </cdr:from>
    <cdr:to>
      <cdr:x>0.49931</cdr:x>
      <cdr:y>0.55708</cdr:y>
    </cdr:to>
    <cdr:sp macro="" textlink="">
      <cdr:nvSpPr>
        <cdr:cNvPr id="49" name="Rectangle 48">
          <a:extLst xmlns:a="http://schemas.openxmlformats.org/drawingml/2006/main">
            <a:ext uri="{FF2B5EF4-FFF2-40B4-BE49-F238E27FC236}">
              <a16:creationId xmlns:a16="http://schemas.microsoft.com/office/drawing/2014/main" id="{2259D5DD-604A-5690-1976-7FB083B41C4D}"/>
            </a:ext>
          </a:extLst>
        </cdr:cNvPr>
        <cdr:cNvSpPr/>
      </cdr:nvSpPr>
      <cdr:spPr>
        <a:xfrm xmlns:a="http://schemas.openxmlformats.org/drawingml/2006/main">
          <a:off x="228311" y="812800"/>
          <a:ext cx="2975572" cy="2223661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0.50318</cdr:x>
      <cdr:y>0.14991</cdr:y>
    </cdr:from>
    <cdr:to>
      <cdr:x>0.96989</cdr:x>
      <cdr:y>0.55739</cdr:y>
    </cdr:to>
    <cdr:sp macro="" textlink="">
      <cdr:nvSpPr>
        <cdr:cNvPr id="48" name="Rectangle 47">
          <a:extLst xmlns:a="http://schemas.openxmlformats.org/drawingml/2006/main">
            <a:ext uri="{FF2B5EF4-FFF2-40B4-BE49-F238E27FC236}">
              <a16:creationId xmlns:a16="http://schemas.microsoft.com/office/drawing/2014/main" id="{6E4226F7-9D78-1884-0742-4A92D5828B90}"/>
            </a:ext>
          </a:extLst>
        </cdr:cNvPr>
        <cdr:cNvSpPr/>
      </cdr:nvSpPr>
      <cdr:spPr>
        <a:xfrm xmlns:a="http://schemas.openxmlformats.org/drawingml/2006/main">
          <a:off x="3228687" y="817130"/>
          <a:ext cx="2994694" cy="222104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20000"/>
            <a:lumOff val="80000"/>
            <a:alpha val="2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0.21844</cdr:x>
      <cdr:y>0.45016</cdr:y>
    </cdr:from>
    <cdr:to>
      <cdr:x>0.27849</cdr:x>
      <cdr:y>0.52086</cdr:y>
    </cdr:to>
    <cdr:pic>
      <cdr:nvPicPr>
        <cdr:cNvPr id="20" name="Picture 19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1817029-7636-40CE-AA97-84C3001D22A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01622" y="2453696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0.49441</cdr:x>
      <cdr:y>0.4311</cdr:y>
    </cdr:from>
    <cdr:to>
      <cdr:x>0.54501</cdr:x>
      <cdr:y>0.49067</cdr:y>
    </cdr:to>
    <cdr:pic>
      <cdr:nvPicPr>
        <cdr:cNvPr id="21" name="Picture 20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334030-00DE-45D0-95B8-CFD1A159E94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72404" y="2349786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0.42693</cdr:x>
      <cdr:y>0.44222</cdr:y>
    </cdr:from>
    <cdr:to>
      <cdr:x>0.47821</cdr:x>
      <cdr:y>0.50259</cdr:y>
    </cdr:to>
    <cdr:pic>
      <cdr:nvPicPr>
        <cdr:cNvPr id="22" name="Picture 21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DEE8C80-CB1D-45E9-8440-5B0D9DD9B26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39447" y="2410400"/>
          <a:ext cx="329046" cy="3290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0.32977</cdr:x>
      <cdr:y>0.44143</cdr:y>
    </cdr:from>
    <cdr:to>
      <cdr:x>0.38105</cdr:x>
      <cdr:y>0.50179</cdr:y>
    </cdr:to>
    <cdr:pic>
      <cdr:nvPicPr>
        <cdr:cNvPr id="23" name="Picture 2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13BA07-CD6A-4318-8F0D-B96750ACB9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15991" y="2406072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0.32639</cdr:x>
      <cdr:y>0.30004</cdr:y>
    </cdr:from>
    <cdr:to>
      <cdr:x>0.38307</cdr:x>
      <cdr:y>0.36676</cdr:y>
    </cdr:to>
    <cdr:pic>
      <cdr:nvPicPr>
        <cdr:cNvPr id="24" name="Picture 2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0209262-935D-4683-A9D4-772F6D662E9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94345" y="1635412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0.32437</cdr:x>
      <cdr:y>0.35485</cdr:y>
    </cdr:from>
    <cdr:to>
      <cdr:x>0.38645</cdr:x>
      <cdr:y>0.42792</cdr:y>
    </cdr:to>
    <cdr:pic>
      <cdr:nvPicPr>
        <cdr:cNvPr id="25" name="Picture 2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CA616C5-1E9A-453F-B7BC-ED9EBE5EAD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1357" y="1934152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0.55648</cdr:x>
      <cdr:y>0.34611</cdr:y>
    </cdr:from>
    <cdr:to>
      <cdr:x>0.61397</cdr:x>
      <cdr:y>0.41378</cdr:y>
    </cdr:to>
    <cdr:pic>
      <cdr:nvPicPr>
        <cdr:cNvPr id="27" name="Picture 26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D6012D68-303F-45B8-B4AE-311490EE26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0720" y="1886525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0.28524</cdr:x>
      <cdr:y>0.27065</cdr:y>
    </cdr:from>
    <cdr:to>
      <cdr:x>0.34205</cdr:x>
      <cdr:y>0.33753</cdr:y>
    </cdr:to>
    <cdr:pic>
      <cdr:nvPicPr>
        <cdr:cNvPr id="28" name="Picture 2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5B7A90C1-AE93-4A1B-B85C-4EB1314DB26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830243" y="1475220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0.18267</cdr:x>
      <cdr:y>0.23093</cdr:y>
    </cdr:from>
    <cdr:to>
      <cdr:x>0.24691</cdr:x>
      <cdr:y>0.30655</cdr:y>
    </cdr:to>
    <cdr:pic>
      <cdr:nvPicPr>
        <cdr:cNvPr id="29" name="Picture 28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1B6D9EC-2709-46CD-90CF-0144AF1C93F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72153" y="1258743"/>
          <a:ext cx="412170" cy="4121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0.46404</cdr:x>
      <cdr:y>0.50259</cdr:y>
    </cdr:from>
    <cdr:to>
      <cdr:x>0.52693</cdr:x>
      <cdr:y>0.57662</cdr:y>
    </cdr:to>
    <cdr:pic>
      <cdr:nvPicPr>
        <cdr:cNvPr id="30" name="Picture 2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D9BA562-4393-4F1B-8CD7-98079C47E1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7573" y="2739447"/>
          <a:ext cx="403513" cy="403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0.36216</cdr:x>
      <cdr:y>0.47161</cdr:y>
    </cdr:from>
    <cdr:to>
      <cdr:x>0.41614</cdr:x>
      <cdr:y>0.53515</cdr:y>
    </cdr:to>
    <cdr:pic>
      <cdr:nvPicPr>
        <cdr:cNvPr id="32" name="Picture 31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38B32C95-D3DB-4BF3-8F28-BACC32A726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schemeClr val="accent2">
              <a:shade val="45000"/>
              <a:satMod val="135000"/>
            </a:schemeClr>
            <a:prstClr val="white"/>
          </a:duotone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3810" y="2570593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0.33112</cdr:x>
      <cdr:y>0.60823</cdr:y>
    </cdr:from>
    <cdr:to>
      <cdr:x>0.40264</cdr:x>
      <cdr:y>0.69243</cdr:y>
    </cdr:to>
    <cdr:pic>
      <cdr:nvPicPr>
        <cdr:cNvPr id="33" name="Picture 32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CEC8D3A-4BEA-4FC4-AD1D-4EDC6AA9A0F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24651" y="3315274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0.22788</cdr:x>
      <cdr:y>0.3334</cdr:y>
    </cdr:from>
    <cdr:to>
      <cdr:x>0.27511</cdr:x>
      <cdr:y>0.389</cdr:y>
    </cdr:to>
    <cdr:pic>
      <cdr:nvPicPr>
        <cdr:cNvPr id="34" name="Picture 33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ADCC984C-34D8-45DA-BA70-AB6B84EDAA1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62234" y="1817255"/>
          <a:ext cx="303067" cy="303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0.3075</cdr:x>
      <cdr:y>0.49544</cdr:y>
    </cdr:from>
    <cdr:to>
      <cdr:x>0.36553</cdr:x>
      <cdr:y>0.56375</cdr:y>
    </cdr:to>
    <cdr:pic>
      <cdr:nvPicPr>
        <cdr:cNvPr id="35" name="Picture 34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3884A1C-1D3B-4597-AAB0-9D39BAA5937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prstClr val="black"/>
            <a:schemeClr val="accent2">
              <a:tint val="45000"/>
              <a:satMod val="400000"/>
            </a:schemeClr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73118" y="2700483"/>
          <a:ext cx="372340" cy="3723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0.45527</cdr:x>
      <cdr:y>0.37788</cdr:y>
    </cdr:from>
    <cdr:to>
      <cdr:x>0.5187</cdr:x>
      <cdr:y>0.45255</cdr:y>
    </cdr:to>
    <cdr:pic>
      <cdr:nvPicPr>
        <cdr:cNvPr id="37" name="Picture 36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B24F210-1EB2-42EF-A717-3CDD2F49AA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1288" y="2059706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0.54501</cdr:x>
      <cdr:y>0.46208</cdr:y>
    </cdr:from>
    <cdr:to>
      <cdr:x>0.59562</cdr:x>
      <cdr:y>0.52165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BFCE78F-70FA-45BB-9CB3-F830C626E2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97121" y="2518640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0.32505</cdr:x>
      <cdr:y>0.25238</cdr:y>
    </cdr:from>
    <cdr:to>
      <cdr:x>0.3797</cdr:x>
      <cdr:y>0.31672</cdr:y>
    </cdr:to>
    <cdr:pic>
      <cdr:nvPicPr>
        <cdr:cNvPr id="26" name="Picture 25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5F41C5C-AFF8-4832-B7AA-ECD3FC36AC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5687" y="1375637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1905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0.29873</cdr:x>
      <cdr:y>0.48035</cdr:y>
    </cdr:from>
    <cdr:to>
      <cdr:x>0.35878</cdr:x>
      <cdr:y>0.55104</cdr:y>
    </cdr:to>
    <cdr:pic>
      <cdr:nvPicPr>
        <cdr:cNvPr id="2" name="Picture 1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558425C-491E-4B64-A29F-208CD3E2CE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16836" y="2618221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0.53489</cdr:x>
      <cdr:y>0.48273</cdr:y>
    </cdr:from>
    <cdr:to>
      <cdr:x>0.59966</cdr:x>
      <cdr:y>0.55898</cdr:y>
    </cdr:to>
    <cdr:pic>
      <cdr:nvPicPr>
        <cdr:cNvPr id="36" name="Picture 3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A58B6E-2152-4F20-B333-9AF5E03022F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32173" y="2631207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0.58955</cdr:x>
      <cdr:y>0.49147</cdr:y>
    </cdr:from>
    <cdr:to>
      <cdr:x>0.64083</cdr:x>
      <cdr:y>0.55184</cdr:y>
    </cdr:to>
    <cdr:pic>
      <cdr:nvPicPr>
        <cdr:cNvPr id="4" name="Picture 3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0C294FD-0BB3-4FA9-9B19-36D4C2CC4B7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2885" y="2678847"/>
          <a:ext cx="329043" cy="329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0.1793</cdr:x>
      <cdr:y>0.60903</cdr:y>
    </cdr:from>
    <cdr:to>
      <cdr:x>0.23058</cdr:x>
      <cdr:y>0.66939</cdr:y>
    </cdr:to>
    <cdr:pic>
      <cdr:nvPicPr>
        <cdr:cNvPr id="5" name="Picture 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4A96DFF-F97D-4C80-8579-2249F7EA32B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50503" y="3319606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0.60506</cdr:x>
      <cdr:y>0.43587</cdr:y>
    </cdr:from>
    <cdr:to>
      <cdr:x>0.66174</cdr:x>
      <cdr:y>0.50259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A3BE820-4745-4DFF-B534-CE3F45FAAE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82448" y="2375766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0.22181</cdr:x>
      <cdr:y>0.60744</cdr:y>
    </cdr:from>
    <cdr:to>
      <cdr:x>0.28389</cdr:x>
      <cdr:y>0.68051</cdr:y>
    </cdr:to>
    <cdr:pic>
      <cdr:nvPicPr>
        <cdr:cNvPr id="7" name="Picture 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DE2BF74-A289-4E2E-B4A2-34CC1769F8A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23265" y="3310948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0.3878</cdr:x>
      <cdr:y>0.36914</cdr:y>
    </cdr:from>
    <cdr:to>
      <cdr:x>0.44245</cdr:x>
      <cdr:y>0.43348</cdr:y>
    </cdr:to>
    <cdr:pic>
      <cdr:nvPicPr>
        <cdr:cNvPr id="8" name="Picture 7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FE6A655-E189-43F1-8B64-2D6A414B038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9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500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88337" y="2012082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1905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0.628</cdr:x>
      <cdr:y>0.57249</cdr:y>
    </cdr:from>
    <cdr:to>
      <cdr:x>0.68549</cdr:x>
      <cdr:y>0.64016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B1A4ACE-E935-448A-B5D5-91F4EB65E7F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29652" y="3120446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0.44717</cdr:x>
      <cdr:y>0.46684</cdr:y>
    </cdr:from>
    <cdr:to>
      <cdr:x>0.50399</cdr:x>
      <cdr:y>0.53372</cdr:y>
    </cdr:to>
    <cdr:pic>
      <cdr:nvPicPr>
        <cdr:cNvPr id="10" name="Picture 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554A965-0171-4935-8D15-23147876025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schemeClr val="accent6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9336" y="2544617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0.59022</cdr:x>
      <cdr:y>0.52721</cdr:y>
    </cdr:from>
    <cdr:to>
      <cdr:x>0.65445</cdr:x>
      <cdr:y>0.60283</cdr:y>
    </cdr:to>
    <cdr:pic>
      <cdr:nvPicPr>
        <cdr:cNvPr id="11" name="Picture 1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4CA5C33-4E2A-4134-9331-4C378B29E5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schemeClr val="accent6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7222" y="2873655"/>
          <a:ext cx="412138" cy="4121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0.68941</cdr:x>
      <cdr:y>0.37232</cdr:y>
    </cdr:from>
    <cdr:to>
      <cdr:x>0.75499</cdr:x>
      <cdr:y>0.44953</cdr:y>
    </cdr:to>
    <cdr:pic>
      <cdr:nvPicPr>
        <cdr:cNvPr id="13" name="Picture 12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7DC3E3A-3713-4791-B2E2-345B7F724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0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23641" y="2029401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19050" cap="rnd">
          <a:noFill/>
          <a:prstDash val="sysDash"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0.35878</cdr:x>
      <cdr:y>0.42713</cdr:y>
    </cdr:from>
    <cdr:to>
      <cdr:x>0.41276</cdr:x>
      <cdr:y>0.49067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40ACF405-8486-4818-9500-EE8B5324E2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2165" y="2328139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0.26027</cdr:x>
      <cdr:y>0.57725</cdr:y>
    </cdr:from>
    <cdr:to>
      <cdr:x>0.33179</cdr:x>
      <cdr:y>0.66145</cdr:y>
    </cdr:to>
    <cdr:pic>
      <cdr:nvPicPr>
        <cdr:cNvPr id="15" name="Picture 14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AE13334-E30A-4A17-AF74-5F10C419A1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70050" y="3146422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0.41276</cdr:x>
      <cdr:y>0.4303</cdr:y>
    </cdr:from>
    <cdr:to>
      <cdr:x>0.45999</cdr:x>
      <cdr:y>0.4859</cdr:y>
    </cdr:to>
    <cdr:pic>
      <cdr:nvPicPr>
        <cdr:cNvPr id="16" name="Picture 1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F546BFA-1925-4C92-977F-9AA12DA1D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524" y="2345452"/>
          <a:ext cx="303057" cy="303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0.51397</cdr:x>
      <cdr:y>0.49861</cdr:y>
    </cdr:from>
    <cdr:to>
      <cdr:x>0.57686</cdr:x>
      <cdr:y>0.57264</cdr:y>
    </cdr:to>
    <cdr:pic>
      <cdr:nvPicPr>
        <cdr:cNvPr id="12" name="Picture 1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9B88D3-6681-4449-AA6F-260B2EB710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7928" y="2717782"/>
          <a:ext cx="403540" cy="403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0.49981</cdr:x>
      <cdr:y>0.46763</cdr:y>
    </cdr:from>
    <cdr:to>
      <cdr:x>0.55783</cdr:x>
      <cdr:y>0.53594</cdr:y>
    </cdr:to>
    <cdr:pic>
      <cdr:nvPicPr>
        <cdr:cNvPr id="17" name="Picture 16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C591115-95E5-4E48-8BCB-47A822C5121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07063" y="2548927"/>
          <a:ext cx="372292" cy="372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0.58887</cdr:x>
      <cdr:y>0.63683</cdr:y>
    </cdr:from>
    <cdr:to>
      <cdr:x>0.65229</cdr:x>
      <cdr:y>0.71149</cdr:y>
    </cdr:to>
    <cdr:pic>
      <cdr:nvPicPr>
        <cdr:cNvPr id="19" name="Picture 18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9A11C32-74F5-46A5-8DEA-F13F7DE1FDF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8538" y="3471141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0.50925</cdr:x>
      <cdr:y>0.89736</cdr:y>
    </cdr:from>
    <cdr:to>
      <cdr:x>0.57402</cdr:x>
      <cdr:y>0.97362</cdr:y>
    </cdr:to>
    <cdr:pic>
      <cdr:nvPicPr>
        <cdr:cNvPr id="18" name="Picture 17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44A846-254B-4F3E-A90C-C2EC1FF942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67652" y="4891231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0.3021</cdr:x>
      <cdr:y>0.55819</cdr:y>
    </cdr:from>
    <cdr:to>
      <cdr:x>0.36769</cdr:x>
      <cdr:y>0.6354</cdr:y>
    </cdr:to>
    <cdr:pic>
      <cdr:nvPicPr>
        <cdr:cNvPr id="31" name="Picture 30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8F93D67-1018-41E4-B22E-0C8D0B37DC7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38482" y="3042514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19050" cap="rnd">
          <a:noFill/>
          <a:prstDash val="sysDash"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0.35292</cdr:x>
      <cdr:y>0.23508</cdr:y>
    </cdr:from>
    <cdr:to>
      <cdr:x>0.43322</cdr:x>
      <cdr:y>0.36137</cdr:y>
    </cdr:to>
    <cdr:sp macro="" textlink="">
      <cdr:nvSpPr>
        <cdr:cNvPr id="42" name="Arrow: Bent-Up 41">
          <a:extLst xmlns:a="http://schemas.openxmlformats.org/drawingml/2006/main">
            <a:ext uri="{FF2B5EF4-FFF2-40B4-BE49-F238E27FC236}">
              <a16:creationId xmlns:a16="http://schemas.microsoft.com/office/drawing/2014/main" id="{27DB3828-4721-23A0-B294-8EDB71BAC23E}"/>
            </a:ext>
          </a:extLst>
        </cdr:cNvPr>
        <cdr:cNvSpPr/>
      </cdr:nvSpPr>
      <cdr:spPr>
        <a:xfrm xmlns:a="http://schemas.openxmlformats.org/drawingml/2006/main" rot="10800000" flipH="1">
          <a:off x="2264569" y="1281329"/>
          <a:ext cx="515216" cy="688379"/>
        </a:xfrm>
        <a:prstGeom xmlns:a="http://schemas.openxmlformats.org/drawingml/2006/main" prst="bentUpArrow">
          <a:avLst>
            <a:gd name="adj1" fmla="val 15097"/>
            <a:gd name="adj2" fmla="val 22363"/>
            <a:gd name="adj3" fmla="val 17956"/>
          </a:avLst>
        </a:prstGeom>
        <a:gradFill xmlns:a="http://schemas.openxmlformats.org/drawingml/2006/main" flip="none" rotWithShape="1">
          <a:gsLst>
            <a:gs pos="0">
              <a:schemeClr val="tx1">
                <a:tint val="66000"/>
                <a:satMod val="160000"/>
              </a:schemeClr>
            </a:gs>
            <a:gs pos="50000">
              <a:schemeClr val="tx1">
                <a:tint val="44500"/>
                <a:satMod val="160000"/>
              </a:schemeClr>
            </a:gs>
            <a:gs pos="100000">
              <a:schemeClr val="tx1">
                <a:tint val="23500"/>
                <a:satMod val="160000"/>
              </a:schemeClr>
            </a:gs>
          </a:gsLst>
          <a:lin ang="18900000" scaled="1"/>
          <a:tileRect/>
        </a:gradFill>
        <a:ln xmlns:a="http://schemas.openxmlformats.org/drawingml/2006/main">
          <a:solidFill>
            <a:srgbClr val="C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0.33471</cdr:x>
      <cdr:y>0.45987</cdr:y>
    </cdr:from>
    <cdr:to>
      <cdr:x>0.74225</cdr:x>
      <cdr:y>0.65686</cdr:y>
    </cdr:to>
    <cdr:sp macro="" textlink="">
      <cdr:nvSpPr>
        <cdr:cNvPr id="43" name="Arrow: Bent-Up 42">
          <a:extLst xmlns:a="http://schemas.openxmlformats.org/drawingml/2006/main">
            <a:ext uri="{FF2B5EF4-FFF2-40B4-BE49-F238E27FC236}">
              <a16:creationId xmlns:a16="http://schemas.microsoft.com/office/drawing/2014/main" id="{98ECBEB3-1723-58CD-4413-2A2D687646DD}"/>
            </a:ext>
          </a:extLst>
        </cdr:cNvPr>
        <cdr:cNvSpPr/>
      </cdr:nvSpPr>
      <cdr:spPr>
        <a:xfrm xmlns:a="http://schemas.openxmlformats.org/drawingml/2006/main">
          <a:off x="2147670" y="2506606"/>
          <a:ext cx="2615045" cy="1073713"/>
        </a:xfrm>
        <a:prstGeom xmlns:a="http://schemas.openxmlformats.org/drawingml/2006/main" prst="bentUpArrow">
          <a:avLst>
            <a:gd name="adj1" fmla="val 6642"/>
            <a:gd name="adj2" fmla="val 11270"/>
            <a:gd name="adj3" fmla="val 8635"/>
          </a:avLst>
        </a:prstGeom>
        <a:gradFill xmlns:a="http://schemas.openxmlformats.org/drawingml/2006/main" flip="none" rotWithShape="1">
          <a:gsLst>
            <a:gs pos="0">
              <a:srgbClr val="00B0F0">
                <a:shade val="30000"/>
                <a:satMod val="115000"/>
              </a:srgbClr>
            </a:gs>
            <a:gs pos="50000">
              <a:srgbClr val="00B0F0">
                <a:shade val="67500"/>
                <a:satMod val="115000"/>
              </a:srgbClr>
            </a:gs>
            <a:gs pos="100000">
              <a:srgbClr val="00B0F0">
                <a:shade val="100000"/>
                <a:satMod val="115000"/>
              </a:srgbClr>
            </a:gs>
          </a:gsLst>
          <a:lin ang="0" scaled="1"/>
          <a:tileRect/>
        </a:gradFill>
        <a:ln xmlns:a="http://schemas.openxmlformats.org/drawingml/2006/main">
          <a:solidFill>
            <a:srgbClr val="00206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0.03782</cdr:x>
      <cdr:y>0.15151</cdr:y>
    </cdr:from>
    <cdr:to>
      <cdr:x>0.24315</cdr:x>
      <cdr:y>0.27718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31ACAFAD-7ECC-80AE-12F3-F5CA5B7F9957}"/>
            </a:ext>
          </a:extLst>
        </cdr:cNvPr>
        <cdr:cNvSpPr txBox="1"/>
      </cdr:nvSpPr>
      <cdr:spPr>
        <a:xfrm xmlns:a="http://schemas.openxmlformats.org/drawingml/2006/main">
          <a:off x="242707" y="825810"/>
          <a:ext cx="1317522" cy="6849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0.03984</cdr:x>
      <cdr:y>0.85289</cdr:y>
    </cdr:from>
    <cdr:to>
      <cdr:x>0.24518</cdr:x>
      <cdr:y>0.97856</cdr:y>
    </cdr:to>
    <cdr:sp macro="" textlink="">
      <cdr:nvSpPr>
        <cdr:cNvPr id="45" name="TextBox 1">
          <a:extLst xmlns:a="http://schemas.openxmlformats.org/drawingml/2006/main">
            <a:ext uri="{FF2B5EF4-FFF2-40B4-BE49-F238E27FC236}">
              <a16:creationId xmlns:a16="http://schemas.microsoft.com/office/drawing/2014/main" id="{AD84985A-D842-BBF6-B988-F4A331EDF295}"/>
            </a:ext>
          </a:extLst>
        </cdr:cNvPr>
        <cdr:cNvSpPr txBox="1"/>
      </cdr:nvSpPr>
      <cdr:spPr>
        <a:xfrm xmlns:a="http://schemas.openxmlformats.org/drawingml/2006/main">
          <a:off x="255659" y="4648810"/>
          <a:ext cx="1317585" cy="6849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0.7463</cdr:x>
      <cdr:y>0.14991</cdr:y>
    </cdr:from>
    <cdr:to>
      <cdr:x>0.96492</cdr:x>
      <cdr:y>0.27859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C974BD23-713F-BB62-2397-2654749F2567}"/>
            </a:ext>
          </a:extLst>
        </cdr:cNvPr>
        <cdr:cNvSpPr txBox="1"/>
      </cdr:nvSpPr>
      <cdr:spPr>
        <a:xfrm xmlns:a="http://schemas.openxmlformats.org/drawingml/2006/main">
          <a:off x="4788686" y="817119"/>
          <a:ext cx="1402798" cy="7013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0.74899</cdr:x>
      <cdr:y>0.84891</cdr:y>
    </cdr:from>
    <cdr:to>
      <cdr:x>0.96761</cdr:x>
      <cdr:y>0.97759</cdr:y>
    </cdr:to>
    <cdr:sp macro="" textlink="">
      <cdr:nvSpPr>
        <cdr:cNvPr id="47" name="TextBox 1">
          <a:extLst xmlns:a="http://schemas.openxmlformats.org/drawingml/2006/main">
            <a:ext uri="{FF2B5EF4-FFF2-40B4-BE49-F238E27FC236}">
              <a16:creationId xmlns:a16="http://schemas.microsoft.com/office/drawing/2014/main" id="{FCC7EA70-7028-B95F-FF24-C11D49D4A0A0}"/>
            </a:ext>
          </a:extLst>
        </cdr:cNvPr>
        <cdr:cNvSpPr txBox="1"/>
      </cdr:nvSpPr>
      <cdr:spPr>
        <a:xfrm xmlns:a="http://schemas.openxmlformats.org/drawingml/2006/main">
          <a:off x="4806003" y="4627147"/>
          <a:ext cx="1402798" cy="7013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0.89385</cdr:x>
      <cdr:y>0.90689</cdr:y>
    </cdr:from>
    <cdr:to>
      <cdr:x>0.93109</cdr:x>
      <cdr:y>0.92171</cdr:y>
    </cdr:to>
    <cdr:sp macro="" textlink="">
      <cdr:nvSpPr>
        <cdr:cNvPr id="60" name="Half Frame 59">
          <a:extLst xmlns:a="http://schemas.openxmlformats.org/drawingml/2006/main">
            <a:ext uri="{FF2B5EF4-FFF2-40B4-BE49-F238E27FC236}">
              <a16:creationId xmlns:a16="http://schemas.microsoft.com/office/drawing/2014/main" id="{C24A3EE7-8EC0-6C7F-0487-34103CED1628}"/>
            </a:ext>
          </a:extLst>
        </cdr:cNvPr>
        <cdr:cNvSpPr/>
      </cdr:nvSpPr>
      <cdr:spPr>
        <a:xfrm xmlns:a="http://schemas.openxmlformats.org/drawingml/2006/main" rot="14421015">
          <a:off x="5814623" y="4864082"/>
          <a:ext cx="80725" cy="238955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0.89385</cdr:x>
      <cdr:y>0.27064</cdr:y>
    </cdr:from>
    <cdr:to>
      <cdr:x>0.93109</cdr:x>
      <cdr:y>0.28546</cdr:y>
    </cdr:to>
    <cdr:sp macro="" textlink="">
      <cdr:nvSpPr>
        <cdr:cNvPr id="61" name="Half Frame 60">
          <a:extLst xmlns:a="http://schemas.openxmlformats.org/drawingml/2006/main">
            <a:ext uri="{FF2B5EF4-FFF2-40B4-BE49-F238E27FC236}">
              <a16:creationId xmlns:a16="http://schemas.microsoft.com/office/drawing/2014/main" id="{B4A22589-E6FC-5310-4B2B-06EBE3FDF16F}"/>
            </a:ext>
          </a:extLst>
        </cdr:cNvPr>
        <cdr:cNvSpPr/>
      </cdr:nvSpPr>
      <cdr:spPr>
        <a:xfrm xmlns:a="http://schemas.openxmlformats.org/drawingml/2006/main" rot="14421015">
          <a:off x="5814596" y="1396112"/>
          <a:ext cx="80779" cy="238955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0.89655</cdr:x>
      <cdr:y>0.2063</cdr:y>
    </cdr:from>
    <cdr:to>
      <cdr:x>0.93379</cdr:x>
      <cdr:y>0.22112</cdr:y>
    </cdr:to>
    <cdr:sp macro="" textlink="">
      <cdr:nvSpPr>
        <cdr:cNvPr id="62" name="Half Frame 61">
          <a:extLst xmlns:a="http://schemas.openxmlformats.org/drawingml/2006/main">
            <a:ext uri="{FF2B5EF4-FFF2-40B4-BE49-F238E27FC236}">
              <a16:creationId xmlns:a16="http://schemas.microsoft.com/office/drawing/2014/main" id="{8583AA02-268B-6DC3-0D73-EA30B8EF1A7A}"/>
            </a:ext>
          </a:extLst>
        </cdr:cNvPr>
        <cdr:cNvSpPr/>
      </cdr:nvSpPr>
      <cdr:spPr>
        <a:xfrm xmlns:a="http://schemas.openxmlformats.org/drawingml/2006/main" rot="14421015">
          <a:off x="5831921" y="1045415"/>
          <a:ext cx="80779" cy="238955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0.07876</cdr:x>
      <cdr:y>0.26906</cdr:y>
    </cdr:from>
    <cdr:to>
      <cdr:x>0.116</cdr:x>
      <cdr:y>0.28388</cdr:y>
    </cdr:to>
    <cdr:sp macro="" textlink="">
      <cdr:nvSpPr>
        <cdr:cNvPr id="63" name="Half Frame 62">
          <a:extLst xmlns:a="http://schemas.openxmlformats.org/drawingml/2006/main">
            <a:ext uri="{FF2B5EF4-FFF2-40B4-BE49-F238E27FC236}">
              <a16:creationId xmlns:a16="http://schemas.microsoft.com/office/drawing/2014/main" id="{67B6A8A3-2713-9978-96EE-BF4913DED36D}"/>
            </a:ext>
          </a:extLst>
        </cdr:cNvPr>
        <cdr:cNvSpPr/>
      </cdr:nvSpPr>
      <cdr:spPr>
        <a:xfrm xmlns:a="http://schemas.openxmlformats.org/drawingml/2006/main" rot="14421015">
          <a:off x="584513" y="1387474"/>
          <a:ext cx="80725" cy="238954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0.06729</cdr:x>
      <cdr:y>0.19995</cdr:y>
    </cdr:from>
    <cdr:to>
      <cdr:x>0.1098</cdr:x>
      <cdr:y>0.23331</cdr:y>
    </cdr:to>
    <cdr:sp macro="" textlink="">
      <cdr:nvSpPr>
        <cdr:cNvPr id="64" name="Multiplication Sign 63">
          <a:extLst xmlns:a="http://schemas.openxmlformats.org/drawingml/2006/main">
            <a:ext uri="{FF2B5EF4-FFF2-40B4-BE49-F238E27FC236}">
              <a16:creationId xmlns:a16="http://schemas.microsoft.com/office/drawing/2014/main" id="{BEEF24C8-340C-EAFF-2608-7EDF2785715D}"/>
            </a:ext>
          </a:extLst>
        </cdr:cNvPr>
        <cdr:cNvSpPr/>
      </cdr:nvSpPr>
      <cdr:spPr>
        <a:xfrm xmlns:a="http://schemas.openxmlformats.org/drawingml/2006/main">
          <a:off x="431800" y="1089891"/>
          <a:ext cx="272770" cy="181835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0.06729</cdr:x>
      <cdr:y>0.89975</cdr:y>
    </cdr:from>
    <cdr:to>
      <cdr:x>0.1098</cdr:x>
      <cdr:y>0.9331</cdr:y>
    </cdr:to>
    <cdr:sp macro="" textlink="">
      <cdr:nvSpPr>
        <cdr:cNvPr id="65" name="Multiplication Sign 64">
          <a:extLst xmlns:a="http://schemas.openxmlformats.org/drawingml/2006/main">
            <a:ext uri="{FF2B5EF4-FFF2-40B4-BE49-F238E27FC236}">
              <a16:creationId xmlns:a16="http://schemas.microsoft.com/office/drawing/2014/main" id="{9B60C88A-E29B-B898-9673-656BC4121EF1}"/>
            </a:ext>
          </a:extLst>
        </cdr:cNvPr>
        <cdr:cNvSpPr/>
      </cdr:nvSpPr>
      <cdr:spPr>
        <a:xfrm xmlns:a="http://schemas.openxmlformats.org/drawingml/2006/main">
          <a:off x="431800" y="4904225"/>
          <a:ext cx="272770" cy="181834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0.06796</cdr:x>
      <cdr:y>0.96328</cdr:y>
    </cdr:from>
    <cdr:to>
      <cdr:x>0.11047</cdr:x>
      <cdr:y>0.99665</cdr:y>
    </cdr:to>
    <cdr:sp macro="" textlink="">
      <cdr:nvSpPr>
        <cdr:cNvPr id="66" name="Multiplication Sign 65">
          <a:extLst xmlns:a="http://schemas.openxmlformats.org/drawingml/2006/main">
            <a:ext uri="{FF2B5EF4-FFF2-40B4-BE49-F238E27FC236}">
              <a16:creationId xmlns:a16="http://schemas.microsoft.com/office/drawing/2014/main" id="{4A1CD5F6-50B9-0084-A72F-3B50E8D8A5B0}"/>
            </a:ext>
          </a:extLst>
        </cdr:cNvPr>
        <cdr:cNvSpPr/>
      </cdr:nvSpPr>
      <cdr:spPr>
        <a:xfrm xmlns:a="http://schemas.openxmlformats.org/drawingml/2006/main">
          <a:off x="436099" y="5250561"/>
          <a:ext cx="272770" cy="181889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0.8925</cdr:x>
      <cdr:y>0.96328</cdr:y>
    </cdr:from>
    <cdr:to>
      <cdr:x>0.93501</cdr:x>
      <cdr:y>0.99665</cdr:y>
    </cdr:to>
    <cdr:sp macro="" textlink="">
      <cdr:nvSpPr>
        <cdr:cNvPr id="67" name="Multiplication Sign 66">
          <a:extLst xmlns:a="http://schemas.openxmlformats.org/drawingml/2006/main">
            <a:ext uri="{FF2B5EF4-FFF2-40B4-BE49-F238E27FC236}">
              <a16:creationId xmlns:a16="http://schemas.microsoft.com/office/drawing/2014/main" id="{3A05A2A0-A42D-ED3F-92B1-0A29CE0C17D7}"/>
            </a:ext>
          </a:extLst>
        </cdr:cNvPr>
        <cdr:cNvSpPr/>
      </cdr:nvSpPr>
      <cdr:spPr>
        <a:xfrm xmlns:a="http://schemas.openxmlformats.org/drawingml/2006/main">
          <a:off x="5726846" y="5250561"/>
          <a:ext cx="272770" cy="181889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0.30772</cdr:x>
      <cdr:y>0.15565</cdr:y>
    </cdr:from>
    <cdr:to>
      <cdr:x>0.44401</cdr:x>
      <cdr:y>0.22475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5B50295F-B578-BB0F-E477-B0B60F346D95}"/>
            </a:ext>
          </a:extLst>
        </cdr:cNvPr>
        <cdr:cNvSpPr txBox="1"/>
      </cdr:nvSpPr>
      <cdr:spPr>
        <a:xfrm xmlns:a="http://schemas.openxmlformats.org/drawingml/2006/main">
          <a:off x="1974489" y="848376"/>
          <a:ext cx="874569" cy="376670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MX" sz="18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+3 xGF</a:t>
          </a:r>
        </a:p>
      </cdr:txBody>
    </cdr:sp>
  </cdr:relSizeAnchor>
  <cdr:relSizeAnchor xmlns:cdr="http://schemas.openxmlformats.org/drawingml/2006/chartDrawing">
    <cdr:from>
      <cdr:x>0.4998</cdr:x>
      <cdr:y>0.66304</cdr:y>
    </cdr:from>
    <cdr:to>
      <cdr:x>0.64711</cdr:x>
      <cdr:y>0.73214</cdr:y>
    </cdr:to>
    <cdr:sp macro="" textlink="">
      <cdr:nvSpPr>
        <cdr:cNvPr id="69" name="TextBox 1">
          <a:extLst xmlns:a="http://schemas.openxmlformats.org/drawingml/2006/main">
            <a:ext uri="{FF2B5EF4-FFF2-40B4-BE49-F238E27FC236}">
              <a16:creationId xmlns:a16="http://schemas.microsoft.com/office/drawing/2014/main" id="{1A8782B1-8B1C-76F9-2690-CED008A2F0CE}"/>
            </a:ext>
          </a:extLst>
        </cdr:cNvPr>
        <cdr:cNvSpPr txBox="1"/>
      </cdr:nvSpPr>
      <cdr:spPr>
        <a:xfrm xmlns:a="http://schemas.openxmlformats.org/drawingml/2006/main">
          <a:off x="3207037" y="3614016"/>
          <a:ext cx="945212" cy="376670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+11 xGF</a:t>
          </a:r>
        </a:p>
      </cdr:txBody>
    </cdr:sp>
  </cdr:relSizeAnchor>
  <cdr:relSizeAnchor xmlns:cdr="http://schemas.openxmlformats.org/drawingml/2006/chartDrawing">
    <cdr:from>
      <cdr:x>0.43503</cdr:x>
      <cdr:y>0.25953</cdr:y>
    </cdr:from>
    <cdr:to>
      <cdr:x>0.57133</cdr:x>
      <cdr:y>0.32863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6130E0F9-DDBB-2F3D-1710-7F68C5730385}"/>
            </a:ext>
          </a:extLst>
        </cdr:cNvPr>
        <cdr:cNvSpPr txBox="1"/>
      </cdr:nvSpPr>
      <cdr:spPr>
        <a:xfrm xmlns:a="http://schemas.openxmlformats.org/drawingml/2006/main">
          <a:off x="2791402" y="1414607"/>
          <a:ext cx="874569" cy="376670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 b="0" cap="none" spc="0">
              <a:ln w="0"/>
              <a:solidFill>
                <a:schemeClr val="accent2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+4 xGC</a:t>
          </a:r>
        </a:p>
      </cdr:txBody>
    </cdr:sp>
  </cdr:relSizeAnchor>
  <cdr:relSizeAnchor xmlns:cdr="http://schemas.openxmlformats.org/drawingml/2006/chartDrawing">
    <cdr:from>
      <cdr:x>0.73596</cdr:x>
      <cdr:y>0.48194</cdr:y>
    </cdr:from>
    <cdr:to>
      <cdr:x>0.87226</cdr:x>
      <cdr:y>0.55104</cdr:y>
    </cdr:to>
    <cdr:sp macro="" textlink="">
      <cdr:nvSpPr>
        <cdr:cNvPr id="71" name="TextBox 1">
          <a:extLst xmlns:a="http://schemas.openxmlformats.org/drawingml/2006/main">
            <a:ext uri="{FF2B5EF4-FFF2-40B4-BE49-F238E27FC236}">
              <a16:creationId xmlns:a16="http://schemas.microsoft.com/office/drawing/2014/main" id="{ED533A1B-EDAB-EDFE-7B35-079EFE11234A}"/>
            </a:ext>
          </a:extLst>
        </cdr:cNvPr>
        <cdr:cNvSpPr txBox="1"/>
      </cdr:nvSpPr>
      <cdr:spPr>
        <a:xfrm xmlns:a="http://schemas.openxmlformats.org/drawingml/2006/main">
          <a:off x="4722380" y="2626879"/>
          <a:ext cx="874569" cy="376670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-3 xGC</a:t>
          </a:r>
        </a:p>
      </cdr:txBody>
    </cdr:sp>
  </cdr:relSizeAnchor>
  <cdr:relSizeAnchor xmlns:cdr="http://schemas.openxmlformats.org/drawingml/2006/chartDrawing">
    <cdr:from>
      <cdr:x>0.29873</cdr:x>
      <cdr:y>0.91166</cdr:y>
    </cdr:from>
    <cdr:to>
      <cdr:x>0.70311</cdr:x>
      <cdr:y>0.98076</cdr:y>
    </cdr:to>
    <cdr:sp macro="" textlink="">
      <cdr:nvSpPr>
        <cdr:cNvPr id="72" name="TextBox 1">
          <a:extLst xmlns:a="http://schemas.openxmlformats.org/drawingml/2006/main">
            <a:ext uri="{FF2B5EF4-FFF2-40B4-BE49-F238E27FC236}">
              <a16:creationId xmlns:a16="http://schemas.microsoft.com/office/drawing/2014/main" id="{BD927128-08F8-9CB2-6B87-F6238DC62E3B}"/>
            </a:ext>
          </a:extLst>
        </cdr:cNvPr>
        <cdr:cNvSpPr txBox="1"/>
      </cdr:nvSpPr>
      <cdr:spPr>
        <a:xfrm xmlns:a="http://schemas.openxmlformats.org/drawingml/2006/main">
          <a:off x="1916833" y="4969163"/>
          <a:ext cx="2594769" cy="376670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>
            <a:lumMod val="95000"/>
            <a:lumOff val="5000"/>
            <a:alpha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200" b="0" cap="none" spc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xGF =</a:t>
          </a:r>
          <a:r>
            <a:rPr lang="es-MX" sz="1200" b="0" cap="none" spc="0" baseline="0">
              <a:ln w="0"/>
              <a:solidFill>
                <a:schemeClr val="accent5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Goles a Favor Esperados</a:t>
          </a:r>
        </a:p>
        <a:p xmlns:a="http://schemas.openxmlformats.org/drawingml/2006/main">
          <a:pPr algn="ctr"/>
          <a:r>
            <a:rPr lang="es-MX" sz="1200" b="0" cap="none" spc="0" baseline="0">
              <a:ln w="0"/>
              <a:solidFill>
                <a:schemeClr val="accent2">
                  <a:lumMod val="20000"/>
                  <a:lumOff val="8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xGC = Goles en Contra Esperados</a:t>
          </a:r>
          <a:endParaRPr lang="es-MX" sz="1200" b="0" cap="none" spc="0">
            <a:ln w="0"/>
            <a:solidFill>
              <a:schemeClr val="accent2">
                <a:lumMod val="20000"/>
                <a:lumOff val="8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473868</xdr:colOff>
      <xdr:row>12</xdr:row>
      <xdr:rowOff>109538</xdr:rowOff>
    </xdr:from>
    <xdr:to>
      <xdr:col>14</xdr:col>
      <xdr:colOff>0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087ED-738D-E2E4-F533-1A4DD5FBC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0.48872</cdr:x>
      <cdr:y>0.96774</cdr:y>
    </cdr:from>
    <cdr:to>
      <cdr:x>0.5102</cdr:x>
      <cdr:y>0.99355</cdr:y>
    </cdr:to>
    <cdr:sp macro="" textlink="">
      <cdr:nvSpPr>
        <cdr:cNvPr id="7" name="Arrow: Right 6">
          <a:extLst xmlns:a="http://schemas.openxmlformats.org/drawingml/2006/main">
            <a:ext uri="{FF2B5EF4-FFF2-40B4-BE49-F238E27FC236}">
              <a16:creationId xmlns:a16="http://schemas.microsoft.com/office/drawing/2014/main" id="{B18E6077-5239-4E28-9054-96CEE8593A99}"/>
            </a:ext>
          </a:extLst>
        </cdr:cNvPr>
        <cdr:cNvSpPr/>
      </cdr:nvSpPr>
      <cdr:spPr>
        <a:xfrm xmlns:a="http://schemas.openxmlformats.org/drawingml/2006/main">
          <a:off x="3250407" y="5000625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0.48454</cdr:x>
      <cdr:y>0.20338</cdr:y>
    </cdr:from>
    <cdr:to>
      <cdr:x>0.50603</cdr:x>
      <cdr:y>0.22919</cdr:y>
    </cdr:to>
    <cdr:sp macro="" textlink="">
      <cdr:nvSpPr>
        <cdr:cNvPr id="8" name="Arrow: Right 7">
          <a:extLst xmlns:a="http://schemas.openxmlformats.org/drawingml/2006/main">
            <a:ext uri="{FF2B5EF4-FFF2-40B4-BE49-F238E27FC236}">
              <a16:creationId xmlns:a16="http://schemas.microsoft.com/office/drawing/2014/main" id="{AB3DA0D6-4243-E755-DA51-589CE3FE3469}"/>
            </a:ext>
          </a:extLst>
        </cdr:cNvPr>
        <cdr:cNvSpPr/>
      </cdr:nvSpPr>
      <cdr:spPr>
        <a:xfrm xmlns:a="http://schemas.openxmlformats.org/drawingml/2006/main">
          <a:off x="3222625" y="1050925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0.66934</cdr:x>
      <cdr:y>0.33794</cdr:y>
    </cdr:from>
    <cdr:to>
      <cdr:x>0.69083</cdr:x>
      <cdr:y>0.36375</cdr:y>
    </cdr:to>
    <cdr:sp macro="" textlink="">
      <cdr:nvSpPr>
        <cdr:cNvPr id="9" name="Arrow: Right 8">
          <a:extLst xmlns:a="http://schemas.openxmlformats.org/drawingml/2006/main">
            <a:ext uri="{FF2B5EF4-FFF2-40B4-BE49-F238E27FC236}">
              <a16:creationId xmlns:a16="http://schemas.microsoft.com/office/drawing/2014/main" id="{AB3DA0D6-4243-E755-DA51-589CE3FE3469}"/>
            </a:ext>
          </a:extLst>
        </cdr:cNvPr>
        <cdr:cNvSpPr/>
      </cdr:nvSpPr>
      <cdr:spPr>
        <a:xfrm xmlns:a="http://schemas.openxmlformats.org/drawingml/2006/main">
          <a:off x="4888415" y="1746250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0.24752</cdr:x>
      <cdr:y>0.34624</cdr:y>
    </cdr:from>
    <cdr:to>
      <cdr:x>0.26901</cdr:x>
      <cdr:y>0.37204</cdr:y>
    </cdr:to>
    <cdr:sp macro="" textlink="">
      <cdr:nvSpPr>
        <cdr:cNvPr id="10" name="Arrow: Right 9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646237" y="1789112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0.1795</cdr:x>
      <cdr:y>0.47343</cdr:y>
    </cdr:from>
    <cdr:to>
      <cdr:x>0.20098</cdr:x>
      <cdr:y>0.49923</cdr:y>
    </cdr:to>
    <cdr:sp macro="" textlink="">
      <cdr:nvSpPr>
        <cdr:cNvPr id="11" name="Arrow: Right 10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193800" y="2446337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0.16846</cdr:x>
      <cdr:y>0.63287</cdr:y>
    </cdr:from>
    <cdr:to>
      <cdr:x>0.18994</cdr:x>
      <cdr:y>0.65868</cdr:y>
    </cdr:to>
    <cdr:sp macro="" textlink="">
      <cdr:nvSpPr>
        <cdr:cNvPr id="12" name="Arrow: Right 11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230313" y="3270251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0.1771</cdr:x>
      <cdr:y>0.79601</cdr:y>
    </cdr:from>
    <cdr:to>
      <cdr:x>0.19859</cdr:x>
      <cdr:y>0.82181</cdr:y>
    </cdr:to>
    <cdr:sp macro="" textlink="">
      <cdr:nvSpPr>
        <cdr:cNvPr id="13" name="Arrow: Right 12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293447" y="4113212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0.28867</cdr:x>
      <cdr:y>0.91121</cdr:y>
    </cdr:from>
    <cdr:to>
      <cdr:x>0.31015</cdr:x>
      <cdr:y>0.93702</cdr:y>
    </cdr:to>
    <cdr:sp macro="" textlink="">
      <cdr:nvSpPr>
        <cdr:cNvPr id="14" name="Arrow: Right 13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2108258" y="4708525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0.78248</cdr:x>
      <cdr:y>0.46882</cdr:y>
    </cdr:from>
    <cdr:to>
      <cdr:x>0.80397</cdr:x>
      <cdr:y>0.49462</cdr:y>
    </cdr:to>
    <cdr:sp macro="" textlink="">
      <cdr:nvSpPr>
        <cdr:cNvPr id="15" name="Arrow: Right 14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5714710" y="2422525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0.76673</cdr:x>
      <cdr:y>0.62826</cdr:y>
    </cdr:from>
    <cdr:to>
      <cdr:x>0.78821</cdr:x>
      <cdr:y>0.65407</cdr:y>
    </cdr:to>
    <cdr:sp macro="" textlink="">
      <cdr:nvSpPr>
        <cdr:cNvPr id="16" name="Arrow: Right 15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5599656" y="3246437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0.76172</cdr:x>
      <cdr:y>0.79048</cdr:y>
    </cdr:from>
    <cdr:to>
      <cdr:x>0.7832</cdr:x>
      <cdr:y>0.81628</cdr:y>
    </cdr:to>
    <cdr:sp macro="" textlink="">
      <cdr:nvSpPr>
        <cdr:cNvPr id="17" name="Arrow: Right 16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5563048" y="4084638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0.68223</cdr:x>
      <cdr:y>0.91214</cdr:y>
    </cdr:from>
    <cdr:to>
      <cdr:x>0.70372</cdr:x>
      <cdr:y>0.93794</cdr:y>
    </cdr:to>
    <cdr:sp macro="" textlink="">
      <cdr:nvSpPr>
        <cdr:cNvPr id="18" name="Arrow: Right 17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4982550" y="4713287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0.47882</cdr:x>
      <cdr:y>0.03932</cdr:y>
    </cdr:from>
    <cdr:to>
      <cdr:x>0.52882</cdr:x>
      <cdr:y>0.09585</cdr:y>
    </cdr:to>
    <cdr:sp macro="" textlink="">
      <cdr:nvSpPr>
        <cdr:cNvPr id="19" name="Arrow: Right 18">
          <a:extLst xmlns:a="http://schemas.openxmlformats.org/drawingml/2006/main">
            <a:ext uri="{FF2B5EF4-FFF2-40B4-BE49-F238E27FC236}">
              <a16:creationId xmlns:a16="http://schemas.microsoft.com/office/drawing/2014/main" id="{7F3EBA1F-EAA8-DCA1-661C-64A694677535}"/>
            </a:ext>
          </a:extLst>
        </cdr:cNvPr>
        <cdr:cNvSpPr/>
      </cdr:nvSpPr>
      <cdr:spPr>
        <a:xfrm xmlns:a="http://schemas.openxmlformats.org/drawingml/2006/main">
          <a:off x="3184525" y="203200"/>
          <a:ext cx="332582" cy="2921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666750</xdr:colOff>
      <xdr:row>9</xdr:row>
      <xdr:rowOff>2381</xdr:rowOff>
    </xdr:from>
    <xdr:to>
      <xdr:col>29</xdr:col>
      <xdr:colOff>11906</xdr:colOff>
      <xdr:row>33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386B8-A3BC-7998-78FA-B18B17240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0.8162</cdr:x>
      <cdr:y>0.0268</cdr:y>
    </cdr:from>
    <cdr:to>
      <cdr:x>0.97942</cdr:x>
      <cdr:y>0.31124</cdr:y>
    </cdr:to>
    <cdr:pic>
      <cdr:nvPicPr>
        <cdr:cNvPr id="2" name="Picture 1" descr="A person wearing a black shir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344D8C1-F3F5-1977-6E8F-0FF3F399CC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199062" y="117475"/>
          <a:ext cx="1039671" cy="1246982"/>
        </a:xfrm>
        <a:prstGeom xmlns:a="http://schemas.openxmlformats.org/drawingml/2006/main" prst="roundRect">
          <a:avLst>
            <a:gd name="adj" fmla="val 16667"/>
          </a:avLst>
        </a:prstGeom>
        <a:ln xmlns:a="http://schemas.openxmlformats.org/drawingml/2006/main">
          <a:noFill/>
        </a:ln>
        <a:effectLst xmlns:a="http://schemas.openxmlformats.org/drawingml/2006/main">
          <a:outerShdw blurRad="76200" dist="38100" dir="7800000" algn="tl" rotWithShape="0">
            <a:srgbClr val="000000">
              <a:alpha val="40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4200000"/>
          </a:lightRig>
        </a:scene3d>
        <a:sp3d xmlns:a="http://schemas.openxmlformats.org/drawingml/2006/main" prstMaterial="plastic">
          <a:bevelT w="381000" h="114300" prst="relaxedInset"/>
          <a:contourClr>
            <a:srgbClr val="969696"/>
          </a:contourClr>
        </a:sp3d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L686" totalsRowCount="1">
  <autoFilter ref="A1:CL685" xr:uid="{00000000-0009-0000-0100-000001000000}">
    <filterColumn colId="0">
      <filters>
        <filter val="C2021"/>
      </filters>
    </filterColumn>
    <filterColumn colId="3">
      <filters>
        <filter val="complete"/>
      </filters>
    </filterColumn>
    <filterColumn colId="8">
      <filters>
        <filter val="0.2"/>
        <filter val="0.24"/>
        <filter val="0.26"/>
        <filter val="0.28"/>
        <filter val="0.3"/>
        <filter val="0.32"/>
        <filter val="0.34"/>
        <filter val="0.36"/>
        <filter val="0.38"/>
        <filter val="0.4"/>
        <filter val="0.42"/>
        <filter val="0.44"/>
        <filter val="0.46"/>
        <filter val="0.48"/>
        <filter val="0.5"/>
        <filter val="0.52"/>
        <filter val="0.54"/>
        <filter val="0.56"/>
        <filter val="0.58"/>
        <filter val="0.6"/>
        <filter val="0.64"/>
        <filter val="0.66"/>
        <filter val="0.68"/>
        <filter val="0.7"/>
      </filters>
    </filterColumn>
    <filterColumn colId="12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2"/>
        <filter val="3"/>
        <filter val="4"/>
        <filter val="5"/>
        <filter val="6"/>
        <filter val="7"/>
        <filter val="8"/>
        <filter val="9"/>
      </filters>
    </filterColumn>
  </autoFilter>
  <tableColumns count="90">
    <tableColumn id="65" xr3:uid="{00000000-0010-0000-0000-000041000000}" name="Torneo"/>
    <tableColumn id="1" xr3:uid="{00000000-0010-0000-0000-000001000000}" name="timestamp"/>
    <tableColumn id="2" xr3:uid="{00000000-0010-0000-0000-000002000000}" name="date_GMT" dataDxfId="50" totalsRowDxfId="49"/>
    <tableColumn id="3" xr3:uid="{00000000-0010-0000-0000-000003000000}" name="status" totalsRowFunction="count"/>
    <tableColumn id="4" xr3:uid="{00000000-0010-0000-0000-000004000000}" name="attendance"/>
    <tableColumn id="5" xr3:uid="{00000000-0010-0000-0000-000005000000}" name="home_team_name"/>
    <tableColumn id="6" xr3:uid="{00000000-0010-0000-0000-000006000000}" name="away_team_name"/>
    <tableColumn id="7" xr3:uid="{00000000-0010-0000-0000-000007000000}" name="referee" totalsRowFunction="count"/>
    <tableColumn id="70" xr3:uid="{00000000-0010-0000-0000-000046000000}" name="Reference" totalsRowFunction="average" dataDxfId="48" totalsRowDxfId="47">
      <calculatedColumnFormula>MROUND(Table1[[#This Row],[ProbH]]*100,2)/100</calculatedColumnFormula>
    </tableColumn>
    <tableColumn id="67" xr3:uid="{00000000-0010-0000-0000-000043000000}" name="ProbH" totalsRowFunction="average" dataDxfId="46" totalsRowDxfId="45">
      <calculatedColumnFormula>1/Table1[[#This Row],[odds_ft_home_team_win]]-Table1[[#This Row],[Margin]]</calculatedColumnFormula>
    </tableColumn>
    <tableColumn id="68" xr3:uid="{00000000-0010-0000-0000-000044000000}" name="ProbD" totalsRowFunction="average" dataDxfId="44" totalsRowDxfId="43">
      <calculatedColumnFormula>1/Table1[[#This Row],[odds_ft_draw]]-Table1[[#This Row],[Margin]]</calculatedColumnFormula>
    </tableColumn>
    <tableColumn id="69" xr3:uid="{00000000-0010-0000-0000-000045000000}" name="ProbA" totalsRowFunction="average" dataDxfId="42" totalsRowDxfId="41">
      <calculatedColumnFormula>1/Table1[[#This Row],[odds_ft_away_team_win]]-Table1[[#This Row],[Margin]]</calculatedColumnFormula>
    </tableColumn>
    <tableColumn id="8" xr3:uid="{00000000-0010-0000-0000-000008000000}" name="Game Week"/>
    <tableColumn id="9" xr3:uid="{00000000-0010-0000-0000-000009000000}" name="Pre-Match PPG (Home)"/>
    <tableColumn id="10" xr3:uid="{00000000-0010-0000-0000-00000A000000}" name="Pre-Match PPG (Away)"/>
    <tableColumn id="11" xr3:uid="{00000000-0010-0000-0000-00000B000000}" name="home_ppg"/>
    <tableColumn id="12" xr3:uid="{00000000-0010-0000-0000-00000C000000}" name="away_ppg"/>
    <tableColumn id="90" xr3:uid="{00000000-0010-0000-0000-00005A000000}" name="Result" totalsRowFunction="count" dataDxfId="40">
      <calculatedColumnFormula array="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calculatedColumnFormula>
    </tableColumn>
    <tableColumn id="13" xr3:uid="{00000000-0010-0000-0000-00000D000000}" name="home_team_goal_count" totalsRowFunction="average"/>
    <tableColumn id="14" xr3:uid="{00000000-0010-0000-0000-00000E000000}" name="away_team_goal_count" totalsRowFunction="average"/>
    <tableColumn id="15" xr3:uid="{00000000-0010-0000-0000-00000F000000}" name="total_goal_count" totalsRowFunction="sum"/>
    <tableColumn id="16" xr3:uid="{00000000-0010-0000-0000-000010000000}" name="total_goals_at_half_time"/>
    <tableColumn id="17" xr3:uid="{00000000-0010-0000-0000-000011000000}" name="home_team_goal_count_half_time"/>
    <tableColumn id="18" xr3:uid="{00000000-0010-0000-0000-000012000000}" name="away_team_goal_count_half_time"/>
    <tableColumn id="19" xr3:uid="{00000000-0010-0000-0000-000013000000}" name="home_team_goal_timings"/>
    <tableColumn id="20" xr3:uid="{00000000-0010-0000-0000-000014000000}" name="away_team_goal_timings"/>
    <tableColumn id="21" xr3:uid="{00000000-0010-0000-0000-000015000000}" name="home_team_corner_count"/>
    <tableColumn id="22" xr3:uid="{00000000-0010-0000-0000-000016000000}" name="away_team_corner_count"/>
    <tableColumn id="23" xr3:uid="{00000000-0010-0000-0000-000017000000}" name="home_team_yellow_cards" totalsRowFunction="sum"/>
    <tableColumn id="24" xr3:uid="{00000000-0010-0000-0000-000018000000}" name="home_team_red_cards" totalsRowFunction="sum"/>
    <tableColumn id="25" xr3:uid="{00000000-0010-0000-0000-000019000000}" name="away_team_yellow_cards" totalsRowFunction="sum"/>
    <tableColumn id="26" xr3:uid="{00000000-0010-0000-0000-00001A000000}" name="away_team_red_cards" totalsRowFunction="sum"/>
    <tableColumn id="27" xr3:uid="{00000000-0010-0000-0000-00001B000000}" name="home_team_first_half_cards"/>
    <tableColumn id="28" xr3:uid="{00000000-0010-0000-0000-00001C000000}" name="home_team_second_half_cards"/>
    <tableColumn id="29" xr3:uid="{00000000-0010-0000-0000-00001D000000}" name="away_team_first_half_cards"/>
    <tableColumn id="30" xr3:uid="{00000000-0010-0000-0000-00001E000000}" name="away_team_second_half_cards"/>
    <tableColumn id="31" xr3:uid="{00000000-0010-0000-0000-00001F000000}" name="home_team_shots"/>
    <tableColumn id="32" xr3:uid="{00000000-0010-0000-0000-000020000000}" name="away_team_shots"/>
    <tableColumn id="33" xr3:uid="{00000000-0010-0000-0000-000021000000}" name="home_team_shots_on_target"/>
    <tableColumn id="34" xr3:uid="{00000000-0010-0000-0000-000022000000}" name="away_team_shots_on_target"/>
    <tableColumn id="35" xr3:uid="{00000000-0010-0000-0000-000023000000}" name="home_team_shots_off_target"/>
    <tableColumn id="36" xr3:uid="{00000000-0010-0000-0000-000024000000}" name="away_team_shots_off_target"/>
    <tableColumn id="37" xr3:uid="{00000000-0010-0000-0000-000025000000}" name="home_team_fouls" totalsRowFunction="sum"/>
    <tableColumn id="38" xr3:uid="{00000000-0010-0000-0000-000026000000}" name="away_team_fouls" totalsRowFunction="sum"/>
    <tableColumn id="39" xr3:uid="{00000000-0010-0000-0000-000027000000}" name="home_team_possession"/>
    <tableColumn id="40" xr3:uid="{00000000-0010-0000-0000-000028000000}" name="away_team_possession"/>
    <tableColumn id="41" xr3:uid="{00000000-0010-0000-0000-000029000000}" name="team_a_xg"/>
    <tableColumn id="42" xr3:uid="{00000000-0010-0000-0000-00002A000000}" name="team_b_xg"/>
    <tableColumn id="43" xr3:uid="{00000000-0010-0000-0000-00002B000000}" name="average_goals_per_match_pre_match"/>
    <tableColumn id="44" xr3:uid="{00000000-0010-0000-0000-00002C000000}" name="btts_percentage_pre_match"/>
    <tableColumn id="45" xr3:uid="{00000000-0010-0000-0000-00002D000000}" name="over_15_percentage_pre_match"/>
    <tableColumn id="46" xr3:uid="{00000000-0010-0000-0000-00002E000000}" name="over_25_percentage_pre_match"/>
    <tableColumn id="47" xr3:uid="{00000000-0010-0000-0000-00002F000000}" name="over_35_percentage_pre_match"/>
    <tableColumn id="48" xr3:uid="{00000000-0010-0000-0000-000030000000}" name="over_45_percentage_pre_match"/>
    <tableColumn id="49" xr3:uid="{00000000-0010-0000-0000-000031000000}" name="over_15_HT_FHG_percentage_pre_match"/>
    <tableColumn id="50" xr3:uid="{00000000-0010-0000-0000-000032000000}" name="over_05_HT_FHG_percentage_pre_match"/>
    <tableColumn id="51" xr3:uid="{00000000-0010-0000-0000-000033000000}" name="over_15_2HG_percentage_pre_match"/>
    <tableColumn id="52" xr3:uid="{00000000-0010-0000-0000-000034000000}" name="over_05_2HG_percentage_pre_match"/>
    <tableColumn id="53" xr3:uid="{00000000-0010-0000-0000-000035000000}" name="average_corners_per_match_pre_match"/>
    <tableColumn id="54" xr3:uid="{00000000-0010-0000-0000-000036000000}" name="average_cards_per_match_pre_match"/>
    <tableColumn id="55" xr3:uid="{00000000-0010-0000-0000-000037000000}" name="odds_ft_home_team_win"/>
    <tableColumn id="56" xr3:uid="{00000000-0010-0000-0000-000038000000}" name="odds_ft_draw"/>
    <tableColumn id="57" xr3:uid="{00000000-0010-0000-0000-000039000000}" name="odds_ft_away_team_win"/>
    <tableColumn id="66" xr3:uid="{00000000-0010-0000-0000-000042000000}" name="Margin" dataDxfId="39" totalsRowDxfId="38">
      <calculatedColumnFormula>(1/Table1[[#This Row],[odds_ft_home_team_win]]+1/Table1[[#This Row],[odds_ft_draw]]+1/Table1[[#This Row],[odds_ft_away_team_win]]-1)/3</calculatedColumnFormula>
    </tableColumn>
    <tableColumn id="58" xr3:uid="{00000000-0010-0000-0000-00003A000000}" name="odds_ft_over15"/>
    <tableColumn id="59" xr3:uid="{00000000-0010-0000-0000-00003B000000}" name="odds_ft_over25"/>
    <tableColumn id="60" xr3:uid="{00000000-0010-0000-0000-00003C000000}" name="odds_ft_over35"/>
    <tableColumn id="61" xr3:uid="{00000000-0010-0000-0000-00003D000000}" name="odds_ft_over45"/>
    <tableColumn id="62" xr3:uid="{00000000-0010-0000-0000-00003E000000}" name="odds_btts_yes"/>
    <tableColumn id="63" xr3:uid="{00000000-0010-0000-0000-00003F000000}" name="odds_btts_no"/>
    <tableColumn id="64" xr3:uid="{00000000-0010-0000-0000-000040000000}" name="stadium_name"/>
    <tableColumn id="71" xr3:uid="{00000000-0010-0000-0000-000047000000}" name="xPHome" totalsRowFunction="sum" dataDxfId="37" totalsRowDxfId="36">
      <calculatedColumnFormula>VLOOKUP(Table1[[#This Row],[Reference]],metron,8,FALSE)</calculatedColumnFormula>
    </tableColumn>
    <tableColumn id="72" xr3:uid="{00000000-0010-0000-0000-000048000000}" name="xPAway" totalsRowFunction="sum" dataDxfId="35" totalsRowDxfId="34">
      <calculatedColumnFormula>VLOOKUP(Table1[[#This Row],[Reference]],metron,9,FALSE)</calculatedColumnFormula>
    </tableColumn>
    <tableColumn id="73" xr3:uid="{00000000-0010-0000-0000-000049000000}" name="xGoals" totalsRowFunction="sum" dataDxfId="33" totalsRowDxfId="32">
      <calculatedColumnFormula>VLOOKUP(Table1[[#This Row],[Reference]],metron,10,FALSE)</calculatedColumnFormula>
    </tableColumn>
    <tableColumn id="74" xr3:uid="{00000000-0010-0000-0000-00004A000000}" name="xHG" totalsRowFunction="sum" dataDxfId="31" totalsRowDxfId="30">
      <calculatedColumnFormula>VLOOKUP(Table1[[#This Row],[Reference]],metron,11,FALSE)</calculatedColumnFormula>
    </tableColumn>
    <tableColumn id="75" xr3:uid="{00000000-0010-0000-0000-00004B000000}" name="xAG" totalsRowFunction="sum" dataDxfId="29" totalsRowDxfId="28">
      <calculatedColumnFormula>VLOOKUP(Table1[[#This Row],[Reference]],metron,12,FALSE)</calculatedColumnFormula>
    </tableColumn>
    <tableColumn id="76" xr3:uid="{00000000-0010-0000-0000-00004C000000}" name="HTHG" dataDxfId="27" totalsRowDxfId="26">
      <calculatedColumnFormula>VLOOKUP(Table1[[#This Row],[Reference]],metron,13,FALSE)</calculatedColumnFormula>
    </tableColumn>
    <tableColumn id="77" xr3:uid="{00000000-0010-0000-0000-00004D000000}" name="HTAG" dataDxfId="25" totalsRowDxfId="24">
      <calculatedColumnFormula>VLOOKUP(Table1[[#This Row],[Reference]],metron,14,FALSE)</calculatedColumnFormula>
    </tableColumn>
    <tableColumn id="78" xr3:uid="{00000000-0010-0000-0000-00004E000000}" name="HS" dataDxfId="23" totalsRowDxfId="22">
      <calculatedColumnFormula>VLOOKUP(Table1[[#This Row],[Reference]],metron,15,FALSE)</calculatedColumnFormula>
    </tableColumn>
    <tableColumn id="79" xr3:uid="{00000000-0010-0000-0000-00004F000000}" name="AS" dataDxfId="21" totalsRowDxfId="20">
      <calculatedColumnFormula>VLOOKUP(Table1[[#This Row],[Reference]],metron,16,FALSE)</calculatedColumnFormula>
    </tableColumn>
    <tableColumn id="80" xr3:uid="{00000000-0010-0000-0000-000050000000}" name="HST" dataDxfId="19" totalsRowDxfId="18">
      <calculatedColumnFormula>VLOOKUP(Table1[[#This Row],[Reference]],metron,17,FALSE)</calculatedColumnFormula>
    </tableColumn>
    <tableColumn id="81" xr3:uid="{00000000-0010-0000-0000-000051000000}" name="AST" dataDxfId="17" totalsRowDxfId="16">
      <calculatedColumnFormula>VLOOKUP(Table1[[#This Row],[Reference]],metron,18,FALSE)</calculatedColumnFormula>
    </tableColumn>
    <tableColumn id="82" xr3:uid="{00000000-0010-0000-0000-000052000000}" name="HSM" dataDxfId="15" totalsRowDxfId="14">
      <calculatedColumnFormula>VLOOKUP(Table1[[#This Row],[Reference]],metron,19,FALSE)</calculatedColumnFormula>
    </tableColumn>
    <tableColumn id="83" xr3:uid="{00000000-0010-0000-0000-000053000000}" name="ASM" dataDxfId="13" totalsRowDxfId="12">
      <calculatedColumnFormula>VLOOKUP(Table1[[#This Row],[Reference]],metron,20,FALSE)</calculatedColumnFormula>
    </tableColumn>
    <tableColumn id="84" xr3:uid="{00000000-0010-0000-0000-000054000000}" name="HF" totalsRowFunction="sum" dataDxfId="11" totalsRowDxfId="10">
      <calculatedColumnFormula>VLOOKUP(Table1[[#This Row],[Reference]],metron,21,FALSE)</calculatedColumnFormula>
    </tableColumn>
    <tableColumn id="85" xr3:uid="{00000000-0010-0000-0000-000055000000}" name="AF" totalsRowFunction="sum" dataDxfId="9" totalsRowDxfId="8">
      <calculatedColumnFormula>VLOOKUP(Table1[[#This Row],[Reference]],metron,22,FALSE)</calculatedColumnFormula>
    </tableColumn>
    <tableColumn id="86" xr3:uid="{00000000-0010-0000-0000-000056000000}" name="HY" totalsRowFunction="sum" dataDxfId="7" totalsRowDxfId="6">
      <calculatedColumnFormula>VLOOKUP(Table1[[#This Row],[Reference]],metron,23,FALSE)</calculatedColumnFormula>
    </tableColumn>
    <tableColumn id="87" xr3:uid="{00000000-0010-0000-0000-000057000000}" name="AY" totalsRowFunction="sum" dataDxfId="5" totalsRowDxfId="4">
      <calculatedColumnFormula>VLOOKUP(Table1[[#This Row],[Reference]],metron,24,FALSE)</calculatedColumnFormula>
    </tableColumn>
    <tableColumn id="88" xr3:uid="{00000000-0010-0000-0000-000058000000}" name="HR" totalsRowFunction="sum" dataDxfId="3" totalsRowDxfId="2">
      <calculatedColumnFormula>VLOOKUP(Table1[[#This Row],[Reference]],metron,25,FALSE)</calculatedColumnFormula>
    </tableColumn>
    <tableColumn id="89" xr3:uid="{00000000-0010-0000-0000-000059000000}" name="AR" totalsRowFunction="sum" dataDxfId="1" totalsRowDxfId="0">
      <calculatedColumnFormula>VLOOKUP(Table1[[#This Row],[Reference]],metron,26,FALSE)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CL154" totalsRowShown="0">
  <autoFilter ref="A1:CL154" xr:uid="{00000000-0009-0000-0100-000002000000}"/>
  <tableColumns count="90">
    <tableColumn id="1" xr3:uid="{00000000-0010-0000-0100-000001000000}" name="Torneo"/>
    <tableColumn id="2" xr3:uid="{00000000-0010-0000-0100-000002000000}" name="timestamp"/>
    <tableColumn id="3" xr3:uid="{00000000-0010-0000-0100-000003000000}" name="date_GMT"/>
    <tableColumn id="4" xr3:uid="{00000000-0010-0000-0100-000004000000}" name="status"/>
    <tableColumn id="5" xr3:uid="{00000000-0010-0000-0100-000005000000}" name="attendance"/>
    <tableColumn id="6" xr3:uid="{00000000-0010-0000-0100-000006000000}" name="home_team_name"/>
    <tableColumn id="7" xr3:uid="{00000000-0010-0000-0100-000007000000}" name="away_team_name"/>
    <tableColumn id="8" xr3:uid="{00000000-0010-0000-0100-000008000000}" name="referee"/>
    <tableColumn id="9" xr3:uid="{00000000-0010-0000-0100-000009000000}" name="Reference"/>
    <tableColumn id="10" xr3:uid="{00000000-0010-0000-0100-00000A000000}" name="ProbH"/>
    <tableColumn id="11" xr3:uid="{00000000-0010-0000-0100-00000B000000}" name="ProbD"/>
    <tableColumn id="12" xr3:uid="{00000000-0010-0000-0100-00000C000000}" name="ProbA"/>
    <tableColumn id="13" xr3:uid="{00000000-0010-0000-0100-00000D000000}" name="Game Week"/>
    <tableColumn id="14" xr3:uid="{00000000-0010-0000-0100-00000E000000}" name="Pre-Match PPG (Home)"/>
    <tableColumn id="15" xr3:uid="{00000000-0010-0000-0100-00000F000000}" name="Pre-Match PPG (Away)"/>
    <tableColumn id="16" xr3:uid="{00000000-0010-0000-0100-000010000000}" name="home_ppg"/>
    <tableColumn id="17" xr3:uid="{00000000-0010-0000-0100-000011000000}" name="away_ppg"/>
    <tableColumn id="18" xr3:uid="{00000000-0010-0000-0100-000012000000}" name="Result"/>
    <tableColumn id="19" xr3:uid="{00000000-0010-0000-0100-000013000000}" name="home_team_goal_count"/>
    <tableColumn id="20" xr3:uid="{00000000-0010-0000-0100-000014000000}" name="away_team_goal_count"/>
    <tableColumn id="21" xr3:uid="{00000000-0010-0000-0100-000015000000}" name="total_goal_count"/>
    <tableColumn id="22" xr3:uid="{00000000-0010-0000-0100-000016000000}" name="total_goals_at_half_time"/>
    <tableColumn id="23" xr3:uid="{00000000-0010-0000-0100-000017000000}" name="home_team_goal_count_half_time"/>
    <tableColumn id="24" xr3:uid="{00000000-0010-0000-0100-000018000000}" name="away_team_goal_count_half_time"/>
    <tableColumn id="25" xr3:uid="{00000000-0010-0000-0100-000019000000}" name="home_team_goal_timings"/>
    <tableColumn id="26" xr3:uid="{00000000-0010-0000-0100-00001A000000}" name="away_team_goal_timings"/>
    <tableColumn id="27" xr3:uid="{00000000-0010-0000-0100-00001B000000}" name="home_team_corner_count"/>
    <tableColumn id="28" xr3:uid="{00000000-0010-0000-0100-00001C000000}" name="away_team_corner_count"/>
    <tableColumn id="29" xr3:uid="{00000000-0010-0000-0100-00001D000000}" name="home_team_yellow_cards"/>
    <tableColumn id="30" xr3:uid="{00000000-0010-0000-0100-00001E000000}" name="home_team_red_cards"/>
    <tableColumn id="31" xr3:uid="{00000000-0010-0000-0100-00001F000000}" name="away_team_yellow_cards"/>
    <tableColumn id="32" xr3:uid="{00000000-0010-0000-0100-000020000000}" name="away_team_red_cards"/>
    <tableColumn id="33" xr3:uid="{00000000-0010-0000-0100-000021000000}" name="home_team_first_half_cards"/>
    <tableColumn id="34" xr3:uid="{00000000-0010-0000-0100-000022000000}" name="home_team_second_half_cards"/>
    <tableColumn id="35" xr3:uid="{00000000-0010-0000-0100-000023000000}" name="away_team_first_half_cards"/>
    <tableColumn id="36" xr3:uid="{00000000-0010-0000-0100-000024000000}" name="away_team_second_half_cards"/>
    <tableColumn id="37" xr3:uid="{00000000-0010-0000-0100-000025000000}" name="home_team_shots"/>
    <tableColumn id="38" xr3:uid="{00000000-0010-0000-0100-000026000000}" name="away_team_shots"/>
    <tableColumn id="39" xr3:uid="{00000000-0010-0000-0100-000027000000}" name="home_team_shots_on_target"/>
    <tableColumn id="40" xr3:uid="{00000000-0010-0000-0100-000028000000}" name="away_team_shots_on_target"/>
    <tableColumn id="41" xr3:uid="{00000000-0010-0000-0100-000029000000}" name="home_team_shots_off_target"/>
    <tableColumn id="42" xr3:uid="{00000000-0010-0000-0100-00002A000000}" name="away_team_shots_off_target"/>
    <tableColumn id="43" xr3:uid="{00000000-0010-0000-0100-00002B000000}" name="home_team_fouls"/>
    <tableColumn id="44" xr3:uid="{00000000-0010-0000-0100-00002C000000}" name="away_team_fouls"/>
    <tableColumn id="45" xr3:uid="{00000000-0010-0000-0100-00002D000000}" name="home_team_possession"/>
    <tableColumn id="46" xr3:uid="{00000000-0010-0000-0100-00002E000000}" name="away_team_possession"/>
    <tableColumn id="47" xr3:uid="{00000000-0010-0000-0100-00002F000000}" name="team_a_xg"/>
    <tableColumn id="48" xr3:uid="{00000000-0010-0000-0100-000030000000}" name="team_b_xg"/>
    <tableColumn id="49" xr3:uid="{00000000-0010-0000-0100-000031000000}" name="average_goals_per_match_pre_match"/>
    <tableColumn id="50" xr3:uid="{00000000-0010-0000-0100-000032000000}" name="btts_percentage_pre_match"/>
    <tableColumn id="51" xr3:uid="{00000000-0010-0000-0100-000033000000}" name="over_15_percentage_pre_match"/>
    <tableColumn id="52" xr3:uid="{00000000-0010-0000-0100-000034000000}" name="over_25_percentage_pre_match"/>
    <tableColumn id="53" xr3:uid="{00000000-0010-0000-0100-000035000000}" name="over_35_percentage_pre_match"/>
    <tableColumn id="54" xr3:uid="{00000000-0010-0000-0100-000036000000}" name="over_45_percentage_pre_match"/>
    <tableColumn id="55" xr3:uid="{00000000-0010-0000-0100-000037000000}" name="over_15_HT_FHG_percentage_pre_match"/>
    <tableColumn id="56" xr3:uid="{00000000-0010-0000-0100-000038000000}" name="over_05_HT_FHG_percentage_pre_match"/>
    <tableColumn id="57" xr3:uid="{00000000-0010-0000-0100-000039000000}" name="over_15_2HG_percentage_pre_match"/>
    <tableColumn id="58" xr3:uid="{00000000-0010-0000-0100-00003A000000}" name="over_05_2HG_percentage_pre_match"/>
    <tableColumn id="59" xr3:uid="{00000000-0010-0000-0100-00003B000000}" name="average_corners_per_match_pre_match"/>
    <tableColumn id="60" xr3:uid="{00000000-0010-0000-0100-00003C000000}" name="average_cards_per_match_pre_match"/>
    <tableColumn id="61" xr3:uid="{00000000-0010-0000-0100-00003D000000}" name="odds_ft_home_team_win"/>
    <tableColumn id="62" xr3:uid="{00000000-0010-0000-0100-00003E000000}" name="odds_ft_draw"/>
    <tableColumn id="63" xr3:uid="{00000000-0010-0000-0100-00003F000000}" name="odds_ft_away_team_win"/>
    <tableColumn id="64" xr3:uid="{00000000-0010-0000-0100-000040000000}" name="Margin"/>
    <tableColumn id="65" xr3:uid="{00000000-0010-0000-0100-000041000000}" name="odds_ft_over15"/>
    <tableColumn id="66" xr3:uid="{00000000-0010-0000-0100-000042000000}" name="odds_ft_over25"/>
    <tableColumn id="67" xr3:uid="{00000000-0010-0000-0100-000043000000}" name="odds_ft_over35"/>
    <tableColumn id="68" xr3:uid="{00000000-0010-0000-0100-000044000000}" name="odds_ft_over45"/>
    <tableColumn id="69" xr3:uid="{00000000-0010-0000-0100-000045000000}" name="odds_btts_yes"/>
    <tableColumn id="70" xr3:uid="{00000000-0010-0000-0100-000046000000}" name="odds_btts_no"/>
    <tableColumn id="71" xr3:uid="{00000000-0010-0000-0100-000047000000}" name="stadium_name"/>
    <tableColumn id="72" xr3:uid="{00000000-0010-0000-0100-000048000000}" name="xPHome"/>
    <tableColumn id="73" xr3:uid="{00000000-0010-0000-0100-000049000000}" name="xPAway"/>
    <tableColumn id="74" xr3:uid="{00000000-0010-0000-0100-00004A000000}" name="xGoals"/>
    <tableColumn id="75" xr3:uid="{00000000-0010-0000-0100-00004B000000}" name="xHG"/>
    <tableColumn id="76" xr3:uid="{00000000-0010-0000-0100-00004C000000}" name="xAG"/>
    <tableColumn id="77" xr3:uid="{00000000-0010-0000-0100-00004D000000}" name="HTHG"/>
    <tableColumn id="78" xr3:uid="{00000000-0010-0000-0100-00004E000000}" name="HTAG"/>
    <tableColumn id="79" xr3:uid="{00000000-0010-0000-0100-00004F000000}" name="HS"/>
    <tableColumn id="80" xr3:uid="{00000000-0010-0000-0100-000050000000}" name="AS"/>
    <tableColumn id="81" xr3:uid="{00000000-0010-0000-0100-000051000000}" name="HST"/>
    <tableColumn id="82" xr3:uid="{00000000-0010-0000-0100-000052000000}" name="AST"/>
    <tableColumn id="83" xr3:uid="{00000000-0010-0000-0100-000053000000}" name="HSM"/>
    <tableColumn id="84" xr3:uid="{00000000-0010-0000-0100-000054000000}" name="ASM"/>
    <tableColumn id="85" xr3:uid="{00000000-0010-0000-0100-000055000000}" name="HF"/>
    <tableColumn id="86" xr3:uid="{00000000-0010-0000-0100-000056000000}" name="AF"/>
    <tableColumn id="87" xr3:uid="{00000000-0010-0000-0100-000057000000}" name="HY"/>
    <tableColumn id="88" xr3:uid="{00000000-0010-0000-0100-000058000000}" name="AY"/>
    <tableColumn id="89" xr3:uid="{00000000-0010-0000-0100-000059000000}" name="HR"/>
    <tableColumn id="90" xr3:uid="{00000000-0010-0000-0100-00005A000000}" name="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686"/>
  <sheetViews>
    <sheetView tabSelected="1" workbookViewId="0">
      <selection activeCell="G1" sqref="G1"/>
    </sheetView>
  </sheetViews>
  <sheetFormatPr defaultRowHeight="14.25" x14ac:dyDescent="0.45"/>
  <cols>
    <col min="1" max="2" width="11.06640625" customWidth="1"/>
    <col min="4" max="4" width="10.86328125" customWidth="1"/>
    <col min="6" max="6" width="11.46484375" customWidth="1"/>
    <col min="7" max="7" width="17.3984375" customWidth="1"/>
    <col min="8" max="8" width="17.06640625" customWidth="1"/>
    <col min="9" max="9" width="11.1328125" bestFit="1" customWidth="1"/>
    <col min="10" max="12" width="11.73046875" bestFit="1" customWidth="1"/>
    <col min="13" max="13" width="12.796875" bestFit="1" customWidth="1"/>
    <col min="14" max="14" width="12.1328125" customWidth="1"/>
    <col min="15" max="15" width="20.86328125" customWidth="1"/>
    <col min="16" max="16" width="20.53125" customWidth="1"/>
    <col min="17" max="18" width="10.9296875" customWidth="1"/>
    <col min="19" max="19" width="22.86328125" bestFit="1" customWidth="1"/>
    <col min="20" max="20" width="22.3984375" bestFit="1" customWidth="1"/>
    <col min="21" max="21" width="21.3984375" customWidth="1"/>
    <col min="22" max="22" width="16" customWidth="1"/>
    <col min="23" max="23" width="22.33203125" customWidth="1"/>
    <col min="24" max="24" width="30.19921875" customWidth="1"/>
    <col min="25" max="25" width="29.86328125" customWidth="1"/>
    <col min="26" max="26" width="23.06640625" customWidth="1"/>
    <col min="27" max="27" width="22.73046875" customWidth="1"/>
    <col min="28" max="28" width="23.46484375" customWidth="1"/>
    <col min="29" max="29" width="23.1328125" customWidth="1"/>
    <col min="30" max="30" width="23.19921875" customWidth="1"/>
    <col min="31" max="31" width="20.6640625" customWidth="1"/>
    <col min="32" max="32" width="22.86328125" customWidth="1"/>
    <col min="33" max="33" width="20.33203125" customWidth="1"/>
    <col min="34" max="34" width="25.1328125" customWidth="1"/>
    <col min="35" max="35" width="27.46484375" customWidth="1"/>
    <col min="36" max="36" width="24.796875" customWidth="1"/>
    <col min="37" max="37" width="27.1328125" customWidth="1"/>
    <col min="38" max="38" width="17.1328125" customWidth="1"/>
    <col min="39" max="39" width="16.796875" customWidth="1"/>
    <col min="40" max="40" width="25.796875" customWidth="1"/>
    <col min="41" max="41" width="25.46484375" customWidth="1"/>
    <col min="42" max="42" width="26" customWidth="1"/>
    <col min="43" max="43" width="25.6640625" customWidth="1"/>
    <col min="44" max="44" width="16.796875" customWidth="1"/>
    <col min="45" max="45" width="16.46484375" customWidth="1"/>
    <col min="46" max="46" width="21.33203125" customWidth="1"/>
    <col min="47" max="47" width="21" customWidth="1"/>
    <col min="48" max="48" width="11.265625" customWidth="1"/>
    <col min="49" max="49" width="11.33203125" customWidth="1"/>
    <col min="50" max="50" width="32.59765625" customWidth="1"/>
    <col min="51" max="51" width="24.796875" customWidth="1"/>
    <col min="52" max="55" width="28.1328125" customWidth="1"/>
    <col min="56" max="57" width="34.265625" customWidth="1"/>
    <col min="58" max="59" width="32.46484375" customWidth="1"/>
    <col min="60" max="60" width="34.265625" customWidth="1"/>
    <col min="61" max="61" width="32.6640625" customWidth="1"/>
    <col min="62" max="62" width="22.73046875" customWidth="1"/>
    <col min="63" max="64" width="13.46484375" customWidth="1"/>
    <col min="65" max="65" width="22.3984375" customWidth="1"/>
    <col min="66" max="69" width="14.9296875" customWidth="1"/>
    <col min="70" max="70" width="13.796875" customWidth="1"/>
    <col min="71" max="71" width="13.265625" customWidth="1"/>
    <col min="72" max="72" width="14.265625" customWidth="1"/>
  </cols>
  <sheetData>
    <row r="1" spans="1:90" x14ac:dyDescent="0.45">
      <c r="A1" t="s">
        <v>694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1262</v>
      </c>
      <c r="J1" s="3" t="s">
        <v>1259</v>
      </c>
      <c r="K1" s="3" t="s">
        <v>1260</v>
      </c>
      <c r="L1" s="3" t="s">
        <v>1261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s="8" t="s">
        <v>1320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1257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1266</v>
      </c>
      <c r="BU1" t="s">
        <v>1267</v>
      </c>
      <c r="BV1" t="s">
        <v>1268</v>
      </c>
      <c r="BW1" t="s">
        <v>1285</v>
      </c>
      <c r="BX1" t="s">
        <v>1286</v>
      </c>
      <c r="BY1" t="s">
        <v>1271</v>
      </c>
      <c r="BZ1" t="s">
        <v>1272</v>
      </c>
      <c r="CA1" t="s">
        <v>1273</v>
      </c>
      <c r="CB1" t="s">
        <v>1274</v>
      </c>
      <c r="CC1" t="s">
        <v>1275</v>
      </c>
      <c r="CD1" t="s">
        <v>1276</v>
      </c>
      <c r="CE1" t="s">
        <v>1277</v>
      </c>
      <c r="CF1" t="s">
        <v>1278</v>
      </c>
      <c r="CG1" t="s">
        <v>1279</v>
      </c>
      <c r="CH1" t="s">
        <v>1280</v>
      </c>
      <c r="CI1" t="s">
        <v>1281</v>
      </c>
      <c r="CJ1" t="s">
        <v>1282</v>
      </c>
      <c r="CK1" t="s">
        <v>1283</v>
      </c>
      <c r="CL1" t="s">
        <v>1284</v>
      </c>
    </row>
    <row r="2" spans="1:90" hidden="1" x14ac:dyDescent="0.45">
      <c r="A2" t="s">
        <v>696</v>
      </c>
      <c r="B2">
        <v>1627005600</v>
      </c>
      <c r="C2" s="23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>
        <f>MROUND(Table1[[#This Row],[ProbH]]*100,2)/100</f>
        <v>0.24</v>
      </c>
      <c r="J2">
        <f>1/Table1[[#This Row],[odds_ft_home_team_win]]-Table1[[#This Row],[Margin]]</f>
        <v>0.24343434343434339</v>
      </c>
      <c r="K2">
        <f>1/Table1[[#This Row],[odds_ft_draw]]-Table1[[#This Row],[Margin]]</f>
        <v>0.27979797979797977</v>
      </c>
      <c r="L2">
        <f>1/Table1[[#This Row],[odds_ft_away_team_win]]-Table1[[#This Row],[Margin]]</f>
        <v>0.47676767676767673</v>
      </c>
      <c r="M2">
        <v>1</v>
      </c>
      <c r="N2">
        <v>0</v>
      </c>
      <c r="O2">
        <v>0</v>
      </c>
      <c r="P2">
        <v>1.24</v>
      </c>
      <c r="Q2">
        <v>1.53</v>
      </c>
      <c r="R2" t="str" cm="1">
        <f t="array" ref="R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AA2">
        <v>0</v>
      </c>
      <c r="AB2">
        <v>8</v>
      </c>
      <c r="AC2">
        <v>2</v>
      </c>
      <c r="AD2">
        <v>0</v>
      </c>
      <c r="AE2">
        <v>2</v>
      </c>
      <c r="AF2">
        <v>0</v>
      </c>
      <c r="AG2">
        <v>1</v>
      </c>
      <c r="AH2">
        <v>1</v>
      </c>
      <c r="AI2">
        <v>1</v>
      </c>
      <c r="AJ2">
        <v>1</v>
      </c>
      <c r="AK2">
        <v>5</v>
      </c>
      <c r="AL2">
        <v>17</v>
      </c>
      <c r="AM2">
        <v>2</v>
      </c>
      <c r="AN2">
        <v>4</v>
      </c>
      <c r="AO2">
        <v>3</v>
      </c>
      <c r="AP2">
        <v>13</v>
      </c>
      <c r="AQ2">
        <v>11</v>
      </c>
      <c r="AR2">
        <v>16</v>
      </c>
      <c r="AS2">
        <v>43</v>
      </c>
      <c r="AT2">
        <v>57</v>
      </c>
      <c r="AU2">
        <v>0.61</v>
      </c>
      <c r="AV2">
        <v>1.7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3.75</v>
      </c>
      <c r="BJ2">
        <v>3.3</v>
      </c>
      <c r="BK2">
        <v>2</v>
      </c>
      <c r="BL2">
        <f>(1/Table1[[#This Row],[odds_ft_home_team_win]]+1/Table1[[#This Row],[odds_ft_draw]]+1/Table1[[#This Row],[odds_ft_away_team_win]]-1)/3</f>
        <v>2.3232323232323271E-2</v>
      </c>
      <c r="BM2">
        <v>1.48</v>
      </c>
      <c r="BN2">
        <v>2.2999999999999998</v>
      </c>
      <c r="BO2">
        <v>4.05</v>
      </c>
      <c r="BP2">
        <v>8</v>
      </c>
      <c r="BQ2">
        <v>2.1</v>
      </c>
      <c r="BR2">
        <v>1.69</v>
      </c>
      <c r="BS2" t="s">
        <v>70</v>
      </c>
      <c r="BT2">
        <f>VLOOKUP(Table1[[#This Row],[Reference]],metron,8,FALSE)</f>
        <v>1.0221684690062811</v>
      </c>
      <c r="BU2">
        <f>VLOOKUP(Table1[[#This Row],[Reference]],metron,9,FALSE)</f>
        <v>1.7036119427882386</v>
      </c>
      <c r="BV2">
        <f>VLOOKUP(Table1[[#This Row],[Reference]],metron,10,FALSE)</f>
        <v>2.6014437689969609</v>
      </c>
      <c r="BW2">
        <f>VLOOKUP(Table1[[#This Row],[Reference]],metron,11,FALSE)</f>
        <v>1.067249240121581</v>
      </c>
      <c r="BX2">
        <f>VLOOKUP(Table1[[#This Row],[Reference]],metron,12,FALSE)</f>
        <v>1.53419452887538</v>
      </c>
      <c r="BY2" s="6">
        <f>VLOOKUP(Table1[[#This Row],[Reference]],metron,13,FALSE)</f>
        <v>0.45589353612167299</v>
      </c>
      <c r="BZ2" s="6">
        <f>VLOOKUP(Table1[[#This Row],[Reference]],metron,14,FALSE)</f>
        <v>0.65133079847908748</v>
      </c>
      <c r="CA2" s="6">
        <f>VLOOKUP(Table1[[#This Row],[Reference]],metron,15,FALSE)</f>
        <v>10.75886524822695</v>
      </c>
      <c r="CB2" s="6">
        <f>VLOOKUP(Table1[[#This Row],[Reference]],metron,16,FALSE)</f>
        <v>12.46679561573179</v>
      </c>
      <c r="CC2" s="6">
        <f>VLOOKUP(Table1[[#This Row],[Reference]],metron,17,FALSE)</f>
        <v>4.1157347204161248</v>
      </c>
      <c r="CD2" s="6">
        <f>VLOOKUP(Table1[[#This Row],[Reference]],metron,18,FALSE)</f>
        <v>5.1072821846553964</v>
      </c>
      <c r="CE2" s="6">
        <f>VLOOKUP(Table1[[#This Row],[Reference]],metron,19,FALSE)</f>
        <v>6.6431305278108255</v>
      </c>
      <c r="CF2" s="6">
        <f>VLOOKUP(Table1[[#This Row],[Reference]],metron,20,FALSE)</f>
        <v>7.3595134310763939</v>
      </c>
      <c r="CG2" s="6">
        <f>VLOOKUP(Table1[[#This Row],[Reference]],metron,21,FALSE)</f>
        <v>13.11140235910878</v>
      </c>
      <c r="CH2" s="6">
        <f>VLOOKUP(Table1[[#This Row],[Reference]],metron,22,FALSE)</f>
        <v>12.93184796854522</v>
      </c>
      <c r="CI2" s="6">
        <f>VLOOKUP(Table1[[#This Row],[Reference]],metron,23,FALSE)</f>
        <v>1.8341677096370459</v>
      </c>
      <c r="CJ2" s="6">
        <f>VLOOKUP(Table1[[#This Row],[Reference]],metron,24,FALSE)</f>
        <v>1.7903629536921151</v>
      </c>
      <c r="CK2" s="6">
        <f>VLOOKUP(Table1[[#This Row],[Reference]],metron,25,FALSE)</f>
        <v>0.1095118898623279</v>
      </c>
      <c r="CL2" s="6">
        <f>VLOOKUP(Table1[[#This Row],[Reference]],metron,26,FALSE)</f>
        <v>9.3241551939924908E-2</v>
      </c>
    </row>
    <row r="3" spans="1:90" hidden="1" x14ac:dyDescent="0.45">
      <c r="A3" t="s">
        <v>696</v>
      </c>
      <c r="B3">
        <v>1627084800</v>
      </c>
      <c r="C3" s="23" t="s">
        <v>71</v>
      </c>
      <c r="D3" t="s">
        <v>65</v>
      </c>
      <c r="E3" t="s">
        <v>66</v>
      </c>
      <c r="F3" t="s">
        <v>72</v>
      </c>
      <c r="G3" t="s">
        <v>73</v>
      </c>
      <c r="H3" t="s">
        <v>74</v>
      </c>
      <c r="I3">
        <f>MROUND(Table1[[#This Row],[ProbH]]*100,2)/100</f>
        <v>0.36</v>
      </c>
      <c r="J3">
        <f>1/Table1[[#This Row],[odds_ft_home_team_win]]-Table1[[#This Row],[Margin]]</f>
        <v>0.35329939103524011</v>
      </c>
      <c r="K3">
        <f>1/Table1[[#This Row],[odds_ft_draw]]-Table1[[#This Row],[Margin]]</f>
        <v>0.29340121792951979</v>
      </c>
      <c r="L3">
        <f>1/Table1[[#This Row],[odds_ft_away_team_win]]-Table1[[#This Row],[Margin]]</f>
        <v>0.35329939103524011</v>
      </c>
      <c r="M3">
        <v>1</v>
      </c>
      <c r="N3">
        <v>0</v>
      </c>
      <c r="O3">
        <v>0</v>
      </c>
      <c r="P3">
        <v>1.24</v>
      </c>
      <c r="Q3">
        <v>1.1100000000000001</v>
      </c>
      <c r="R3" t="str" cm="1">
        <f t="array" ref="R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">
        <v>0</v>
      </c>
      <c r="T3">
        <v>3</v>
      </c>
      <c r="U3">
        <v>3</v>
      </c>
      <c r="V3">
        <v>2</v>
      </c>
      <c r="W3">
        <v>0</v>
      </c>
      <c r="X3">
        <v>2</v>
      </c>
      <c r="Z3" t="s">
        <v>75</v>
      </c>
      <c r="AA3">
        <v>6</v>
      </c>
      <c r="AB3">
        <v>7</v>
      </c>
      <c r="AC3">
        <v>2</v>
      </c>
      <c r="AD3">
        <v>0</v>
      </c>
      <c r="AE3">
        <v>2</v>
      </c>
      <c r="AF3">
        <v>0</v>
      </c>
      <c r="AG3">
        <v>2</v>
      </c>
      <c r="AH3">
        <v>0</v>
      </c>
      <c r="AI3">
        <v>1</v>
      </c>
      <c r="AJ3">
        <v>1</v>
      </c>
      <c r="AK3">
        <v>23</v>
      </c>
      <c r="AL3">
        <v>15</v>
      </c>
      <c r="AM3">
        <v>7</v>
      </c>
      <c r="AN3">
        <v>6</v>
      </c>
      <c r="AO3">
        <v>16</v>
      </c>
      <c r="AP3">
        <v>9</v>
      </c>
      <c r="AQ3">
        <v>13</v>
      </c>
      <c r="AR3">
        <v>16</v>
      </c>
      <c r="AS3">
        <v>54</v>
      </c>
      <c r="AT3">
        <v>46</v>
      </c>
      <c r="AU3">
        <v>2.27</v>
      </c>
      <c r="AV3">
        <v>1.62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2.65</v>
      </c>
      <c r="BJ3">
        <v>3.15</v>
      </c>
      <c r="BK3">
        <v>2.65</v>
      </c>
      <c r="BL3">
        <f>(1/Table1[[#This Row],[odds_ft_home_team_win]]+1/Table1[[#This Row],[odds_ft_draw]]+1/Table1[[#This Row],[odds_ft_away_team_win]]-1)/3</f>
        <v>2.4059099530797656E-2</v>
      </c>
      <c r="BM3">
        <v>1.45</v>
      </c>
      <c r="BN3">
        <v>2.25</v>
      </c>
      <c r="BO3">
        <v>3.8</v>
      </c>
      <c r="BP3">
        <v>7.5</v>
      </c>
      <c r="BQ3">
        <v>1.91</v>
      </c>
      <c r="BR3">
        <v>1.87</v>
      </c>
      <c r="BS3" t="s">
        <v>76</v>
      </c>
      <c r="BT3">
        <f>VLOOKUP(Table1[[#This Row],[Reference]],metron,8,FALSE)</f>
        <v>1.4023864615972674</v>
      </c>
      <c r="BU3">
        <f>VLOOKUP(Table1[[#This Row],[Reference]],metron,9,FALSE)</f>
        <v>1.3093265904245279</v>
      </c>
      <c r="BV3">
        <f>VLOOKUP(Table1[[#This Row],[Reference]],metron,10,FALSE)</f>
        <v>2.5110350525197691</v>
      </c>
      <c r="BW3">
        <f>VLOOKUP(Table1[[#This Row],[Reference]],metron,11,FALSE)</f>
        <v>1.269326094653606</v>
      </c>
      <c r="BX3">
        <f>VLOOKUP(Table1[[#This Row],[Reference]],metron,12,FALSE)</f>
        <v>1.2417089578661631</v>
      </c>
      <c r="BY3" s="6">
        <f>VLOOKUP(Table1[[#This Row],[Reference]],metron,13,FALSE)</f>
        <v>0.56586402266288949</v>
      </c>
      <c r="BZ3" s="6">
        <f>VLOOKUP(Table1[[#This Row],[Reference]],metron,14,FALSE)</f>
        <v>0.55158168083097259</v>
      </c>
      <c r="CA3" s="6">
        <f>VLOOKUP(Table1[[#This Row],[Reference]],metron,15,FALSE)</f>
        <v>11.49400826446281</v>
      </c>
      <c r="CB3" s="6">
        <f>VLOOKUP(Table1[[#This Row],[Reference]],metron,16,FALSE)</f>
        <v>10.507231404958681</v>
      </c>
      <c r="CC3" s="6">
        <f>VLOOKUP(Table1[[#This Row],[Reference]],metron,17,FALSE)</f>
        <v>4.9238790406673623</v>
      </c>
      <c r="CD3" s="6">
        <f>VLOOKUP(Table1[[#This Row],[Reference]],metron,18,FALSE)</f>
        <v>4.6296141814389991</v>
      </c>
      <c r="CE3" s="6">
        <f>VLOOKUP(Table1[[#This Row],[Reference]],metron,19,FALSE)</f>
        <v>6.5701292237954476</v>
      </c>
      <c r="CF3" s="6">
        <f>VLOOKUP(Table1[[#This Row],[Reference]],metron,20,FALSE)</f>
        <v>5.8776172235196817</v>
      </c>
      <c r="CG3" s="6">
        <f>VLOOKUP(Table1[[#This Row],[Reference]],metron,21,FALSE)</f>
        <v>12.798739495798319</v>
      </c>
      <c r="CH3" s="6">
        <f>VLOOKUP(Table1[[#This Row],[Reference]],metron,22,FALSE)</f>
        <v>12.98844537815126</v>
      </c>
      <c r="CI3" s="6">
        <f>VLOOKUP(Table1[[#This Row],[Reference]],metron,23,FALSE)</f>
        <v>1.604928297313674</v>
      </c>
      <c r="CJ3" s="6">
        <f>VLOOKUP(Table1[[#This Row],[Reference]],metron,24,FALSE)</f>
        <v>1.791961219955565</v>
      </c>
      <c r="CK3" s="6">
        <f>VLOOKUP(Table1[[#This Row],[Reference]],metron,25,FALSE)</f>
        <v>8.887093516461321E-2</v>
      </c>
      <c r="CL3" s="6">
        <f>VLOOKUP(Table1[[#This Row],[Reference]],metron,26,FALSE)</f>
        <v>0.11694607150070691</v>
      </c>
    </row>
    <row r="4" spans="1:90" hidden="1" x14ac:dyDescent="0.45">
      <c r="A4" t="s">
        <v>696</v>
      </c>
      <c r="B4">
        <v>1627092000</v>
      </c>
      <c r="C4" s="23" t="s">
        <v>77</v>
      </c>
      <c r="D4" t="s">
        <v>65</v>
      </c>
      <c r="E4" t="s">
        <v>66</v>
      </c>
      <c r="F4" t="s">
        <v>78</v>
      </c>
      <c r="G4" t="s">
        <v>79</v>
      </c>
      <c r="H4" t="s">
        <v>80</v>
      </c>
      <c r="I4">
        <f>MROUND(Table1[[#This Row],[ProbH]]*100,2)/100</f>
        <v>0.36</v>
      </c>
      <c r="J4">
        <f>1/Table1[[#This Row],[odds_ft_home_team_win]]-Table1[[#This Row],[Margin]]</f>
        <v>0.36316908897554057</v>
      </c>
      <c r="K4">
        <f>1/Table1[[#This Row],[odds_ft_draw]]-Table1[[#This Row],[Margin]]</f>
        <v>0.3011343495214463</v>
      </c>
      <c r="L4">
        <f>1/Table1[[#This Row],[odds_ft_away_team_win]]-Table1[[#This Row],[Margin]]</f>
        <v>0.33569656150301314</v>
      </c>
      <c r="M4">
        <v>1</v>
      </c>
      <c r="N4">
        <v>0</v>
      </c>
      <c r="O4">
        <v>0</v>
      </c>
      <c r="P4">
        <v>0.88</v>
      </c>
      <c r="Q4">
        <v>1.29</v>
      </c>
      <c r="R4" t="str" cm="1">
        <f t="array" ref="R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">
        <v>1</v>
      </c>
      <c r="T4">
        <v>3</v>
      </c>
      <c r="U4">
        <v>4</v>
      </c>
      <c r="V4">
        <v>2</v>
      </c>
      <c r="W4">
        <v>1</v>
      </c>
      <c r="X4">
        <v>1</v>
      </c>
      <c r="Y4">
        <v>35</v>
      </c>
      <c r="Z4" t="s">
        <v>81</v>
      </c>
      <c r="AA4">
        <v>9</v>
      </c>
      <c r="AB4">
        <v>8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1</v>
      </c>
      <c r="AK4">
        <v>8</v>
      </c>
      <c r="AL4">
        <v>17</v>
      </c>
      <c r="AM4">
        <v>2</v>
      </c>
      <c r="AN4">
        <v>6</v>
      </c>
      <c r="AO4">
        <v>6</v>
      </c>
      <c r="AP4">
        <v>11</v>
      </c>
      <c r="AQ4">
        <v>8</v>
      </c>
      <c r="AR4">
        <v>7</v>
      </c>
      <c r="AS4">
        <v>40</v>
      </c>
      <c r="AT4">
        <v>60</v>
      </c>
      <c r="AU4">
        <v>1.02</v>
      </c>
      <c r="AV4">
        <v>1.8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2.6</v>
      </c>
      <c r="BJ4">
        <v>3.1</v>
      </c>
      <c r="BK4">
        <v>2.8</v>
      </c>
      <c r="BL4">
        <f>(1/Table1[[#This Row],[odds_ft_home_team_win]]+1/Table1[[#This Row],[odds_ft_draw]]+1/Table1[[#This Row],[odds_ft_away_team_win]]-1)/3</f>
        <v>2.1446295639844015E-2</v>
      </c>
      <c r="BM4">
        <v>1.43</v>
      </c>
      <c r="BN4">
        <v>2.15</v>
      </c>
      <c r="BO4">
        <v>3.65</v>
      </c>
      <c r="BP4">
        <v>7</v>
      </c>
      <c r="BQ4">
        <v>1.91</v>
      </c>
      <c r="BR4">
        <v>1.83</v>
      </c>
      <c r="BS4" t="s">
        <v>82</v>
      </c>
      <c r="BT4">
        <f>VLOOKUP(Table1[[#This Row],[Reference]],metron,8,FALSE)</f>
        <v>1.4023864615972674</v>
      </c>
      <c r="BU4">
        <f>VLOOKUP(Table1[[#This Row],[Reference]],metron,9,FALSE)</f>
        <v>1.3093265904245279</v>
      </c>
      <c r="BV4">
        <f>VLOOKUP(Table1[[#This Row],[Reference]],metron,10,FALSE)</f>
        <v>2.5110350525197691</v>
      </c>
      <c r="BW4">
        <f>VLOOKUP(Table1[[#This Row],[Reference]],metron,11,FALSE)</f>
        <v>1.269326094653606</v>
      </c>
      <c r="BX4">
        <f>VLOOKUP(Table1[[#This Row],[Reference]],metron,12,FALSE)</f>
        <v>1.2417089578661631</v>
      </c>
      <c r="BY4" s="6">
        <f>VLOOKUP(Table1[[#This Row],[Reference]],metron,13,FALSE)</f>
        <v>0.56586402266288949</v>
      </c>
      <c r="BZ4" s="6">
        <f>VLOOKUP(Table1[[#This Row],[Reference]],metron,14,FALSE)</f>
        <v>0.55158168083097259</v>
      </c>
      <c r="CA4" s="6">
        <f>VLOOKUP(Table1[[#This Row],[Reference]],metron,15,FALSE)</f>
        <v>11.49400826446281</v>
      </c>
      <c r="CB4" s="6">
        <f>VLOOKUP(Table1[[#This Row],[Reference]],metron,16,FALSE)</f>
        <v>10.507231404958681</v>
      </c>
      <c r="CC4" s="6">
        <f>VLOOKUP(Table1[[#This Row],[Reference]],metron,17,FALSE)</f>
        <v>4.9238790406673623</v>
      </c>
      <c r="CD4" s="6">
        <f>VLOOKUP(Table1[[#This Row],[Reference]],metron,18,FALSE)</f>
        <v>4.6296141814389991</v>
      </c>
      <c r="CE4" s="6">
        <f>VLOOKUP(Table1[[#This Row],[Reference]],metron,19,FALSE)</f>
        <v>6.5701292237954476</v>
      </c>
      <c r="CF4" s="6">
        <f>VLOOKUP(Table1[[#This Row],[Reference]],metron,20,FALSE)</f>
        <v>5.8776172235196817</v>
      </c>
      <c r="CG4" s="6">
        <f>VLOOKUP(Table1[[#This Row],[Reference]],metron,21,FALSE)</f>
        <v>12.798739495798319</v>
      </c>
      <c r="CH4" s="6">
        <f>VLOOKUP(Table1[[#This Row],[Reference]],metron,22,FALSE)</f>
        <v>12.98844537815126</v>
      </c>
      <c r="CI4" s="6">
        <f>VLOOKUP(Table1[[#This Row],[Reference]],metron,23,FALSE)</f>
        <v>1.604928297313674</v>
      </c>
      <c r="CJ4" s="6">
        <f>VLOOKUP(Table1[[#This Row],[Reference]],metron,24,FALSE)</f>
        <v>1.791961219955565</v>
      </c>
      <c r="CK4" s="6">
        <f>VLOOKUP(Table1[[#This Row],[Reference]],metron,25,FALSE)</f>
        <v>8.887093516461321E-2</v>
      </c>
      <c r="CL4" s="6">
        <f>VLOOKUP(Table1[[#This Row],[Reference]],metron,26,FALSE)</f>
        <v>0.11694607150070691</v>
      </c>
    </row>
    <row r="5" spans="1:90" hidden="1" x14ac:dyDescent="0.45">
      <c r="A5" t="s">
        <v>696</v>
      </c>
      <c r="B5">
        <v>1627160400</v>
      </c>
      <c r="C5" s="23" t="s">
        <v>83</v>
      </c>
      <c r="D5" t="s">
        <v>65</v>
      </c>
      <c r="E5" t="s">
        <v>66</v>
      </c>
      <c r="F5" t="s">
        <v>84</v>
      </c>
      <c r="G5" t="s">
        <v>85</v>
      </c>
      <c r="H5" t="s">
        <v>86</v>
      </c>
      <c r="I5">
        <f>MROUND(Table1[[#This Row],[ProbH]]*100,2)/100</f>
        <v>0.44</v>
      </c>
      <c r="J5">
        <f>1/Table1[[#This Row],[odds_ft_home_team_win]]-Table1[[#This Row],[Margin]]</f>
        <v>0.44134426258688669</v>
      </c>
      <c r="K5">
        <f>1/Table1[[#This Row],[odds_ft_draw]]-Table1[[#This Row],[Margin]]</f>
        <v>0.2747354462036864</v>
      </c>
      <c r="L5">
        <f>1/Table1[[#This Row],[odds_ft_away_team_win]]-Table1[[#This Row],[Margin]]</f>
        <v>0.28392029120942697</v>
      </c>
      <c r="M5">
        <v>1</v>
      </c>
      <c r="N5">
        <v>0</v>
      </c>
      <c r="O5">
        <v>0</v>
      </c>
      <c r="P5">
        <v>1.89</v>
      </c>
      <c r="Q5">
        <v>1.4</v>
      </c>
      <c r="R5" t="str" cm="1">
        <f t="array" ref="R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">
        <v>4</v>
      </c>
      <c r="T5">
        <v>0</v>
      </c>
      <c r="U5">
        <v>4</v>
      </c>
      <c r="V5">
        <v>0</v>
      </c>
      <c r="W5">
        <v>0</v>
      </c>
      <c r="X5">
        <v>0</v>
      </c>
      <c r="Y5" t="s">
        <v>87</v>
      </c>
      <c r="AA5">
        <v>3</v>
      </c>
      <c r="AB5">
        <v>3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19</v>
      </c>
      <c r="AL5">
        <v>9</v>
      </c>
      <c r="AM5">
        <v>9</v>
      </c>
      <c r="AN5">
        <v>2</v>
      </c>
      <c r="AO5">
        <v>10</v>
      </c>
      <c r="AP5">
        <v>7</v>
      </c>
      <c r="AQ5">
        <v>9</v>
      </c>
      <c r="AR5">
        <v>16</v>
      </c>
      <c r="AS5">
        <v>42</v>
      </c>
      <c r="AT5">
        <v>58</v>
      </c>
      <c r="AU5">
        <v>2.12</v>
      </c>
      <c r="AV5">
        <v>0.99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2.15</v>
      </c>
      <c r="BJ5">
        <v>3.35</v>
      </c>
      <c r="BK5">
        <v>3.25</v>
      </c>
      <c r="BL5">
        <f>(1/Table1[[#This Row],[odds_ft_home_team_win]]+1/Table1[[#This Row],[odds_ft_draw]]+1/Table1[[#This Row],[odds_ft_away_team_win]]-1)/3</f>
        <v>2.3772016482880742E-2</v>
      </c>
      <c r="BM5">
        <v>1.29</v>
      </c>
      <c r="BN5">
        <v>1.8</v>
      </c>
      <c r="BO5">
        <v>2.9</v>
      </c>
      <c r="BP5">
        <v>5.25</v>
      </c>
      <c r="BQ5">
        <v>1.69</v>
      </c>
      <c r="BR5">
        <v>2.1</v>
      </c>
      <c r="BS5" t="s">
        <v>88</v>
      </c>
      <c r="BT5">
        <f>VLOOKUP(Table1[[#This Row],[Reference]],metron,8,FALSE)</f>
        <v>1.6395459745305552</v>
      </c>
      <c r="BU5">
        <f>VLOOKUP(Table1[[#This Row],[Reference]],metron,9,FALSE)</f>
        <v>1.0758429359324786</v>
      </c>
      <c r="BV5">
        <f>VLOOKUP(Table1[[#This Row],[Reference]],metron,10,FALSE)</f>
        <v>2.4807646356033461</v>
      </c>
      <c r="BW5">
        <f>VLOOKUP(Table1[[#This Row],[Reference]],metron,11,FALSE)</f>
        <v>1.4140979689366791</v>
      </c>
      <c r="BX5">
        <f>VLOOKUP(Table1[[#This Row],[Reference]],metron,12,FALSE)</f>
        <v>1.0666666666666671</v>
      </c>
      <c r="BY5" s="6">
        <f>VLOOKUP(Table1[[#This Row],[Reference]],metron,13,FALSE)</f>
        <v>0.62712066905615294</v>
      </c>
      <c r="BZ5" s="6">
        <f>VLOOKUP(Table1[[#This Row],[Reference]],metron,14,FALSE)</f>
        <v>0.46009557945041818</v>
      </c>
      <c r="CA5" s="6">
        <f>VLOOKUP(Table1[[#This Row],[Reference]],metron,15,FALSE)</f>
        <v>12.56969280146722</v>
      </c>
      <c r="CB5" s="6">
        <f>VLOOKUP(Table1[[#This Row],[Reference]],metron,16,FALSE)</f>
        <v>9.8695552498853729</v>
      </c>
      <c r="CC5" s="6">
        <f>VLOOKUP(Table1[[#This Row],[Reference]],metron,17,FALSE)</f>
        <v>5.2754256787850897</v>
      </c>
      <c r="CD5" s="6">
        <f>VLOOKUP(Table1[[#This Row],[Reference]],metron,18,FALSE)</f>
        <v>4.1279337321675103</v>
      </c>
      <c r="CE5" s="6">
        <f>VLOOKUP(Table1[[#This Row],[Reference]],metron,19,FALSE)</f>
        <v>7.2942671226821298</v>
      </c>
      <c r="CF5" s="6">
        <f>VLOOKUP(Table1[[#This Row],[Reference]],metron,20,FALSE)</f>
        <v>5.7416215177178627</v>
      </c>
      <c r="CG5" s="6">
        <f>VLOOKUP(Table1[[#This Row],[Reference]],metron,21,FALSE)</f>
        <v>12.897246007868549</v>
      </c>
      <c r="CH5" s="6">
        <f>VLOOKUP(Table1[[#This Row],[Reference]],metron,22,FALSE)</f>
        <v>13.507058551261281</v>
      </c>
      <c r="CI5" s="6">
        <f>VLOOKUP(Table1[[#This Row],[Reference]],metron,23,FALSE)</f>
        <v>1.576522702104098</v>
      </c>
      <c r="CJ5" s="6">
        <f>VLOOKUP(Table1[[#This Row],[Reference]],metron,24,FALSE)</f>
        <v>1.917165005537099</v>
      </c>
      <c r="CK5" s="6">
        <f>VLOOKUP(Table1[[#This Row],[Reference]],metron,25,FALSE)</f>
        <v>8.4385382059800659E-2</v>
      </c>
      <c r="CL5" s="6">
        <f>VLOOKUP(Table1[[#This Row],[Reference]],metron,26,FALSE)</f>
        <v>0.1233665559246955</v>
      </c>
    </row>
    <row r="6" spans="1:90" hidden="1" x14ac:dyDescent="0.45">
      <c r="A6" t="s">
        <v>696</v>
      </c>
      <c r="B6">
        <v>1627178400</v>
      </c>
      <c r="C6" s="23" t="s">
        <v>89</v>
      </c>
      <c r="D6" t="s">
        <v>65</v>
      </c>
      <c r="E6" t="s">
        <v>66</v>
      </c>
      <c r="F6" t="s">
        <v>90</v>
      </c>
      <c r="G6" t="s">
        <v>91</v>
      </c>
      <c r="H6" t="s">
        <v>92</v>
      </c>
      <c r="I6">
        <f>MROUND(Table1[[#This Row],[ProbH]]*100,2)/100</f>
        <v>0.56000000000000005</v>
      </c>
      <c r="J6">
        <f>1/Table1[[#This Row],[odds_ft_home_team_win]]-Table1[[#This Row],[Margin]]</f>
        <v>0.56166560191327985</v>
      </c>
      <c r="K6">
        <f>1/Table1[[#This Row],[odds_ft_draw]]-Table1[[#This Row],[Margin]]</f>
        <v>0.27098792733467658</v>
      </c>
      <c r="L6">
        <f>1/Table1[[#This Row],[odds_ft_away_team_win]]-Table1[[#This Row],[Margin]]</f>
        <v>0.16734647075204348</v>
      </c>
      <c r="M6">
        <v>1</v>
      </c>
      <c r="N6">
        <v>0</v>
      </c>
      <c r="O6">
        <v>0</v>
      </c>
      <c r="P6">
        <v>1.47</v>
      </c>
      <c r="Q6">
        <v>1.25</v>
      </c>
      <c r="R6" t="str" cm="1">
        <f t="array" ref="R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">
        <v>1</v>
      </c>
      <c r="T6">
        <v>2</v>
      </c>
      <c r="U6">
        <v>3</v>
      </c>
      <c r="V6">
        <v>1</v>
      </c>
      <c r="W6">
        <v>0</v>
      </c>
      <c r="X6">
        <v>1</v>
      </c>
      <c r="Y6">
        <v>78</v>
      </c>
      <c r="Z6" t="s">
        <v>93</v>
      </c>
      <c r="AA6">
        <v>7</v>
      </c>
      <c r="AB6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17</v>
      </c>
      <c r="AL6">
        <v>9</v>
      </c>
      <c r="AM6">
        <v>9</v>
      </c>
      <c r="AN6">
        <v>5</v>
      </c>
      <c r="AO6">
        <v>8</v>
      </c>
      <c r="AP6">
        <v>4</v>
      </c>
      <c r="AQ6">
        <v>14</v>
      </c>
      <c r="AR6">
        <v>19</v>
      </c>
      <c r="AS6">
        <v>69</v>
      </c>
      <c r="AT6">
        <v>31</v>
      </c>
      <c r="AU6">
        <v>2.11</v>
      </c>
      <c r="AV6">
        <v>1.1200000000000001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1.71</v>
      </c>
      <c r="BJ6">
        <v>3.4</v>
      </c>
      <c r="BK6">
        <v>5.25</v>
      </c>
      <c r="BL6">
        <f>(1/Table1[[#This Row],[odds_ft_home_team_win]]+1/Table1[[#This Row],[odds_ft_draw]]+1/Table1[[#This Row],[odds_ft_away_team_win]]-1)/3</f>
        <v>2.3129719724146975E-2</v>
      </c>
      <c r="BM6">
        <v>1.43</v>
      </c>
      <c r="BN6">
        <v>2.2000000000000002</v>
      </c>
      <c r="BO6">
        <v>3.85</v>
      </c>
      <c r="BP6">
        <v>7.25</v>
      </c>
      <c r="BQ6">
        <v>2.1</v>
      </c>
      <c r="BR6">
        <v>1.71</v>
      </c>
      <c r="BS6" t="s">
        <v>94</v>
      </c>
      <c r="BT6">
        <f>VLOOKUP(Table1[[#This Row],[Reference]],metron,8,FALSE)</f>
        <v>1.9673156855724254</v>
      </c>
      <c r="BU6">
        <f>VLOOKUP(Table1[[#This Row],[Reference]],metron,9,FALSE)</f>
        <v>0.77729484582409181</v>
      </c>
      <c r="BV6">
        <f>VLOOKUP(Table1[[#This Row],[Reference]],metron,10,FALSE)</f>
        <v>2.6892488954344627</v>
      </c>
      <c r="BW6">
        <f>VLOOKUP(Table1[[#This Row],[Reference]],metron,11,FALSE)</f>
        <v>1.7546812539448771</v>
      </c>
      <c r="BX6">
        <f>VLOOKUP(Table1[[#This Row],[Reference]],metron,12,FALSE)</f>
        <v>0.93456764148958549</v>
      </c>
      <c r="BY6" s="6">
        <f>VLOOKUP(Table1[[#This Row],[Reference]],metron,13,FALSE)</f>
        <v>0.77824531874605507</v>
      </c>
      <c r="BZ6" s="6">
        <f>VLOOKUP(Table1[[#This Row],[Reference]],metron,14,FALSE)</f>
        <v>0.41237113402061848</v>
      </c>
      <c r="CA6" s="6">
        <f>VLOOKUP(Table1[[#This Row],[Reference]],metron,15,FALSE)</f>
        <v>13.77153558052435</v>
      </c>
      <c r="CB6" s="6">
        <f>VLOOKUP(Table1[[#This Row],[Reference]],metron,16,FALSE)</f>
        <v>9.0445692883895124</v>
      </c>
      <c r="CC6" s="6">
        <f>VLOOKUP(Table1[[#This Row],[Reference]],metron,17,FALSE)</f>
        <v>6.0821292775665396</v>
      </c>
      <c r="CD6" s="6">
        <f>VLOOKUP(Table1[[#This Row],[Reference]],metron,18,FALSE)</f>
        <v>3.8201520912547529</v>
      </c>
      <c r="CE6" s="6">
        <f>VLOOKUP(Table1[[#This Row],[Reference]],metron,19,FALSE)</f>
        <v>7.6894063029578108</v>
      </c>
      <c r="CF6" s="6">
        <f>VLOOKUP(Table1[[#This Row],[Reference]],metron,20,FALSE)</f>
        <v>5.224417197134759</v>
      </c>
      <c r="CG6" s="6">
        <f>VLOOKUP(Table1[[#This Row],[Reference]],metron,21,FALSE)</f>
        <v>12.297605473204101</v>
      </c>
      <c r="CH6" s="6">
        <f>VLOOKUP(Table1[[#This Row],[Reference]],metron,22,FALSE)</f>
        <v>13.310908399847969</v>
      </c>
      <c r="CI6" s="6">
        <f>VLOOKUP(Table1[[#This Row],[Reference]],metron,23,FALSE)</f>
        <v>1.3713126843657819</v>
      </c>
      <c r="CJ6" s="6">
        <f>VLOOKUP(Table1[[#This Row],[Reference]],metron,24,FALSE)</f>
        <v>1.9516961651917399</v>
      </c>
      <c r="CK6" s="6">
        <f>VLOOKUP(Table1[[#This Row],[Reference]],metron,25,FALSE)</f>
        <v>6.6002949852507375E-2</v>
      </c>
      <c r="CL6" s="6">
        <f>VLOOKUP(Table1[[#This Row],[Reference]],metron,26,FALSE)</f>
        <v>0.1297935103244838</v>
      </c>
    </row>
    <row r="7" spans="1:90" hidden="1" x14ac:dyDescent="0.45">
      <c r="A7" t="s">
        <v>696</v>
      </c>
      <c r="B7">
        <v>1627232400</v>
      </c>
      <c r="C7" s="23" t="s">
        <v>95</v>
      </c>
      <c r="D7" t="s">
        <v>65</v>
      </c>
      <c r="E7" t="s">
        <v>66</v>
      </c>
      <c r="F7" t="s">
        <v>96</v>
      </c>
      <c r="G7" t="s">
        <v>97</v>
      </c>
      <c r="H7" t="s">
        <v>98</v>
      </c>
      <c r="I7">
        <f>MROUND(Table1[[#This Row],[ProbH]]*100,2)/100</f>
        <v>0.26</v>
      </c>
      <c r="J7">
        <f>1/Table1[[#This Row],[odds_ft_home_team_win]]-Table1[[#This Row],[Margin]]</f>
        <v>0.26190248108056324</v>
      </c>
      <c r="K7">
        <f>1/Table1[[#This Row],[odds_ft_draw]]-Table1[[#This Row],[Margin]]</f>
        <v>0.29562218603314494</v>
      </c>
      <c r="L7">
        <f>1/Table1[[#This Row],[odds_ft_away_team_win]]-Table1[[#This Row],[Margin]]</f>
        <v>0.44247533288629176</v>
      </c>
      <c r="M7">
        <v>1</v>
      </c>
      <c r="N7">
        <v>0</v>
      </c>
      <c r="O7">
        <v>0</v>
      </c>
      <c r="P7">
        <v>1.58</v>
      </c>
      <c r="Q7">
        <v>1.68</v>
      </c>
      <c r="R7" t="str" cm="1">
        <f t="array" ref="R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AA7">
        <v>2</v>
      </c>
      <c r="AB7">
        <v>7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11</v>
      </c>
      <c r="AL7">
        <v>22</v>
      </c>
      <c r="AM7">
        <v>4</v>
      </c>
      <c r="AN7">
        <v>8</v>
      </c>
      <c r="AO7">
        <v>7</v>
      </c>
      <c r="AP7">
        <v>14</v>
      </c>
      <c r="AQ7">
        <v>10</v>
      </c>
      <c r="AR7">
        <v>11</v>
      </c>
      <c r="AS7">
        <v>43</v>
      </c>
      <c r="AT7">
        <v>57</v>
      </c>
      <c r="AU7">
        <v>1.1100000000000001</v>
      </c>
      <c r="AV7">
        <v>2.41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3.65</v>
      </c>
      <c r="BJ7">
        <v>3.25</v>
      </c>
      <c r="BK7">
        <v>2.2000000000000002</v>
      </c>
      <c r="BL7">
        <f>(1/Table1[[#This Row],[odds_ft_home_team_win]]+1/Table1[[#This Row],[odds_ft_draw]]+1/Table1[[#This Row],[odds_ft_away_team_win]]-1)/3</f>
        <v>1.2070121659162769E-2</v>
      </c>
      <c r="BM7">
        <v>1.42</v>
      </c>
      <c r="BN7">
        <v>2.2200000000000002</v>
      </c>
      <c r="BO7">
        <v>4.2</v>
      </c>
      <c r="BP7">
        <v>8.5</v>
      </c>
      <c r="BQ7">
        <v>2.1</v>
      </c>
      <c r="BR7">
        <v>1.69</v>
      </c>
      <c r="BS7" t="s">
        <v>99</v>
      </c>
      <c r="BT7">
        <f>VLOOKUP(Table1[[#This Row],[Reference]],metron,8,FALSE)</f>
        <v>1.0905313574236399</v>
      </c>
      <c r="BU7">
        <f>VLOOKUP(Table1[[#This Row],[Reference]],metron,9,FALSE)</f>
        <v>1.6289415604939639</v>
      </c>
      <c r="BV7">
        <f>VLOOKUP(Table1[[#This Row],[Reference]],metron,10,FALSE)</f>
        <v>2.569449507838133</v>
      </c>
      <c r="BW7">
        <f>VLOOKUP(Table1[[#This Row],[Reference]],metron,11,FALSE)</f>
        <v>1.0936930368209989</v>
      </c>
      <c r="BX7">
        <f>VLOOKUP(Table1[[#This Row],[Reference]],metron,12,FALSE)</f>
        <v>1.475756471017134</v>
      </c>
      <c r="BY7" s="6">
        <f>VLOOKUP(Table1[[#This Row],[Reference]],metron,13,FALSE)</f>
        <v>0.50018228217280347</v>
      </c>
      <c r="BZ7" s="6">
        <f>VLOOKUP(Table1[[#This Row],[Reference]],metron,14,FALSE)</f>
        <v>0.65220561429092239</v>
      </c>
      <c r="CA7" s="6">
        <f>VLOOKUP(Table1[[#This Row],[Reference]],metron,15,FALSE)</f>
        <v>10.905576679340941</v>
      </c>
      <c r="CB7" s="6">
        <f>VLOOKUP(Table1[[#This Row],[Reference]],metron,16,FALSE)</f>
        <v>12.06463878326996</v>
      </c>
      <c r="CC7" s="6">
        <f>VLOOKUP(Table1[[#This Row],[Reference]],metron,17,FALSE)</f>
        <v>4.2920127795527154</v>
      </c>
      <c r="CD7" s="6">
        <f>VLOOKUP(Table1[[#This Row],[Reference]],metron,18,FALSE)</f>
        <v>5.0095846645367406</v>
      </c>
      <c r="CE7" s="6">
        <f>VLOOKUP(Table1[[#This Row],[Reference]],metron,19,FALSE)</f>
        <v>6.6135638997882253</v>
      </c>
      <c r="CF7" s="6">
        <f>VLOOKUP(Table1[[#This Row],[Reference]],metron,20,FALSE)</f>
        <v>7.055054118733219</v>
      </c>
      <c r="CG7" s="6">
        <f>VLOOKUP(Table1[[#This Row],[Reference]],metron,21,FALSE)</f>
        <v>12.94865211810013</v>
      </c>
      <c r="CH7" s="6">
        <f>VLOOKUP(Table1[[#This Row],[Reference]],metron,22,FALSE)</f>
        <v>13.189345314505781</v>
      </c>
      <c r="CI7" s="6">
        <f>VLOOKUP(Table1[[#This Row],[Reference]],metron,23,FALSE)</f>
        <v>1.771446078431373</v>
      </c>
      <c r="CJ7" s="6">
        <f>VLOOKUP(Table1[[#This Row],[Reference]],metron,24,FALSE)</f>
        <v>1.809436274509804</v>
      </c>
      <c r="CK7" s="6">
        <f>VLOOKUP(Table1[[#This Row],[Reference]],metron,25,FALSE)</f>
        <v>0.1060049019607843</v>
      </c>
      <c r="CL7" s="6">
        <f>VLOOKUP(Table1[[#This Row],[Reference]],metron,26,FALSE)</f>
        <v>9.6813725490196081E-2</v>
      </c>
    </row>
    <row r="8" spans="1:90" hidden="1" x14ac:dyDescent="0.45">
      <c r="A8" t="s">
        <v>696</v>
      </c>
      <c r="B8">
        <v>1627257960</v>
      </c>
      <c r="C8" s="23" t="s">
        <v>100</v>
      </c>
      <c r="D8" t="s">
        <v>65</v>
      </c>
      <c r="E8" t="s">
        <v>66</v>
      </c>
      <c r="F8" t="s">
        <v>101</v>
      </c>
      <c r="G8" t="s">
        <v>102</v>
      </c>
      <c r="H8" t="s">
        <v>103</v>
      </c>
      <c r="I8">
        <f>MROUND(Table1[[#This Row],[ProbH]]*100,2)/100</f>
        <v>0.56000000000000005</v>
      </c>
      <c r="J8">
        <f>1/Table1[[#This Row],[odds_ft_home_team_win]]-Table1[[#This Row],[Margin]]</f>
        <v>0.56257707761467157</v>
      </c>
      <c r="K8">
        <f>1/Table1[[#This Row],[odds_ft_draw]]-Table1[[#This Row],[Margin]]</f>
        <v>0.25555953375502255</v>
      </c>
      <c r="L8">
        <f>1/Table1[[#This Row],[odds_ft_away_team_win]]-Table1[[#This Row],[Margin]]</f>
        <v>0.18186338863030593</v>
      </c>
      <c r="M8">
        <v>1</v>
      </c>
      <c r="N8">
        <v>0</v>
      </c>
      <c r="O8">
        <v>0</v>
      </c>
      <c r="P8">
        <v>1.79</v>
      </c>
      <c r="Q8">
        <v>1.42</v>
      </c>
      <c r="R8" t="str" cm="1">
        <f t="array" ref="R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">
        <v>1</v>
      </c>
      <c r="T8">
        <v>1</v>
      </c>
      <c r="U8">
        <v>2</v>
      </c>
      <c r="V8">
        <v>0</v>
      </c>
      <c r="W8">
        <v>0</v>
      </c>
      <c r="X8">
        <v>0</v>
      </c>
      <c r="Y8">
        <v>88</v>
      </c>
      <c r="Z8">
        <v>90</v>
      </c>
      <c r="AA8">
        <v>9</v>
      </c>
      <c r="AB8">
        <v>4</v>
      </c>
      <c r="AC8">
        <v>2</v>
      </c>
      <c r="AD8">
        <v>1</v>
      </c>
      <c r="AE8">
        <v>2</v>
      </c>
      <c r="AF8">
        <v>2</v>
      </c>
      <c r="AG8">
        <v>0</v>
      </c>
      <c r="AH8">
        <v>3</v>
      </c>
      <c r="AI8">
        <v>1</v>
      </c>
      <c r="AJ8">
        <v>3</v>
      </c>
      <c r="AK8">
        <v>17</v>
      </c>
      <c r="AL8">
        <v>9</v>
      </c>
      <c r="AM8">
        <v>5</v>
      </c>
      <c r="AN8">
        <v>4</v>
      </c>
      <c r="AO8">
        <v>12</v>
      </c>
      <c r="AP8">
        <v>5</v>
      </c>
      <c r="AQ8">
        <v>11</v>
      </c>
      <c r="AR8">
        <v>9</v>
      </c>
      <c r="AS8">
        <v>53</v>
      </c>
      <c r="AT8">
        <v>47</v>
      </c>
      <c r="AU8">
        <v>1.88</v>
      </c>
      <c r="AV8">
        <v>1.1200000000000001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1.71</v>
      </c>
      <c r="BJ8">
        <v>3.6</v>
      </c>
      <c r="BK8">
        <v>4.9000000000000004</v>
      </c>
      <c r="BL8">
        <f>(1/Table1[[#This Row],[odds_ft_home_team_win]]+1/Table1[[#This Row],[odds_ft_draw]]+1/Table1[[#This Row],[odds_ft_away_team_win]]-1)/3</f>
        <v>2.2218244022755258E-2</v>
      </c>
      <c r="BM8">
        <v>1.33</v>
      </c>
      <c r="BN8">
        <v>1.95</v>
      </c>
      <c r="BO8">
        <v>3.2</v>
      </c>
      <c r="BP8">
        <v>6</v>
      </c>
      <c r="BQ8">
        <v>1.91</v>
      </c>
      <c r="BR8">
        <v>1.83</v>
      </c>
      <c r="BS8" t="s">
        <v>104</v>
      </c>
      <c r="BT8">
        <f>VLOOKUP(Table1[[#This Row],[Reference]],metron,8,FALSE)</f>
        <v>1.9673156855724254</v>
      </c>
      <c r="BU8">
        <f>VLOOKUP(Table1[[#This Row],[Reference]],metron,9,FALSE)</f>
        <v>0.77729484582409181</v>
      </c>
      <c r="BV8">
        <f>VLOOKUP(Table1[[#This Row],[Reference]],metron,10,FALSE)</f>
        <v>2.6892488954344627</v>
      </c>
      <c r="BW8">
        <f>VLOOKUP(Table1[[#This Row],[Reference]],metron,11,FALSE)</f>
        <v>1.7546812539448771</v>
      </c>
      <c r="BX8">
        <f>VLOOKUP(Table1[[#This Row],[Reference]],metron,12,FALSE)</f>
        <v>0.93456764148958549</v>
      </c>
      <c r="BY8" s="6">
        <f>VLOOKUP(Table1[[#This Row],[Reference]],metron,13,FALSE)</f>
        <v>0.77824531874605507</v>
      </c>
      <c r="BZ8" s="6">
        <f>VLOOKUP(Table1[[#This Row],[Reference]],metron,14,FALSE)</f>
        <v>0.41237113402061848</v>
      </c>
      <c r="CA8" s="6">
        <f>VLOOKUP(Table1[[#This Row],[Reference]],metron,15,FALSE)</f>
        <v>13.77153558052435</v>
      </c>
      <c r="CB8" s="6">
        <f>VLOOKUP(Table1[[#This Row],[Reference]],metron,16,FALSE)</f>
        <v>9.0445692883895124</v>
      </c>
      <c r="CC8" s="6">
        <f>VLOOKUP(Table1[[#This Row],[Reference]],metron,17,FALSE)</f>
        <v>6.0821292775665396</v>
      </c>
      <c r="CD8" s="6">
        <f>VLOOKUP(Table1[[#This Row],[Reference]],metron,18,FALSE)</f>
        <v>3.8201520912547529</v>
      </c>
      <c r="CE8" s="6">
        <f>VLOOKUP(Table1[[#This Row],[Reference]],metron,19,FALSE)</f>
        <v>7.6894063029578108</v>
      </c>
      <c r="CF8" s="6">
        <f>VLOOKUP(Table1[[#This Row],[Reference]],metron,20,FALSE)</f>
        <v>5.224417197134759</v>
      </c>
      <c r="CG8" s="6">
        <f>VLOOKUP(Table1[[#This Row],[Reference]],metron,21,FALSE)</f>
        <v>12.297605473204101</v>
      </c>
      <c r="CH8" s="6">
        <f>VLOOKUP(Table1[[#This Row],[Reference]],metron,22,FALSE)</f>
        <v>13.310908399847969</v>
      </c>
      <c r="CI8" s="6">
        <f>VLOOKUP(Table1[[#This Row],[Reference]],metron,23,FALSE)</f>
        <v>1.3713126843657819</v>
      </c>
      <c r="CJ8" s="6">
        <f>VLOOKUP(Table1[[#This Row],[Reference]],metron,24,FALSE)</f>
        <v>1.9516961651917399</v>
      </c>
      <c r="CK8" s="6">
        <f>VLOOKUP(Table1[[#This Row],[Reference]],metron,25,FALSE)</f>
        <v>6.6002949852507375E-2</v>
      </c>
      <c r="CL8" s="6">
        <f>VLOOKUP(Table1[[#This Row],[Reference]],metron,26,FALSE)</f>
        <v>0.1297935103244838</v>
      </c>
    </row>
    <row r="9" spans="1:90" hidden="1" x14ac:dyDescent="0.45">
      <c r="A9" t="s">
        <v>696</v>
      </c>
      <c r="B9">
        <v>1627265160</v>
      </c>
      <c r="C9" s="23" t="s">
        <v>105</v>
      </c>
      <c r="D9" t="s">
        <v>65</v>
      </c>
      <c r="E9" t="s">
        <v>66</v>
      </c>
      <c r="F9" t="s">
        <v>106</v>
      </c>
      <c r="G9" t="s">
        <v>107</v>
      </c>
      <c r="H9" t="s">
        <v>108</v>
      </c>
      <c r="I9">
        <f>MROUND(Table1[[#This Row],[ProbH]]*100,2)/100</f>
        <v>0.4</v>
      </c>
      <c r="J9">
        <f>1/Table1[[#This Row],[odds_ft_home_team_win]]-Table1[[#This Row],[Margin]]</f>
        <v>0.40174349881796695</v>
      </c>
      <c r="K9">
        <f>1/Table1[[#This Row],[odds_ft_draw]]-Table1[[#This Row],[Margin]]</f>
        <v>0.28871158392434992</v>
      </c>
      <c r="L9">
        <f>1/Table1[[#This Row],[odds_ft_away_team_win]]-Table1[[#This Row],[Margin]]</f>
        <v>0.30954491725768324</v>
      </c>
      <c r="M9">
        <v>1</v>
      </c>
      <c r="N9">
        <v>0</v>
      </c>
      <c r="O9">
        <v>0</v>
      </c>
      <c r="P9">
        <v>1.35</v>
      </c>
      <c r="Q9">
        <v>1.48</v>
      </c>
      <c r="R9" t="str" cm="1">
        <f t="array" ref="R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">
        <v>1</v>
      </c>
      <c r="T9">
        <v>2</v>
      </c>
      <c r="U9">
        <v>3</v>
      </c>
      <c r="V9">
        <v>1</v>
      </c>
      <c r="W9">
        <v>0</v>
      </c>
      <c r="X9">
        <v>1</v>
      </c>
      <c r="Y9">
        <v>74</v>
      </c>
      <c r="Z9" t="s">
        <v>109</v>
      </c>
      <c r="AA9">
        <v>3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1</v>
      </c>
      <c r="AK9">
        <v>11</v>
      </c>
      <c r="AL9">
        <v>6</v>
      </c>
      <c r="AM9">
        <v>5</v>
      </c>
      <c r="AN9">
        <v>4</v>
      </c>
      <c r="AO9">
        <v>6</v>
      </c>
      <c r="AP9">
        <v>2</v>
      </c>
      <c r="AQ9">
        <v>11</v>
      </c>
      <c r="AR9">
        <v>8</v>
      </c>
      <c r="AS9">
        <v>52</v>
      </c>
      <c r="AT9">
        <v>48</v>
      </c>
      <c r="AU9">
        <v>1.41</v>
      </c>
      <c r="AV9">
        <v>0.82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2.35</v>
      </c>
      <c r="BJ9">
        <v>3.2</v>
      </c>
      <c r="BK9">
        <v>3</v>
      </c>
      <c r="BL9">
        <f>(1/Table1[[#This Row],[odds_ft_home_team_win]]+1/Table1[[#This Row],[odds_ft_draw]]+1/Table1[[#This Row],[odds_ft_away_team_win]]-1)/3</f>
        <v>2.3788416075650076E-2</v>
      </c>
      <c r="BM9">
        <v>1.36</v>
      </c>
      <c r="BN9">
        <v>2</v>
      </c>
      <c r="BO9">
        <v>3.3</v>
      </c>
      <c r="BP9">
        <v>6.25</v>
      </c>
      <c r="BQ9">
        <v>1.8</v>
      </c>
      <c r="BR9">
        <v>1.95</v>
      </c>
      <c r="BS9" t="s">
        <v>110</v>
      </c>
      <c r="BT9">
        <f>VLOOKUP(Table1[[#This Row],[Reference]],metron,8,FALSE)</f>
        <v>1.5181603563290151</v>
      </c>
      <c r="BU9">
        <f>VLOOKUP(Table1[[#This Row],[Reference]],metron,9,FALSE)</f>
        <v>1.1952730370775513</v>
      </c>
      <c r="BV9">
        <f>VLOOKUP(Table1[[#This Row],[Reference]],metron,10,FALSE)</f>
        <v>2.4956155335383219</v>
      </c>
      <c r="BW9">
        <f>VLOOKUP(Table1[[#This Row],[Reference]],metron,11,FALSE)</f>
        <v>1.344038264434575</v>
      </c>
      <c r="BX9">
        <f>VLOOKUP(Table1[[#This Row],[Reference]],metron,12,FALSE)</f>
        <v>1.1515772691037469</v>
      </c>
      <c r="BY9" s="6">
        <f>VLOOKUP(Table1[[#This Row],[Reference]],metron,13,FALSE)</f>
        <v>0.59936225942375587</v>
      </c>
      <c r="BZ9" s="6">
        <f>VLOOKUP(Table1[[#This Row],[Reference]],metron,14,FALSE)</f>
        <v>0.50723152260562576</v>
      </c>
      <c r="CA9" s="6">
        <f>VLOOKUP(Table1[[#This Row],[Reference]],metron,15,FALSE)</f>
        <v>11.99278846153846</v>
      </c>
      <c r="CB9" s="6">
        <f>VLOOKUP(Table1[[#This Row],[Reference]],metron,16,FALSE)</f>
        <v>10.0277534965035</v>
      </c>
      <c r="CC9" s="6">
        <f>VLOOKUP(Table1[[#This Row],[Reference]],metron,17,FALSE)</f>
        <v>5.2857459543338514</v>
      </c>
      <c r="CD9" s="6">
        <f>VLOOKUP(Table1[[#This Row],[Reference]],metron,18,FALSE)</f>
        <v>4.4067834183107957</v>
      </c>
      <c r="CE9" s="6">
        <f>VLOOKUP(Table1[[#This Row],[Reference]],metron,19,FALSE)</f>
        <v>6.7070425072046085</v>
      </c>
      <c r="CF9" s="6">
        <f>VLOOKUP(Table1[[#This Row],[Reference]],metron,20,FALSE)</f>
        <v>5.6209700781927046</v>
      </c>
      <c r="CG9" s="6">
        <f>VLOOKUP(Table1[[#This Row],[Reference]],metron,21,FALSE)</f>
        <v>13.04463690872752</v>
      </c>
      <c r="CH9" s="6">
        <f>VLOOKUP(Table1[[#This Row],[Reference]],metron,22,FALSE)</f>
        <v>13.49811236953142</v>
      </c>
      <c r="CI9" s="6">
        <f>VLOOKUP(Table1[[#This Row],[Reference]],metron,23,FALSE)</f>
        <v>1.5836526181353769</v>
      </c>
      <c r="CJ9" s="6">
        <f>VLOOKUP(Table1[[#This Row],[Reference]],metron,24,FALSE)</f>
        <v>1.8744146445295871</v>
      </c>
      <c r="CK9" s="6">
        <f>VLOOKUP(Table1[[#This Row],[Reference]],metron,25,FALSE)</f>
        <v>8.5994040017028525E-2</v>
      </c>
      <c r="CL9" s="6">
        <f>VLOOKUP(Table1[[#This Row],[Reference]],metron,26,FALSE)</f>
        <v>0.13452532992762881</v>
      </c>
    </row>
    <row r="10" spans="1:90" hidden="1" x14ac:dyDescent="0.45">
      <c r="A10" t="s">
        <v>696</v>
      </c>
      <c r="B10">
        <v>1627347600</v>
      </c>
      <c r="C10" s="23" t="s">
        <v>111</v>
      </c>
      <c r="D10" t="s">
        <v>65</v>
      </c>
      <c r="E10" t="s">
        <v>66</v>
      </c>
      <c r="F10" t="s">
        <v>112</v>
      </c>
      <c r="G10" t="s">
        <v>113</v>
      </c>
      <c r="H10" t="s">
        <v>114</v>
      </c>
      <c r="I10">
        <f>MROUND(Table1[[#This Row],[ProbH]]*100,2)/100</f>
        <v>0.64</v>
      </c>
      <c r="J10">
        <f>1/Table1[[#This Row],[odds_ft_home_team_win]]-Table1[[#This Row],[Margin]]</f>
        <v>0.64698972469481919</v>
      </c>
      <c r="K10">
        <f>1/Table1[[#This Row],[odds_ft_draw]]-Table1[[#This Row],[Margin]]</f>
        <v>0.229013342059529</v>
      </c>
      <c r="L10">
        <f>1/Table1[[#This Row],[odds_ft_away_team_win]]-Table1[[#This Row],[Margin]]</f>
        <v>0.12399693324565186</v>
      </c>
      <c r="M10">
        <v>1</v>
      </c>
      <c r="N10">
        <v>0</v>
      </c>
      <c r="O10">
        <v>0</v>
      </c>
      <c r="P10">
        <v>1.25</v>
      </c>
      <c r="Q10">
        <v>0.72</v>
      </c>
      <c r="R10" t="str" cm="1">
        <f t="array" ref="R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">
        <v>0</v>
      </c>
      <c r="T10">
        <v>2</v>
      </c>
      <c r="U10">
        <v>2</v>
      </c>
      <c r="V10">
        <v>1</v>
      </c>
      <c r="W10">
        <v>0</v>
      </c>
      <c r="X10">
        <v>1</v>
      </c>
      <c r="Z10" t="s">
        <v>115</v>
      </c>
      <c r="AA10">
        <v>4</v>
      </c>
      <c r="AB10">
        <v>3</v>
      </c>
      <c r="AC10">
        <v>1</v>
      </c>
      <c r="AD10">
        <v>0</v>
      </c>
      <c r="AE10">
        <v>2</v>
      </c>
      <c r="AF10">
        <v>0</v>
      </c>
      <c r="AG10">
        <v>1</v>
      </c>
      <c r="AH10">
        <v>0</v>
      </c>
      <c r="AI10">
        <v>0</v>
      </c>
      <c r="AJ10">
        <v>2</v>
      </c>
      <c r="AK10">
        <v>10</v>
      </c>
      <c r="AL10">
        <v>7</v>
      </c>
      <c r="AM10">
        <v>7</v>
      </c>
      <c r="AN10">
        <v>3</v>
      </c>
      <c r="AO10">
        <v>3</v>
      </c>
      <c r="AP10">
        <v>4</v>
      </c>
      <c r="AQ10">
        <v>12</v>
      </c>
      <c r="AR10">
        <v>10</v>
      </c>
      <c r="AS10">
        <v>62</v>
      </c>
      <c r="AT10">
        <v>38</v>
      </c>
      <c r="AU10">
        <v>1.57</v>
      </c>
      <c r="AV10">
        <v>0.89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1.49</v>
      </c>
      <c r="BJ10">
        <v>3.95</v>
      </c>
      <c r="BK10">
        <v>6.75</v>
      </c>
      <c r="BL10">
        <f>(1/Table1[[#This Row],[odds_ft_home_team_win]]+1/Table1[[#This Row],[odds_ft_draw]]+1/Table1[[#This Row],[odds_ft_away_team_win]]-1)/3</f>
        <v>2.4151214902496276E-2</v>
      </c>
      <c r="BM10">
        <v>1.36</v>
      </c>
      <c r="BN10">
        <v>1.95</v>
      </c>
      <c r="BO10">
        <v>3.35</v>
      </c>
      <c r="BP10">
        <v>6.5</v>
      </c>
      <c r="BQ10">
        <v>2.0499999999999998</v>
      </c>
      <c r="BR10">
        <v>1.71</v>
      </c>
      <c r="BS10" t="s">
        <v>116</v>
      </c>
      <c r="BT10">
        <f>VLOOKUP(Table1[[#This Row],[Reference]],metron,8,FALSE)</f>
        <v>2.1745910991837163</v>
      </c>
      <c r="BU10">
        <f>VLOOKUP(Table1[[#This Row],[Reference]],metron,9,FALSE)</f>
        <v>0.59796358565236019</v>
      </c>
      <c r="BV10">
        <f>VLOOKUP(Table1[[#This Row],[Reference]],metron,10,FALSE)</f>
        <v>2.8343749999999996</v>
      </c>
      <c r="BW10">
        <f>VLOOKUP(Table1[[#This Row],[Reference]],metron,11,FALSE)</f>
        <v>1.980803571428571</v>
      </c>
      <c r="BX10">
        <f>VLOOKUP(Table1[[#This Row],[Reference]],metron,12,FALSE)</f>
        <v>0.85357142857142854</v>
      </c>
      <c r="BY10" s="6">
        <f>VLOOKUP(Table1[[#This Row],[Reference]],metron,13,FALSE)</f>
        <v>0.8683035714285714</v>
      </c>
      <c r="BZ10" s="6">
        <f>VLOOKUP(Table1[[#This Row],[Reference]],metron,14,FALSE)</f>
        <v>0.36607142857142849</v>
      </c>
      <c r="CA10" s="6">
        <f>VLOOKUP(Table1[[#This Row],[Reference]],metron,15,FALSE)</f>
        <v>15.03980099502488</v>
      </c>
      <c r="CB10" s="6">
        <f>VLOOKUP(Table1[[#This Row],[Reference]],metron,16,FALSE)</f>
        <v>8.6326699834162515</v>
      </c>
      <c r="CC10" s="6">
        <f>VLOOKUP(Table1[[#This Row],[Reference]],metron,17,FALSE)</f>
        <v>6.5189234650967203</v>
      </c>
      <c r="CD10" s="6">
        <f>VLOOKUP(Table1[[#This Row],[Reference]],metron,18,FALSE)</f>
        <v>3.4507989907485279</v>
      </c>
      <c r="CE10" s="6">
        <f>VLOOKUP(Table1[[#This Row],[Reference]],metron,19,FALSE)</f>
        <v>8.5208775299281605</v>
      </c>
      <c r="CF10" s="6">
        <f>VLOOKUP(Table1[[#This Row],[Reference]],metron,20,FALSE)</f>
        <v>5.181870992667724</v>
      </c>
      <c r="CG10" s="6">
        <f>VLOOKUP(Table1[[#This Row],[Reference]],metron,21,FALSE)</f>
        <v>12.48566610455312</v>
      </c>
      <c r="CH10" s="6">
        <f>VLOOKUP(Table1[[#This Row],[Reference]],metron,22,FALSE)</f>
        <v>13.573355817875211</v>
      </c>
      <c r="CI10" s="6">
        <f>VLOOKUP(Table1[[#This Row],[Reference]],metron,23,FALSE)</f>
        <v>1.395273023634882</v>
      </c>
      <c r="CJ10" s="6">
        <f>VLOOKUP(Table1[[#This Row],[Reference]],metron,24,FALSE)</f>
        <v>2.0586797066014668</v>
      </c>
      <c r="CK10" s="6">
        <f>VLOOKUP(Table1[[#This Row],[Reference]],metron,25,FALSE)</f>
        <v>6.8459657701711488E-2</v>
      </c>
      <c r="CL10" s="6">
        <f>VLOOKUP(Table1[[#This Row],[Reference]],metron,26,FALSE)</f>
        <v>0.12713936430317849</v>
      </c>
    </row>
    <row r="11" spans="1:90" hidden="1" x14ac:dyDescent="0.45">
      <c r="A11" t="s">
        <v>696</v>
      </c>
      <c r="B11">
        <v>1627689600</v>
      </c>
      <c r="C11" s="23" t="s">
        <v>117</v>
      </c>
      <c r="D11" t="s">
        <v>65</v>
      </c>
      <c r="E11" t="s">
        <v>66</v>
      </c>
      <c r="F11" t="s">
        <v>113</v>
      </c>
      <c r="G11" t="s">
        <v>84</v>
      </c>
      <c r="H11" t="s">
        <v>118</v>
      </c>
      <c r="I11">
        <f>MROUND(Table1[[#This Row],[ProbH]]*100,2)/100</f>
        <v>0.24</v>
      </c>
      <c r="J11">
        <f>1/Table1[[#This Row],[odds_ft_home_team_win]]-Table1[[#This Row],[Margin]]</f>
        <v>0.24594538253074841</v>
      </c>
      <c r="K11">
        <f>1/Table1[[#This Row],[odds_ft_draw]]-Table1[[#This Row],[Margin]]</f>
        <v>0.28697102355638943</v>
      </c>
      <c r="L11">
        <f>1/Table1[[#This Row],[odds_ft_away_team_win]]-Table1[[#This Row],[Margin]]</f>
        <v>0.46708359391286225</v>
      </c>
      <c r="M11">
        <v>2</v>
      </c>
      <c r="N11">
        <v>0</v>
      </c>
      <c r="O11">
        <v>0</v>
      </c>
      <c r="P11">
        <v>1.71</v>
      </c>
      <c r="Q11">
        <v>1.42</v>
      </c>
      <c r="R11" t="str" cm="1">
        <f t="array" ref="R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">
        <v>2</v>
      </c>
      <c r="T11">
        <v>1</v>
      </c>
      <c r="U11">
        <v>3</v>
      </c>
      <c r="V11">
        <v>2</v>
      </c>
      <c r="W11">
        <v>1</v>
      </c>
      <c r="X11">
        <v>1</v>
      </c>
      <c r="Y11" t="s">
        <v>119</v>
      </c>
      <c r="Z11">
        <v>20</v>
      </c>
      <c r="AA11">
        <v>4</v>
      </c>
      <c r="AB11">
        <v>6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9</v>
      </c>
      <c r="AL11">
        <v>9</v>
      </c>
      <c r="AM11">
        <v>2</v>
      </c>
      <c r="AN11">
        <v>4</v>
      </c>
      <c r="AO11">
        <v>7</v>
      </c>
      <c r="AP11">
        <v>5</v>
      </c>
      <c r="AQ11">
        <v>11</v>
      </c>
      <c r="AR11">
        <v>14</v>
      </c>
      <c r="AS11">
        <v>47</v>
      </c>
      <c r="AT11">
        <v>53</v>
      </c>
      <c r="AU11">
        <v>1.08</v>
      </c>
      <c r="AV11">
        <v>1.3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3.75</v>
      </c>
      <c r="BJ11">
        <v>3.25</v>
      </c>
      <c r="BK11">
        <v>2.0499999999999998</v>
      </c>
      <c r="BL11">
        <f>(1/Table1[[#This Row],[odds_ft_home_team_win]]+1/Table1[[#This Row],[odds_ft_draw]]+1/Table1[[#This Row],[odds_ft_away_team_win]]-1)/3</f>
        <v>2.0721284135918266E-2</v>
      </c>
      <c r="BM11">
        <v>1.36</v>
      </c>
      <c r="BN11">
        <v>2</v>
      </c>
      <c r="BO11">
        <v>3.3</v>
      </c>
      <c r="BP11">
        <v>6</v>
      </c>
      <c r="BQ11">
        <v>1.8</v>
      </c>
      <c r="BR11">
        <v>1.95</v>
      </c>
      <c r="BS11" t="s">
        <v>120</v>
      </c>
      <c r="BT11">
        <f>VLOOKUP(Table1[[#This Row],[Reference]],metron,8,FALSE)</f>
        <v>1.0221684690062811</v>
      </c>
      <c r="BU11">
        <f>VLOOKUP(Table1[[#This Row],[Reference]],metron,9,FALSE)</f>
        <v>1.7036119427882386</v>
      </c>
      <c r="BV11">
        <f>VLOOKUP(Table1[[#This Row],[Reference]],metron,10,FALSE)</f>
        <v>2.6014437689969609</v>
      </c>
      <c r="BW11">
        <f>VLOOKUP(Table1[[#This Row],[Reference]],metron,11,FALSE)</f>
        <v>1.067249240121581</v>
      </c>
      <c r="BX11">
        <f>VLOOKUP(Table1[[#This Row],[Reference]],metron,12,FALSE)</f>
        <v>1.53419452887538</v>
      </c>
      <c r="BY11" s="6">
        <f>VLOOKUP(Table1[[#This Row],[Reference]],metron,13,FALSE)</f>
        <v>0.45589353612167299</v>
      </c>
      <c r="BZ11" s="6">
        <f>VLOOKUP(Table1[[#This Row],[Reference]],metron,14,FALSE)</f>
        <v>0.65133079847908748</v>
      </c>
      <c r="CA11" s="6">
        <f>VLOOKUP(Table1[[#This Row],[Reference]],metron,15,FALSE)</f>
        <v>10.75886524822695</v>
      </c>
      <c r="CB11" s="6">
        <f>VLOOKUP(Table1[[#This Row],[Reference]],metron,16,FALSE)</f>
        <v>12.46679561573179</v>
      </c>
      <c r="CC11" s="6">
        <f>VLOOKUP(Table1[[#This Row],[Reference]],metron,17,FALSE)</f>
        <v>4.1157347204161248</v>
      </c>
      <c r="CD11" s="6">
        <f>VLOOKUP(Table1[[#This Row],[Reference]],metron,18,FALSE)</f>
        <v>5.1072821846553964</v>
      </c>
      <c r="CE11" s="6">
        <f>VLOOKUP(Table1[[#This Row],[Reference]],metron,19,FALSE)</f>
        <v>6.6431305278108255</v>
      </c>
      <c r="CF11" s="6">
        <f>VLOOKUP(Table1[[#This Row],[Reference]],metron,20,FALSE)</f>
        <v>7.3595134310763939</v>
      </c>
      <c r="CG11" s="6">
        <f>VLOOKUP(Table1[[#This Row],[Reference]],metron,21,FALSE)</f>
        <v>13.11140235910878</v>
      </c>
      <c r="CH11" s="6">
        <f>VLOOKUP(Table1[[#This Row],[Reference]],metron,22,FALSE)</f>
        <v>12.93184796854522</v>
      </c>
      <c r="CI11" s="6">
        <f>VLOOKUP(Table1[[#This Row],[Reference]],metron,23,FALSE)</f>
        <v>1.8341677096370459</v>
      </c>
      <c r="CJ11" s="6">
        <f>VLOOKUP(Table1[[#This Row],[Reference]],metron,24,FALSE)</f>
        <v>1.7903629536921151</v>
      </c>
      <c r="CK11" s="6">
        <f>VLOOKUP(Table1[[#This Row],[Reference]],metron,25,FALSE)</f>
        <v>0.1095118898623279</v>
      </c>
      <c r="CL11" s="6">
        <f>VLOOKUP(Table1[[#This Row],[Reference]],metron,26,FALSE)</f>
        <v>9.3241551939924908E-2</v>
      </c>
    </row>
    <row r="12" spans="1:90" hidden="1" x14ac:dyDescent="0.45">
      <c r="A12" t="s">
        <v>696</v>
      </c>
      <c r="B12">
        <v>1627697100</v>
      </c>
      <c r="C12" s="23" t="s">
        <v>121</v>
      </c>
      <c r="D12" t="s">
        <v>65</v>
      </c>
      <c r="E12" t="s">
        <v>66</v>
      </c>
      <c r="F12" t="s">
        <v>102</v>
      </c>
      <c r="G12" t="s">
        <v>90</v>
      </c>
      <c r="H12" t="s">
        <v>122</v>
      </c>
      <c r="I12">
        <f>MROUND(Table1[[#This Row],[ProbH]]*100,2)/100</f>
        <v>0.46</v>
      </c>
      <c r="J12">
        <f>1/Table1[[#This Row],[odds_ft_home_team_win]]-Table1[[#This Row],[Margin]]</f>
        <v>0.45554747082760666</v>
      </c>
      <c r="K12">
        <f>1/Table1[[#This Row],[odds_ft_draw]]-Table1[[#This Row],[Margin]]</f>
        <v>0.30193763979842081</v>
      </c>
      <c r="L12">
        <f>1/Table1[[#This Row],[odds_ft_away_team_win]]-Table1[[#This Row],[Margin]]</f>
        <v>0.24251488937397256</v>
      </c>
      <c r="M12">
        <v>2</v>
      </c>
      <c r="N12">
        <v>0</v>
      </c>
      <c r="O12">
        <v>0</v>
      </c>
      <c r="P12">
        <v>1.38</v>
      </c>
      <c r="Q12">
        <v>1.32</v>
      </c>
      <c r="R12" t="str" cm="1">
        <f t="array" ref="R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">
        <v>0</v>
      </c>
      <c r="T12">
        <v>2</v>
      </c>
      <c r="U12">
        <v>2</v>
      </c>
      <c r="V12">
        <v>0</v>
      </c>
      <c r="W12">
        <v>0</v>
      </c>
      <c r="X12">
        <v>0</v>
      </c>
      <c r="Z12" t="s">
        <v>123</v>
      </c>
      <c r="AA12">
        <v>4</v>
      </c>
      <c r="AB12">
        <v>8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2</v>
      </c>
      <c r="AJ12">
        <v>1</v>
      </c>
      <c r="AK12">
        <v>6</v>
      </c>
      <c r="AL12">
        <v>6</v>
      </c>
      <c r="AM12">
        <v>3</v>
      </c>
      <c r="AN12">
        <v>3</v>
      </c>
      <c r="AO12">
        <v>3</v>
      </c>
      <c r="AP12">
        <v>3</v>
      </c>
      <c r="AQ12">
        <v>13</v>
      </c>
      <c r="AR12">
        <v>17</v>
      </c>
      <c r="AS12">
        <v>54</v>
      </c>
      <c r="AT12">
        <v>46</v>
      </c>
      <c r="AU12">
        <v>1.1100000000000001</v>
      </c>
      <c r="AV12">
        <v>1.06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2.1</v>
      </c>
      <c r="BJ12">
        <v>3.1</v>
      </c>
      <c r="BK12">
        <v>3.8</v>
      </c>
      <c r="BL12">
        <f>(1/Table1[[#This Row],[odds_ft_home_team_win]]+1/Table1[[#This Row],[odds_ft_draw]]+1/Table1[[#This Row],[odds_ft_away_team_win]]-1)/3</f>
        <v>2.0643005362869522E-2</v>
      </c>
      <c r="BM12">
        <v>1.53</v>
      </c>
      <c r="BN12">
        <v>2.4500000000000002</v>
      </c>
      <c r="BO12">
        <v>4.4000000000000004</v>
      </c>
      <c r="BP12">
        <v>8.75</v>
      </c>
      <c r="BQ12">
        <v>2.15</v>
      </c>
      <c r="BR12">
        <v>1.65</v>
      </c>
      <c r="BS12" t="s">
        <v>124</v>
      </c>
      <c r="BT12">
        <f>VLOOKUP(Table1[[#This Row],[Reference]],metron,8,FALSE)</f>
        <v>1.6955772349985931</v>
      </c>
      <c r="BU12">
        <f>VLOOKUP(Table1[[#This Row],[Reference]],metron,9,FALSE)</f>
        <v>1.0239029519551039</v>
      </c>
      <c r="BV12">
        <f>VLOOKUP(Table1[[#This Row],[Reference]],metron,10,FALSE)</f>
        <v>2.5405629139072849</v>
      </c>
      <c r="BW12">
        <f>VLOOKUP(Table1[[#This Row],[Reference]],metron,11,FALSE)</f>
        <v>1.4888836329233679</v>
      </c>
      <c r="BX12">
        <f>VLOOKUP(Table1[[#This Row],[Reference]],metron,12,FALSE)</f>
        <v>1.0516792809839171</v>
      </c>
      <c r="BY12" s="6">
        <f>VLOOKUP(Table1[[#This Row],[Reference]],metron,13,FALSE)</f>
        <v>0.64581362346263005</v>
      </c>
      <c r="BZ12" s="6">
        <f>VLOOKUP(Table1[[#This Row],[Reference]],metron,14,FALSE)</f>
        <v>0.45364238410596031</v>
      </c>
      <c r="CA12" s="6">
        <f>VLOOKUP(Table1[[#This Row],[Reference]],metron,15,FALSE)</f>
        <v>12.686892177589851</v>
      </c>
      <c r="CB12" s="6">
        <f>VLOOKUP(Table1[[#This Row],[Reference]],metron,16,FALSE)</f>
        <v>9.8059196617336148</v>
      </c>
      <c r="CC12" s="6">
        <f>VLOOKUP(Table1[[#This Row],[Reference]],metron,17,FALSE)</f>
        <v>5.3198121263877027</v>
      </c>
      <c r="CD12" s="6">
        <f>VLOOKUP(Table1[[#This Row],[Reference]],metron,18,FALSE)</f>
        <v>4.0954312553373189</v>
      </c>
      <c r="CE12" s="6">
        <f>VLOOKUP(Table1[[#This Row],[Reference]],metron,19,FALSE)</f>
        <v>7.3670800512021479</v>
      </c>
      <c r="CF12" s="6">
        <f>VLOOKUP(Table1[[#This Row],[Reference]],metron,20,FALSE)</f>
        <v>5.710488406396296</v>
      </c>
      <c r="CG12" s="6">
        <f>VLOOKUP(Table1[[#This Row],[Reference]],metron,21,FALSE)</f>
        <v>13.0488908033599</v>
      </c>
      <c r="CH12" s="6">
        <f>VLOOKUP(Table1[[#This Row],[Reference]],metron,22,FALSE)</f>
        <v>13.714839543398661</v>
      </c>
      <c r="CI12" s="6">
        <f>VLOOKUP(Table1[[#This Row],[Reference]],metron,23,FALSE)</f>
        <v>1.567523459812322</v>
      </c>
      <c r="CJ12" s="6">
        <f>VLOOKUP(Table1[[#This Row],[Reference]],metron,24,FALSE)</f>
        <v>1.951040391676867</v>
      </c>
      <c r="CK12" s="6">
        <f>VLOOKUP(Table1[[#This Row],[Reference]],metron,25,FALSE)</f>
        <v>8.3027335781313744E-2</v>
      </c>
      <c r="CL12" s="6">
        <f>VLOOKUP(Table1[[#This Row],[Reference]],metron,26,FALSE)</f>
        <v>0.13117095063239501</v>
      </c>
    </row>
    <row r="13" spans="1:90" hidden="1" x14ac:dyDescent="0.45">
      <c r="A13" t="s">
        <v>696</v>
      </c>
      <c r="B13">
        <v>1627768800</v>
      </c>
      <c r="C13" s="23" t="s">
        <v>125</v>
      </c>
      <c r="D13" t="s">
        <v>65</v>
      </c>
      <c r="E13" t="s">
        <v>66</v>
      </c>
      <c r="F13" t="s">
        <v>85</v>
      </c>
      <c r="G13" t="s">
        <v>106</v>
      </c>
      <c r="H13" t="s">
        <v>74</v>
      </c>
      <c r="I13">
        <f>MROUND(Table1[[#This Row],[ProbH]]*100,2)/100</f>
        <v>0.64</v>
      </c>
      <c r="J13">
        <f>1/Table1[[#This Row],[odds_ft_home_team_win]]-Table1[[#This Row],[Margin]]</f>
        <v>0.64092140921409213</v>
      </c>
      <c r="K13">
        <f>1/Table1[[#This Row],[odds_ft_draw]]-Table1[[#This Row],[Margin]]</f>
        <v>0.21815718157181577</v>
      </c>
      <c r="L13">
        <f>1/Table1[[#This Row],[odds_ft_away_team_win]]-Table1[[#This Row],[Margin]]</f>
        <v>0.14092140921409216</v>
      </c>
      <c r="M13">
        <v>2</v>
      </c>
      <c r="N13">
        <v>0</v>
      </c>
      <c r="O13">
        <v>0</v>
      </c>
      <c r="P13">
        <v>1.55</v>
      </c>
      <c r="Q13">
        <v>0.53</v>
      </c>
      <c r="R13" t="str" cm="1">
        <f t="array" ref="R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">
        <v>2</v>
      </c>
      <c r="T13">
        <v>1</v>
      </c>
      <c r="U13">
        <v>3</v>
      </c>
      <c r="V13">
        <v>1</v>
      </c>
      <c r="W13">
        <v>1</v>
      </c>
      <c r="X13">
        <v>0</v>
      </c>
      <c r="Y13" t="s">
        <v>126</v>
      </c>
      <c r="Z13" t="s">
        <v>127</v>
      </c>
      <c r="AA13">
        <v>4</v>
      </c>
      <c r="AB13">
        <v>4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15</v>
      </c>
      <c r="AL13">
        <v>10</v>
      </c>
      <c r="AM13">
        <v>6</v>
      </c>
      <c r="AN13">
        <v>6</v>
      </c>
      <c r="AO13">
        <v>9</v>
      </c>
      <c r="AP13">
        <v>4</v>
      </c>
      <c r="AQ13">
        <v>12</v>
      </c>
      <c r="AR13">
        <v>14</v>
      </c>
      <c r="AS13">
        <v>57</v>
      </c>
      <c r="AT13">
        <v>43</v>
      </c>
      <c r="AU13">
        <v>1.61</v>
      </c>
      <c r="AV13">
        <v>1.27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1.5</v>
      </c>
      <c r="BJ13">
        <v>4.0999999999999996</v>
      </c>
      <c r="BK13">
        <v>6</v>
      </c>
      <c r="BL13">
        <f>(1/Table1[[#This Row],[odds_ft_home_team_win]]+1/Table1[[#This Row],[odds_ft_draw]]+1/Table1[[#This Row],[odds_ft_away_team_win]]-1)/3</f>
        <v>2.5745257452574499E-2</v>
      </c>
      <c r="BM13">
        <v>1.25</v>
      </c>
      <c r="BN13">
        <v>1.65</v>
      </c>
      <c r="BO13">
        <v>2.5499999999999998</v>
      </c>
      <c r="BP13">
        <v>4.45</v>
      </c>
      <c r="BQ13">
        <v>1.74</v>
      </c>
      <c r="BR13">
        <v>2.0499999999999998</v>
      </c>
      <c r="BS13" t="s">
        <v>128</v>
      </c>
      <c r="BT13">
        <f>VLOOKUP(Table1[[#This Row],[Reference]],metron,8,FALSE)</f>
        <v>2.1745910991837163</v>
      </c>
      <c r="BU13">
        <f>VLOOKUP(Table1[[#This Row],[Reference]],metron,9,FALSE)</f>
        <v>0.59796358565236019</v>
      </c>
      <c r="BV13">
        <f>VLOOKUP(Table1[[#This Row],[Reference]],metron,10,FALSE)</f>
        <v>2.8343749999999996</v>
      </c>
      <c r="BW13">
        <f>VLOOKUP(Table1[[#This Row],[Reference]],metron,11,FALSE)</f>
        <v>1.980803571428571</v>
      </c>
      <c r="BX13">
        <f>VLOOKUP(Table1[[#This Row],[Reference]],metron,12,FALSE)</f>
        <v>0.85357142857142854</v>
      </c>
      <c r="BY13" s="6">
        <f>VLOOKUP(Table1[[#This Row],[Reference]],metron,13,FALSE)</f>
        <v>0.8683035714285714</v>
      </c>
      <c r="BZ13" s="6">
        <f>VLOOKUP(Table1[[#This Row],[Reference]],metron,14,FALSE)</f>
        <v>0.36607142857142849</v>
      </c>
      <c r="CA13" s="6">
        <f>VLOOKUP(Table1[[#This Row],[Reference]],metron,15,FALSE)</f>
        <v>15.03980099502488</v>
      </c>
      <c r="CB13" s="6">
        <f>VLOOKUP(Table1[[#This Row],[Reference]],metron,16,FALSE)</f>
        <v>8.6326699834162515</v>
      </c>
      <c r="CC13" s="6">
        <f>VLOOKUP(Table1[[#This Row],[Reference]],metron,17,FALSE)</f>
        <v>6.5189234650967203</v>
      </c>
      <c r="CD13" s="6">
        <f>VLOOKUP(Table1[[#This Row],[Reference]],metron,18,FALSE)</f>
        <v>3.4507989907485279</v>
      </c>
      <c r="CE13" s="6">
        <f>VLOOKUP(Table1[[#This Row],[Reference]],metron,19,FALSE)</f>
        <v>8.5208775299281605</v>
      </c>
      <c r="CF13" s="6">
        <f>VLOOKUP(Table1[[#This Row],[Reference]],metron,20,FALSE)</f>
        <v>5.181870992667724</v>
      </c>
      <c r="CG13" s="6">
        <f>VLOOKUP(Table1[[#This Row],[Reference]],metron,21,FALSE)</f>
        <v>12.48566610455312</v>
      </c>
      <c r="CH13" s="6">
        <f>VLOOKUP(Table1[[#This Row],[Reference]],metron,22,FALSE)</f>
        <v>13.573355817875211</v>
      </c>
      <c r="CI13" s="6">
        <f>VLOOKUP(Table1[[#This Row],[Reference]],metron,23,FALSE)</f>
        <v>1.395273023634882</v>
      </c>
      <c r="CJ13" s="6">
        <f>VLOOKUP(Table1[[#This Row],[Reference]],metron,24,FALSE)</f>
        <v>2.0586797066014668</v>
      </c>
      <c r="CK13" s="6">
        <f>VLOOKUP(Table1[[#This Row],[Reference]],metron,25,FALSE)</f>
        <v>6.8459657701711488E-2</v>
      </c>
      <c r="CL13" s="6">
        <f>VLOOKUP(Table1[[#This Row],[Reference]],metron,26,FALSE)</f>
        <v>0.12713936430317849</v>
      </c>
    </row>
    <row r="14" spans="1:90" hidden="1" x14ac:dyDescent="0.45">
      <c r="A14" t="s">
        <v>696</v>
      </c>
      <c r="B14">
        <v>1627776000</v>
      </c>
      <c r="C14" s="23" t="s">
        <v>129</v>
      </c>
      <c r="D14" t="s">
        <v>65</v>
      </c>
      <c r="E14" t="s">
        <v>66</v>
      </c>
      <c r="F14" t="s">
        <v>68</v>
      </c>
      <c r="G14" t="s">
        <v>72</v>
      </c>
      <c r="H14" t="s">
        <v>130</v>
      </c>
      <c r="I14">
        <f>MROUND(Table1[[#This Row],[ProbH]]*100,2)/100</f>
        <v>0.6</v>
      </c>
      <c r="J14">
        <f>1/Table1[[#This Row],[odds_ft_home_team_win]]-Table1[[#This Row],[Margin]]</f>
        <v>0.6057407886045777</v>
      </c>
      <c r="K14">
        <f>1/Table1[[#This Row],[odds_ft_draw]]-Table1[[#This Row],[Margin]]</f>
        <v>0.25078257373424084</v>
      </c>
      <c r="L14">
        <f>1/Table1[[#This Row],[odds_ft_away_team_win]]-Table1[[#This Row],[Margin]]</f>
        <v>0.14347663766118149</v>
      </c>
      <c r="M14">
        <v>2</v>
      </c>
      <c r="N14">
        <v>0</v>
      </c>
      <c r="O14">
        <v>0</v>
      </c>
      <c r="P14">
        <v>1.9</v>
      </c>
      <c r="Q14">
        <v>1.28</v>
      </c>
      <c r="R14" t="str" cm="1">
        <f t="array" ref="R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">
        <v>2</v>
      </c>
      <c r="T14">
        <v>1</v>
      </c>
      <c r="U14">
        <v>3</v>
      </c>
      <c r="V14">
        <v>1</v>
      </c>
      <c r="W14">
        <v>1</v>
      </c>
      <c r="X14">
        <v>0</v>
      </c>
      <c r="Y14" t="s">
        <v>131</v>
      </c>
      <c r="Z14">
        <v>68</v>
      </c>
      <c r="AA14">
        <v>3</v>
      </c>
      <c r="AB14">
        <v>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16</v>
      </c>
      <c r="AL14">
        <v>13</v>
      </c>
      <c r="AM14">
        <v>6</v>
      </c>
      <c r="AN14">
        <v>9</v>
      </c>
      <c r="AO14">
        <v>10</v>
      </c>
      <c r="AP14">
        <v>4</v>
      </c>
      <c r="AQ14">
        <v>7</v>
      </c>
      <c r="AR14">
        <v>13</v>
      </c>
      <c r="AS14">
        <v>62</v>
      </c>
      <c r="AT14">
        <v>38</v>
      </c>
      <c r="AU14">
        <v>1.74</v>
      </c>
      <c r="AV14">
        <v>1.62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1.59</v>
      </c>
      <c r="BJ14">
        <v>3.65</v>
      </c>
      <c r="BK14">
        <v>6</v>
      </c>
      <c r="BL14">
        <f>(1/Table1[[#This Row],[odds_ft_home_team_win]]+1/Table1[[#This Row],[odds_ft_draw]]+1/Table1[[#This Row],[odds_ft_away_team_win]]-1)/3</f>
        <v>2.3190029005485169E-2</v>
      </c>
      <c r="BM14">
        <v>1.36</v>
      </c>
      <c r="BN14">
        <v>2</v>
      </c>
      <c r="BO14">
        <v>3.4</v>
      </c>
      <c r="BP14">
        <v>6.5</v>
      </c>
      <c r="BQ14">
        <v>2</v>
      </c>
      <c r="BR14">
        <v>1.74</v>
      </c>
      <c r="BS14" t="s">
        <v>116</v>
      </c>
      <c r="BT14">
        <f>VLOOKUP(Table1[[#This Row],[Reference]],metron,8,FALSE)</f>
        <v>2.0749792289385525</v>
      </c>
      <c r="BU14">
        <f>VLOOKUP(Table1[[#This Row],[Reference]],metron,9,FALSE)</f>
        <v>0.68220664089703831</v>
      </c>
      <c r="BV14">
        <f>VLOOKUP(Table1[[#This Row],[Reference]],metron,10,FALSE)</f>
        <v>2.7310090702947849</v>
      </c>
      <c r="BW14">
        <f>VLOOKUP(Table1[[#This Row],[Reference]],metron,11,FALSE)</f>
        <v>1.841836734693878</v>
      </c>
      <c r="BX14">
        <f>VLOOKUP(Table1[[#This Row],[Reference]],metron,12,FALSE)</f>
        <v>0.88917233560090703</v>
      </c>
      <c r="BY14" s="6">
        <f>VLOOKUP(Table1[[#This Row],[Reference]],metron,13,FALSE)</f>
        <v>0.804822695035461</v>
      </c>
      <c r="BZ14" s="6">
        <f>VLOOKUP(Table1[[#This Row],[Reference]],metron,14,FALSE)</f>
        <v>0.38099290780141842</v>
      </c>
      <c r="CA14" s="6">
        <f>VLOOKUP(Table1[[#This Row],[Reference]],metron,15,FALSE)</f>
        <v>14.25174825174825</v>
      </c>
      <c r="CB14" s="6">
        <f>VLOOKUP(Table1[[#This Row],[Reference]],metron,16,FALSE)</f>
        <v>8.8316683316683324</v>
      </c>
      <c r="CC14" s="6">
        <f>VLOOKUP(Table1[[#This Row],[Reference]],metron,17,FALSE)</f>
        <v>6.2901265822784813</v>
      </c>
      <c r="CD14" s="6">
        <f>VLOOKUP(Table1[[#This Row],[Reference]],metron,18,FALSE)</f>
        <v>3.6162025316455702</v>
      </c>
      <c r="CE14" s="6">
        <f>VLOOKUP(Table1[[#This Row],[Reference]],metron,19,FALSE)</f>
        <v>7.9616216694697686</v>
      </c>
      <c r="CF14" s="6">
        <f>VLOOKUP(Table1[[#This Row],[Reference]],metron,20,FALSE)</f>
        <v>5.2154658000227627</v>
      </c>
      <c r="CG14" s="6">
        <f>VLOOKUP(Table1[[#This Row],[Reference]],metron,21,FALSE)</f>
        <v>12.444895886236671</v>
      </c>
      <c r="CH14" s="6">
        <f>VLOOKUP(Table1[[#This Row],[Reference]],metron,22,FALSE)</f>
        <v>13.620619603859829</v>
      </c>
      <c r="CI14" s="6">
        <f>VLOOKUP(Table1[[#This Row],[Reference]],metron,23,FALSE)</f>
        <v>1.406084017382907</v>
      </c>
      <c r="CJ14" s="6">
        <f>VLOOKUP(Table1[[#This Row],[Reference]],metron,24,FALSE)</f>
        <v>2.070980202800579</v>
      </c>
      <c r="CK14" s="6">
        <f>VLOOKUP(Table1[[#This Row],[Reference]],metron,25,FALSE)</f>
        <v>6.1323032351521013E-2</v>
      </c>
      <c r="CL14" s="6">
        <f>VLOOKUP(Table1[[#This Row],[Reference]],metron,26,FALSE)</f>
        <v>0.1313375181071946</v>
      </c>
    </row>
    <row r="15" spans="1:90" hidden="1" x14ac:dyDescent="0.45">
      <c r="A15" t="s">
        <v>696</v>
      </c>
      <c r="B15">
        <v>1627783200</v>
      </c>
      <c r="C15" s="23" t="s">
        <v>132</v>
      </c>
      <c r="D15" t="s">
        <v>65</v>
      </c>
      <c r="E15" t="s">
        <v>66</v>
      </c>
      <c r="F15" t="s">
        <v>101</v>
      </c>
      <c r="G15" t="s">
        <v>96</v>
      </c>
      <c r="H15" t="s">
        <v>133</v>
      </c>
      <c r="I15">
        <f>MROUND(Table1[[#This Row],[ProbH]]*100,2)/100</f>
        <v>0.7</v>
      </c>
      <c r="J15">
        <f>1/Table1[[#This Row],[odds_ft_home_team_win]]-Table1[[#This Row],[Margin]]</f>
        <v>0.69951690821256041</v>
      </c>
      <c r="K15">
        <f>1/Table1[[#This Row],[odds_ft_draw]]-Table1[[#This Row],[Margin]]</f>
        <v>0.19227053140096614</v>
      </c>
      <c r="L15">
        <f>1/Table1[[#This Row],[odds_ft_away_team_win]]-Table1[[#This Row],[Margin]]</f>
        <v>0.10821256038647338</v>
      </c>
      <c r="M15">
        <v>2</v>
      </c>
      <c r="N15">
        <v>1</v>
      </c>
      <c r="O15">
        <v>0</v>
      </c>
      <c r="P15">
        <v>1.79</v>
      </c>
      <c r="Q15">
        <v>1.1000000000000001</v>
      </c>
      <c r="R15" t="str" cm="1">
        <f t="array" ref="R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">
        <v>2</v>
      </c>
      <c r="T15">
        <v>0</v>
      </c>
      <c r="U15">
        <v>2</v>
      </c>
      <c r="V15">
        <v>1</v>
      </c>
      <c r="W15">
        <v>1</v>
      </c>
      <c r="X15">
        <v>0</v>
      </c>
      <c r="Y15" t="s">
        <v>134</v>
      </c>
      <c r="AA15">
        <v>1</v>
      </c>
      <c r="AB15">
        <v>3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1</v>
      </c>
      <c r="AJ15">
        <v>2</v>
      </c>
      <c r="AK15">
        <v>16</v>
      </c>
      <c r="AL15">
        <v>8</v>
      </c>
      <c r="AM15">
        <v>4</v>
      </c>
      <c r="AN15">
        <v>4</v>
      </c>
      <c r="AO15">
        <v>12</v>
      </c>
      <c r="AP15">
        <v>4</v>
      </c>
      <c r="AQ15">
        <v>11</v>
      </c>
      <c r="AR15">
        <v>16</v>
      </c>
      <c r="AS15">
        <v>49</v>
      </c>
      <c r="AT15">
        <v>51</v>
      </c>
      <c r="AU15">
        <v>1.55</v>
      </c>
      <c r="AV15">
        <v>1.18</v>
      </c>
      <c r="AW15">
        <v>1</v>
      </c>
      <c r="AX15">
        <v>50</v>
      </c>
      <c r="AY15">
        <v>50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50</v>
      </c>
      <c r="BF15">
        <v>50</v>
      </c>
      <c r="BG15">
        <v>9</v>
      </c>
      <c r="BH15">
        <v>3</v>
      </c>
      <c r="BI15">
        <v>1.38</v>
      </c>
      <c r="BJ15">
        <v>4.5999999999999996</v>
      </c>
      <c r="BK15">
        <v>7.5</v>
      </c>
      <c r="BL15">
        <f>(1/Table1[[#This Row],[odds_ft_home_team_win]]+1/Table1[[#This Row],[odds_ft_draw]]+1/Table1[[#This Row],[odds_ft_away_team_win]]-1)/3</f>
        <v>2.5120772946859955E-2</v>
      </c>
      <c r="BM15">
        <v>1.26</v>
      </c>
      <c r="BN15">
        <v>1.71</v>
      </c>
      <c r="BO15">
        <v>2.7</v>
      </c>
      <c r="BP15">
        <v>4.8</v>
      </c>
      <c r="BQ15">
        <v>1.95</v>
      </c>
      <c r="BR15">
        <v>1.8</v>
      </c>
      <c r="BS15" t="s">
        <v>104</v>
      </c>
      <c r="BT15">
        <f>VLOOKUP(Table1[[#This Row],[Reference]],metron,8,FALSE)</f>
        <v>2.3288743096422602</v>
      </c>
      <c r="BU15">
        <f>VLOOKUP(Table1[[#This Row],[Reference]],metron,9,FALSE)</f>
        <v>0.47695922076506025</v>
      </c>
      <c r="BV15">
        <f>VLOOKUP(Table1[[#This Row],[Reference]],metron,10,FALSE)</f>
        <v>2.9925826028320968</v>
      </c>
      <c r="BW15">
        <f>VLOOKUP(Table1[[#This Row],[Reference]],metron,11,FALSE)</f>
        <v>2.224544841537424</v>
      </c>
      <c r="BX15">
        <f>VLOOKUP(Table1[[#This Row],[Reference]],metron,12,FALSE)</f>
        <v>0.76803776129467294</v>
      </c>
      <c r="BY15" s="6">
        <f>VLOOKUP(Table1[[#This Row],[Reference]],metron,13,FALSE)</f>
        <v>0.96561024949426832</v>
      </c>
      <c r="BZ15" s="6">
        <f>VLOOKUP(Table1[[#This Row],[Reference]],metron,14,FALSE)</f>
        <v>0.34187457855697911</v>
      </c>
      <c r="CA15" s="6">
        <f>VLOOKUP(Table1[[#This Row],[Reference]],metron,15,FALSE)</f>
        <v>16.100000000000001</v>
      </c>
      <c r="CB15" s="6">
        <f>VLOOKUP(Table1[[#This Row],[Reference]],metron,16,FALSE)</f>
        <v>8.3493506493506491</v>
      </c>
      <c r="CC15" s="6">
        <f>VLOOKUP(Table1[[#This Row],[Reference]],metron,17,FALSE)</f>
        <v>7.2678100263852254</v>
      </c>
      <c r="CD15" s="6">
        <f>VLOOKUP(Table1[[#This Row],[Reference]],metron,18,FALSE)</f>
        <v>3.2770448548812658</v>
      </c>
      <c r="CE15" s="6">
        <f>VLOOKUP(Table1[[#This Row],[Reference]],metron,19,FALSE)</f>
        <v>8.832189973614776</v>
      </c>
      <c r="CF15" s="6">
        <f>VLOOKUP(Table1[[#This Row],[Reference]],metron,20,FALSE)</f>
        <v>5.0723057944693828</v>
      </c>
      <c r="CG15" s="6">
        <f>VLOOKUP(Table1[[#This Row],[Reference]],metron,21,FALSE)</f>
        <v>11.95872170439414</v>
      </c>
      <c r="CH15" s="6">
        <f>VLOOKUP(Table1[[#This Row],[Reference]],metron,22,FALSE)</f>
        <v>13.450066577896139</v>
      </c>
      <c r="CI15" s="6">
        <f>VLOOKUP(Table1[[#This Row],[Reference]],metron,23,FALSE)</f>
        <v>1.301526717557252</v>
      </c>
      <c r="CJ15" s="6">
        <f>VLOOKUP(Table1[[#This Row],[Reference]],metron,24,FALSE)</f>
        <v>1.9796437659033079</v>
      </c>
      <c r="CK15" s="6">
        <f>VLOOKUP(Table1[[#This Row],[Reference]],metron,25,FALSE)</f>
        <v>5.3435114503816793E-2</v>
      </c>
      <c r="CL15" s="6">
        <f>VLOOKUP(Table1[[#This Row],[Reference]],metron,26,FALSE)</f>
        <v>0.1183206106870229</v>
      </c>
    </row>
    <row r="16" spans="1:90" hidden="1" x14ac:dyDescent="0.45">
      <c r="A16" t="s">
        <v>696</v>
      </c>
      <c r="B16">
        <v>1627783200</v>
      </c>
      <c r="C16" s="23" t="s">
        <v>132</v>
      </c>
      <c r="D16" t="s">
        <v>65</v>
      </c>
      <c r="E16" t="s">
        <v>66</v>
      </c>
      <c r="F16" t="s">
        <v>97</v>
      </c>
      <c r="G16" t="s">
        <v>78</v>
      </c>
      <c r="H16" t="s">
        <v>103</v>
      </c>
      <c r="I16">
        <f>MROUND(Table1[[#This Row],[ProbH]]*100,2)/100</f>
        <v>0.68</v>
      </c>
      <c r="J16">
        <f>1/Table1[[#This Row],[odds_ft_home_team_win]]-Table1[[#This Row],[Margin]]</f>
        <v>0.67840851736517827</v>
      </c>
      <c r="K16">
        <f>1/Table1[[#This Row],[odds_ft_draw]]-Table1[[#This Row],[Margin]]</f>
        <v>0.20947728289956097</v>
      </c>
      <c r="L16">
        <f>1/Table1[[#This Row],[odds_ft_away_team_win]]-Table1[[#This Row],[Margin]]</f>
        <v>0.11211419973526077</v>
      </c>
      <c r="M16">
        <v>2</v>
      </c>
      <c r="N16">
        <v>0</v>
      </c>
      <c r="O16">
        <v>0</v>
      </c>
      <c r="P16">
        <v>1.55</v>
      </c>
      <c r="Q16">
        <v>0.71</v>
      </c>
      <c r="R16" t="str" cm="1">
        <f t="array" ref="R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">
        <v>2</v>
      </c>
      <c r="T16">
        <v>0</v>
      </c>
      <c r="U16">
        <v>2</v>
      </c>
      <c r="V16">
        <v>0</v>
      </c>
      <c r="W16">
        <v>0</v>
      </c>
      <c r="X16">
        <v>0</v>
      </c>
      <c r="Y16" t="s">
        <v>135</v>
      </c>
      <c r="AA16">
        <v>6</v>
      </c>
      <c r="AB16">
        <v>3</v>
      </c>
      <c r="AC16">
        <v>2</v>
      </c>
      <c r="AD16">
        <v>0</v>
      </c>
      <c r="AE16">
        <v>2</v>
      </c>
      <c r="AF16">
        <v>0</v>
      </c>
      <c r="AG16">
        <v>2</v>
      </c>
      <c r="AH16">
        <v>0</v>
      </c>
      <c r="AI16">
        <v>1</v>
      </c>
      <c r="AJ16">
        <v>1</v>
      </c>
      <c r="AK16">
        <v>19</v>
      </c>
      <c r="AL16">
        <v>9</v>
      </c>
      <c r="AM16">
        <v>6</v>
      </c>
      <c r="AN16">
        <v>0</v>
      </c>
      <c r="AO16">
        <v>13</v>
      </c>
      <c r="AP16">
        <v>9</v>
      </c>
      <c r="AQ16">
        <v>9</v>
      </c>
      <c r="AR16">
        <v>10</v>
      </c>
      <c r="AS16">
        <v>59</v>
      </c>
      <c r="AT16">
        <v>41</v>
      </c>
      <c r="AU16">
        <v>1.97</v>
      </c>
      <c r="AV16">
        <v>0.76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1.42</v>
      </c>
      <c r="BJ16">
        <v>4.25</v>
      </c>
      <c r="BK16">
        <v>7.25</v>
      </c>
      <c r="BL16">
        <f>(1/Table1[[#This Row],[odds_ft_home_team_win]]+1/Table1[[#This Row],[odds_ft_draw]]+1/Table1[[#This Row],[odds_ft_away_team_win]]-1)/3</f>
        <v>2.5816834747497852E-2</v>
      </c>
      <c r="BM16">
        <v>1.4</v>
      </c>
      <c r="BN16">
        <v>2.1</v>
      </c>
      <c r="BO16">
        <v>3.65</v>
      </c>
      <c r="BP16">
        <v>7.25</v>
      </c>
      <c r="BQ16">
        <v>2.4</v>
      </c>
      <c r="BR16">
        <v>1.54</v>
      </c>
      <c r="BS16" t="s">
        <v>136</v>
      </c>
      <c r="BT16">
        <f>VLOOKUP(Table1[[#This Row],[Reference]],metron,8,FALSE)</f>
        <v>2.2809240428978073</v>
      </c>
      <c r="BU16">
        <f>VLOOKUP(Table1[[#This Row],[Reference]],metron,9,FALSE)</f>
        <v>0.51285766971545521</v>
      </c>
      <c r="BV16">
        <f>VLOOKUP(Table1[[#This Row],[Reference]],metron,10,FALSE)</f>
        <v>2.9107565011820329</v>
      </c>
      <c r="BW16">
        <f>VLOOKUP(Table1[[#This Row],[Reference]],metron,11,FALSE)</f>
        <v>2.1359338061465718</v>
      </c>
      <c r="BX16">
        <f>VLOOKUP(Table1[[#This Row],[Reference]],metron,12,FALSE)</f>
        <v>0.77482269503546097</v>
      </c>
      <c r="BY16" s="6">
        <f>VLOOKUP(Table1[[#This Row],[Reference]],metron,13,FALSE)</f>
        <v>0.93380614657210403</v>
      </c>
      <c r="BZ16" s="6">
        <f>VLOOKUP(Table1[[#This Row],[Reference]],metron,14,FALSE)</f>
        <v>0.33747044917257679</v>
      </c>
      <c r="CA16" s="6">
        <f>VLOOKUP(Table1[[#This Row],[Reference]],metron,15,FALSE)</f>
        <v>15.783723522853959</v>
      </c>
      <c r="CB16" s="6">
        <f>VLOOKUP(Table1[[#This Row],[Reference]],metron,16,FALSE)</f>
        <v>8.5830546265328866</v>
      </c>
      <c r="CC16" s="6">
        <f>VLOOKUP(Table1[[#This Row],[Reference]],metron,17,FALSE)</f>
        <v>6.7338618346545864</v>
      </c>
      <c r="CD16" s="6">
        <f>VLOOKUP(Table1[[#This Row],[Reference]],metron,18,FALSE)</f>
        <v>3.2842582106455271</v>
      </c>
      <c r="CE16" s="6">
        <f>VLOOKUP(Table1[[#This Row],[Reference]],metron,19,FALSE)</f>
        <v>9.049861688199373</v>
      </c>
      <c r="CF16" s="6">
        <f>VLOOKUP(Table1[[#This Row],[Reference]],metron,20,FALSE)</f>
        <v>5.2987964158873595</v>
      </c>
      <c r="CG16" s="6">
        <f>VLOOKUP(Table1[[#This Row],[Reference]],metron,21,FALSE)</f>
        <v>12.362500000000001</v>
      </c>
      <c r="CH16" s="6">
        <f>VLOOKUP(Table1[[#This Row],[Reference]],metron,22,FALSE)</f>
        <v>13.904545454545451</v>
      </c>
      <c r="CI16" s="6">
        <f>VLOOKUP(Table1[[#This Row],[Reference]],metron,23,FALSE)</f>
        <v>1.353005464480874</v>
      </c>
      <c r="CJ16" s="6">
        <f>VLOOKUP(Table1[[#This Row],[Reference]],metron,24,FALSE)</f>
        <v>2.0185792349726781</v>
      </c>
      <c r="CK16" s="6">
        <f>VLOOKUP(Table1[[#This Row],[Reference]],metron,25,FALSE)</f>
        <v>6.6666666666666666E-2</v>
      </c>
      <c r="CL16" s="6">
        <f>VLOOKUP(Table1[[#This Row],[Reference]],metron,26,FALSE)</f>
        <v>0.1213114754098361</v>
      </c>
    </row>
    <row r="17" spans="1:90" hidden="1" x14ac:dyDescent="0.45">
      <c r="A17" t="s">
        <v>696</v>
      </c>
      <c r="B17">
        <v>1627837200</v>
      </c>
      <c r="C17" s="23" t="s">
        <v>137</v>
      </c>
      <c r="D17" t="s">
        <v>65</v>
      </c>
      <c r="E17" t="s">
        <v>66</v>
      </c>
      <c r="F17" t="s">
        <v>79</v>
      </c>
      <c r="G17" t="s">
        <v>107</v>
      </c>
      <c r="H17" t="s">
        <v>138</v>
      </c>
      <c r="I17">
        <f>MROUND(Table1[[#This Row],[ProbH]]*100,2)/100</f>
        <v>0.42</v>
      </c>
      <c r="J17">
        <f>1/Table1[[#This Row],[odds_ft_home_team_win]]-Table1[[#This Row],[Margin]]</f>
        <v>0.42953342953342954</v>
      </c>
      <c r="K17">
        <f>1/Table1[[#This Row],[odds_ft_draw]]-Table1[[#This Row],[Margin]]</f>
        <v>0.27801827801827805</v>
      </c>
      <c r="L17">
        <f>1/Table1[[#This Row],[odds_ft_away_team_win]]-Table1[[#This Row],[Margin]]</f>
        <v>0.29244829244829246</v>
      </c>
      <c r="M17">
        <v>2</v>
      </c>
      <c r="N17">
        <v>0</v>
      </c>
      <c r="O17">
        <v>3</v>
      </c>
      <c r="P17">
        <v>1.17</v>
      </c>
      <c r="Q17">
        <v>1.48</v>
      </c>
      <c r="R17" t="str" cm="1">
        <f t="array" ref="R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">
        <v>3</v>
      </c>
      <c r="T17">
        <v>1</v>
      </c>
      <c r="U17">
        <v>4</v>
      </c>
      <c r="V17">
        <v>2</v>
      </c>
      <c r="W17">
        <v>1</v>
      </c>
      <c r="X17">
        <v>1</v>
      </c>
      <c r="Y17" t="s">
        <v>139</v>
      </c>
      <c r="Z17">
        <v>27</v>
      </c>
      <c r="AA17">
        <v>6</v>
      </c>
      <c r="AB17">
        <v>8</v>
      </c>
      <c r="AC17">
        <v>1</v>
      </c>
      <c r="AD17">
        <v>0</v>
      </c>
      <c r="AE17">
        <v>2</v>
      </c>
      <c r="AF17">
        <v>1</v>
      </c>
      <c r="AG17">
        <v>0</v>
      </c>
      <c r="AH17">
        <v>1</v>
      </c>
      <c r="AI17">
        <v>0</v>
      </c>
      <c r="AJ17">
        <v>3</v>
      </c>
      <c r="AK17">
        <v>15</v>
      </c>
      <c r="AL17">
        <v>20</v>
      </c>
      <c r="AM17">
        <v>9</v>
      </c>
      <c r="AN17">
        <v>6</v>
      </c>
      <c r="AO17">
        <v>6</v>
      </c>
      <c r="AP17">
        <v>14</v>
      </c>
      <c r="AQ17">
        <v>15</v>
      </c>
      <c r="AR17">
        <v>14</v>
      </c>
      <c r="AS17">
        <v>58</v>
      </c>
      <c r="AT17">
        <v>42</v>
      </c>
      <c r="AU17">
        <v>1.88</v>
      </c>
      <c r="AV17">
        <v>1.96</v>
      </c>
      <c r="AW17">
        <v>1.5</v>
      </c>
      <c r="AX17">
        <v>50</v>
      </c>
      <c r="AY17">
        <v>50</v>
      </c>
      <c r="AZ17">
        <v>50</v>
      </c>
      <c r="BA17">
        <v>0</v>
      </c>
      <c r="BB17">
        <v>0</v>
      </c>
      <c r="BC17">
        <v>0</v>
      </c>
      <c r="BD17">
        <v>50</v>
      </c>
      <c r="BE17">
        <v>50</v>
      </c>
      <c r="BF17">
        <v>50</v>
      </c>
      <c r="BG17">
        <v>1</v>
      </c>
      <c r="BH17">
        <v>1</v>
      </c>
      <c r="BI17">
        <v>2.2000000000000002</v>
      </c>
      <c r="BJ17">
        <v>3.3</v>
      </c>
      <c r="BK17">
        <v>3.15</v>
      </c>
      <c r="BL17">
        <f>(1/Table1[[#This Row],[odds_ft_home_team_win]]+1/Table1[[#This Row],[odds_ft_draw]]+1/Table1[[#This Row],[odds_ft_away_team_win]]-1)/3</f>
        <v>2.5012025012025003E-2</v>
      </c>
      <c r="BM17">
        <v>1.36</v>
      </c>
      <c r="BN17">
        <v>2</v>
      </c>
      <c r="BO17">
        <v>3.3</v>
      </c>
      <c r="BP17">
        <v>6</v>
      </c>
      <c r="BQ17">
        <v>1.83</v>
      </c>
      <c r="BR17">
        <v>1.91</v>
      </c>
      <c r="BS17" t="s">
        <v>140</v>
      </c>
      <c r="BT17">
        <f>VLOOKUP(Table1[[#This Row],[Reference]],metron,8,FALSE)</f>
        <v>1.5780106027030405</v>
      </c>
      <c r="BU17">
        <f>VLOOKUP(Table1[[#This Row],[Reference]],metron,9,FALSE)</f>
        <v>1.1353025412447635</v>
      </c>
      <c r="BV17">
        <f>VLOOKUP(Table1[[#This Row],[Reference]],metron,10,FALSE)</f>
        <v>2.4884649511978703</v>
      </c>
      <c r="BW17">
        <f>VLOOKUP(Table1[[#This Row],[Reference]],metron,11,FALSE)</f>
        <v>1.396960958296362</v>
      </c>
      <c r="BX17">
        <f>VLOOKUP(Table1[[#This Row],[Reference]],metron,12,FALSE)</f>
        <v>1.091503992901508</v>
      </c>
      <c r="BY17" s="6">
        <f>VLOOKUP(Table1[[#This Row],[Reference]],metron,13,FALSE)</f>
        <v>0.60765391014975045</v>
      </c>
      <c r="BZ17" s="6">
        <f>VLOOKUP(Table1[[#This Row],[Reference]],metron,14,FALSE)</f>
        <v>0.47276760953965608</v>
      </c>
      <c r="CA17" s="6">
        <f>VLOOKUP(Table1[[#This Row],[Reference]],metron,15,FALSE)</f>
        <v>12.29504785684561</v>
      </c>
      <c r="CB17" s="6">
        <f>VLOOKUP(Table1[[#This Row],[Reference]],metron,16,FALSE)</f>
        <v>10.047232625884311</v>
      </c>
      <c r="CC17" s="6">
        <f>VLOOKUP(Table1[[#This Row],[Reference]],metron,17,FALSE)</f>
        <v>5.2917192097519967</v>
      </c>
      <c r="CD17" s="6">
        <f>VLOOKUP(Table1[[#This Row],[Reference]],metron,18,FALSE)</f>
        <v>4.2580916351408158</v>
      </c>
      <c r="CE17" s="6">
        <f>VLOOKUP(Table1[[#This Row],[Reference]],metron,19,FALSE)</f>
        <v>7.0033286470936131</v>
      </c>
      <c r="CF17" s="6">
        <f>VLOOKUP(Table1[[#This Row],[Reference]],metron,20,FALSE)</f>
        <v>5.789140990743495</v>
      </c>
      <c r="CG17" s="6">
        <f>VLOOKUP(Table1[[#This Row],[Reference]],metron,21,FALSE)</f>
        <v>12.77041895895049</v>
      </c>
      <c r="CH17" s="6">
        <f>VLOOKUP(Table1[[#This Row],[Reference]],metron,22,FALSE)</f>
        <v>13.411129919593741</v>
      </c>
      <c r="CI17" s="6">
        <f>VLOOKUP(Table1[[#This Row],[Reference]],metron,23,FALSE)</f>
        <v>1.556141062018646</v>
      </c>
      <c r="CJ17" s="6">
        <f>VLOOKUP(Table1[[#This Row],[Reference]],metron,24,FALSE)</f>
        <v>1.9114308877178761</v>
      </c>
      <c r="CK17" s="6">
        <f>VLOOKUP(Table1[[#This Row],[Reference]],metron,25,FALSE)</f>
        <v>8.4920956627482766E-2</v>
      </c>
      <c r="CL17" s="6">
        <f>VLOOKUP(Table1[[#This Row],[Reference]],metron,26,FALSE)</f>
        <v>0.1323469801378192</v>
      </c>
    </row>
    <row r="18" spans="1:90" hidden="1" x14ac:dyDescent="0.45">
      <c r="A18" t="s">
        <v>696</v>
      </c>
      <c r="B18">
        <v>1627858800</v>
      </c>
      <c r="C18" s="23" t="s">
        <v>141</v>
      </c>
      <c r="D18" t="s">
        <v>65</v>
      </c>
      <c r="E18" t="s">
        <v>66</v>
      </c>
      <c r="F18" t="s">
        <v>73</v>
      </c>
      <c r="G18" t="s">
        <v>112</v>
      </c>
      <c r="H18" t="s">
        <v>80</v>
      </c>
      <c r="I18">
        <f>MROUND(Table1[[#This Row],[ProbH]]*100,2)/100</f>
        <v>0.44</v>
      </c>
      <c r="J18">
        <f>1/Table1[[#This Row],[odds_ft_home_team_win]]-Table1[[#This Row],[Margin]]</f>
        <v>0.44152864263424685</v>
      </c>
      <c r="K18">
        <f>1/Table1[[#This Row],[odds_ft_draw]]-Table1[[#This Row],[Margin]]</f>
        <v>0.30428121602349584</v>
      </c>
      <c r="L18">
        <f>1/Table1[[#This Row],[odds_ft_away_team_win]]-Table1[[#This Row],[Margin]]</f>
        <v>0.2541901413422572</v>
      </c>
      <c r="M18">
        <v>2</v>
      </c>
      <c r="N18">
        <v>0</v>
      </c>
      <c r="O18">
        <v>0</v>
      </c>
      <c r="P18">
        <v>1.58</v>
      </c>
      <c r="Q18">
        <v>1.5</v>
      </c>
      <c r="R18" t="str" cm="1">
        <f t="array" ref="R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">
        <v>1</v>
      </c>
      <c r="T18">
        <v>1</v>
      </c>
      <c r="U18">
        <v>2</v>
      </c>
      <c r="V18">
        <v>0</v>
      </c>
      <c r="W18">
        <v>0</v>
      </c>
      <c r="X18">
        <v>0</v>
      </c>
      <c r="Y18">
        <v>82</v>
      </c>
      <c r="Z18">
        <v>64</v>
      </c>
      <c r="AA18">
        <v>5</v>
      </c>
      <c r="AB18">
        <v>0</v>
      </c>
      <c r="AC18">
        <v>2</v>
      </c>
      <c r="AD18">
        <v>0</v>
      </c>
      <c r="AE18">
        <v>6</v>
      </c>
      <c r="AF18">
        <v>0</v>
      </c>
      <c r="AG18">
        <v>0</v>
      </c>
      <c r="AH18">
        <v>2</v>
      </c>
      <c r="AI18">
        <v>3</v>
      </c>
      <c r="AJ18">
        <v>3</v>
      </c>
      <c r="AK18">
        <v>10</v>
      </c>
      <c r="AL18">
        <v>7</v>
      </c>
      <c r="AM18">
        <v>4</v>
      </c>
      <c r="AN18">
        <v>3</v>
      </c>
      <c r="AO18">
        <v>6</v>
      </c>
      <c r="AP18">
        <v>4</v>
      </c>
      <c r="AQ18">
        <v>13</v>
      </c>
      <c r="AR18">
        <v>11</v>
      </c>
      <c r="AS18">
        <v>68</v>
      </c>
      <c r="AT18">
        <v>32</v>
      </c>
      <c r="AU18">
        <v>1.31</v>
      </c>
      <c r="AV18">
        <v>0.93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2.15</v>
      </c>
      <c r="BJ18">
        <v>3.05</v>
      </c>
      <c r="BK18">
        <v>3.6</v>
      </c>
      <c r="BL18">
        <f>(1/Table1[[#This Row],[odds_ft_home_team_win]]+1/Table1[[#This Row],[odds_ft_draw]]+1/Table1[[#This Row],[odds_ft_away_team_win]]-1)/3</f>
        <v>2.3587636435520604E-2</v>
      </c>
      <c r="BM18">
        <v>1.5</v>
      </c>
      <c r="BN18">
        <v>2.4</v>
      </c>
      <c r="BO18">
        <v>4.25</v>
      </c>
      <c r="BP18">
        <v>8.75</v>
      </c>
      <c r="BQ18">
        <v>2.15</v>
      </c>
      <c r="BR18">
        <v>1.67</v>
      </c>
      <c r="BS18" t="s">
        <v>142</v>
      </c>
      <c r="BT18">
        <f>VLOOKUP(Table1[[#This Row],[Reference]],metron,8,FALSE)</f>
        <v>1.6395459745305552</v>
      </c>
      <c r="BU18">
        <f>VLOOKUP(Table1[[#This Row],[Reference]],metron,9,FALSE)</f>
        <v>1.0758429359324786</v>
      </c>
      <c r="BV18">
        <f>VLOOKUP(Table1[[#This Row],[Reference]],metron,10,FALSE)</f>
        <v>2.4807646356033461</v>
      </c>
      <c r="BW18">
        <f>VLOOKUP(Table1[[#This Row],[Reference]],metron,11,FALSE)</f>
        <v>1.4140979689366791</v>
      </c>
      <c r="BX18">
        <f>VLOOKUP(Table1[[#This Row],[Reference]],metron,12,FALSE)</f>
        <v>1.0666666666666671</v>
      </c>
      <c r="BY18" s="6">
        <f>VLOOKUP(Table1[[#This Row],[Reference]],metron,13,FALSE)</f>
        <v>0.62712066905615294</v>
      </c>
      <c r="BZ18" s="6">
        <f>VLOOKUP(Table1[[#This Row],[Reference]],metron,14,FALSE)</f>
        <v>0.46009557945041818</v>
      </c>
      <c r="CA18" s="6">
        <f>VLOOKUP(Table1[[#This Row],[Reference]],metron,15,FALSE)</f>
        <v>12.56969280146722</v>
      </c>
      <c r="CB18" s="6">
        <f>VLOOKUP(Table1[[#This Row],[Reference]],metron,16,FALSE)</f>
        <v>9.8695552498853729</v>
      </c>
      <c r="CC18" s="6">
        <f>VLOOKUP(Table1[[#This Row],[Reference]],metron,17,FALSE)</f>
        <v>5.2754256787850897</v>
      </c>
      <c r="CD18" s="6">
        <f>VLOOKUP(Table1[[#This Row],[Reference]],metron,18,FALSE)</f>
        <v>4.1279337321675103</v>
      </c>
      <c r="CE18" s="6">
        <f>VLOOKUP(Table1[[#This Row],[Reference]],metron,19,FALSE)</f>
        <v>7.2942671226821298</v>
      </c>
      <c r="CF18" s="6">
        <f>VLOOKUP(Table1[[#This Row],[Reference]],metron,20,FALSE)</f>
        <v>5.7416215177178627</v>
      </c>
      <c r="CG18" s="6">
        <f>VLOOKUP(Table1[[#This Row],[Reference]],metron,21,FALSE)</f>
        <v>12.897246007868549</v>
      </c>
      <c r="CH18" s="6">
        <f>VLOOKUP(Table1[[#This Row],[Reference]],metron,22,FALSE)</f>
        <v>13.507058551261281</v>
      </c>
      <c r="CI18" s="6">
        <f>VLOOKUP(Table1[[#This Row],[Reference]],metron,23,FALSE)</f>
        <v>1.576522702104098</v>
      </c>
      <c r="CJ18" s="6">
        <f>VLOOKUP(Table1[[#This Row],[Reference]],metron,24,FALSE)</f>
        <v>1.917165005537099</v>
      </c>
      <c r="CK18" s="6">
        <f>VLOOKUP(Table1[[#This Row],[Reference]],metron,25,FALSE)</f>
        <v>8.4385382059800659E-2</v>
      </c>
      <c r="CL18" s="6">
        <f>VLOOKUP(Table1[[#This Row],[Reference]],metron,26,FALSE)</f>
        <v>0.1233665559246955</v>
      </c>
    </row>
    <row r="19" spans="1:90" hidden="1" x14ac:dyDescent="0.45">
      <c r="A19" t="s">
        <v>696</v>
      </c>
      <c r="B19">
        <v>1627956000</v>
      </c>
      <c r="C19" s="23" t="s">
        <v>143</v>
      </c>
      <c r="D19" t="s">
        <v>65</v>
      </c>
      <c r="E19" t="s">
        <v>66</v>
      </c>
      <c r="F19" t="s">
        <v>91</v>
      </c>
      <c r="G19" t="s">
        <v>67</v>
      </c>
      <c r="H19" t="s">
        <v>98</v>
      </c>
      <c r="I19">
        <f>MROUND(Table1[[#This Row],[ProbH]]*100,2)/100</f>
        <v>0.46</v>
      </c>
      <c r="J19">
        <f>1/Table1[[#This Row],[odds_ft_home_team_win]]-Table1[[#This Row],[Margin]]</f>
        <v>0.45841711105283101</v>
      </c>
      <c r="K19">
        <f>1/Table1[[#This Row],[odds_ft_draw]]-Table1[[#This Row],[Margin]]</f>
        <v>0.29319287816534079</v>
      </c>
      <c r="L19">
        <f>1/Table1[[#This Row],[odds_ft_away_team_win]]-Table1[[#This Row],[Margin]]</f>
        <v>0.24839001078182824</v>
      </c>
      <c r="M19">
        <v>2</v>
      </c>
      <c r="N19">
        <v>0</v>
      </c>
      <c r="O19">
        <v>0</v>
      </c>
      <c r="P19">
        <v>1.1100000000000001</v>
      </c>
      <c r="Q19">
        <v>0.65</v>
      </c>
      <c r="R19" t="str" cm="1">
        <f t="array" ref="R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9">
        <v>1</v>
      </c>
      <c r="T19">
        <v>1</v>
      </c>
      <c r="U19">
        <v>2</v>
      </c>
      <c r="V19">
        <v>1</v>
      </c>
      <c r="W19">
        <v>1</v>
      </c>
      <c r="X19">
        <v>0</v>
      </c>
      <c r="Y19">
        <v>3</v>
      </c>
      <c r="Z19">
        <v>62</v>
      </c>
      <c r="AA19">
        <v>5</v>
      </c>
      <c r="AB19">
        <v>6</v>
      </c>
      <c r="AC19">
        <v>1</v>
      </c>
      <c r="AD19">
        <v>0</v>
      </c>
      <c r="AE19">
        <v>2</v>
      </c>
      <c r="AF19">
        <v>1</v>
      </c>
      <c r="AG19">
        <v>1</v>
      </c>
      <c r="AH19">
        <v>0</v>
      </c>
      <c r="AI19">
        <v>1</v>
      </c>
      <c r="AJ19">
        <v>2</v>
      </c>
      <c r="AK19">
        <v>16</v>
      </c>
      <c r="AL19">
        <v>8</v>
      </c>
      <c r="AM19">
        <v>5</v>
      </c>
      <c r="AN19">
        <v>3</v>
      </c>
      <c r="AO19">
        <v>11</v>
      </c>
      <c r="AP19">
        <v>5</v>
      </c>
      <c r="AQ19">
        <v>14</v>
      </c>
      <c r="AR19">
        <v>3</v>
      </c>
      <c r="AS19">
        <v>64</v>
      </c>
      <c r="AT19">
        <v>36</v>
      </c>
      <c r="AU19">
        <v>1.67</v>
      </c>
      <c r="AV19">
        <v>0.88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2.0499999999999998</v>
      </c>
      <c r="BJ19">
        <v>3.1</v>
      </c>
      <c r="BK19">
        <v>3.6</v>
      </c>
      <c r="BL19">
        <f>(1/Table1[[#This Row],[odds_ft_home_team_win]]+1/Table1[[#This Row],[odds_ft_draw]]+1/Table1[[#This Row],[odds_ft_away_team_win]]-1)/3</f>
        <v>2.9387766995949544E-2</v>
      </c>
      <c r="BM19">
        <v>1.49</v>
      </c>
      <c r="BN19">
        <v>2.35</v>
      </c>
      <c r="BO19">
        <v>4.2</v>
      </c>
      <c r="BP19">
        <v>8.5</v>
      </c>
      <c r="BQ19">
        <v>2.15</v>
      </c>
      <c r="BR19">
        <v>1.69</v>
      </c>
      <c r="BS19" t="s">
        <v>144</v>
      </c>
      <c r="BT19">
        <f>VLOOKUP(Table1[[#This Row],[Reference]],metron,8,FALSE)</f>
        <v>1.6955772349985931</v>
      </c>
      <c r="BU19">
        <f>VLOOKUP(Table1[[#This Row],[Reference]],metron,9,FALSE)</f>
        <v>1.0239029519551039</v>
      </c>
      <c r="BV19">
        <f>VLOOKUP(Table1[[#This Row],[Reference]],metron,10,FALSE)</f>
        <v>2.5405629139072849</v>
      </c>
      <c r="BW19">
        <f>VLOOKUP(Table1[[#This Row],[Reference]],metron,11,FALSE)</f>
        <v>1.4888836329233679</v>
      </c>
      <c r="BX19">
        <f>VLOOKUP(Table1[[#This Row],[Reference]],metron,12,FALSE)</f>
        <v>1.0516792809839171</v>
      </c>
      <c r="BY19" s="6">
        <f>VLOOKUP(Table1[[#This Row],[Reference]],metron,13,FALSE)</f>
        <v>0.64581362346263005</v>
      </c>
      <c r="BZ19" s="6">
        <f>VLOOKUP(Table1[[#This Row],[Reference]],metron,14,FALSE)</f>
        <v>0.45364238410596031</v>
      </c>
      <c r="CA19" s="6">
        <f>VLOOKUP(Table1[[#This Row],[Reference]],metron,15,FALSE)</f>
        <v>12.686892177589851</v>
      </c>
      <c r="CB19" s="6">
        <f>VLOOKUP(Table1[[#This Row],[Reference]],metron,16,FALSE)</f>
        <v>9.8059196617336148</v>
      </c>
      <c r="CC19" s="6">
        <f>VLOOKUP(Table1[[#This Row],[Reference]],metron,17,FALSE)</f>
        <v>5.3198121263877027</v>
      </c>
      <c r="CD19" s="6">
        <f>VLOOKUP(Table1[[#This Row],[Reference]],metron,18,FALSE)</f>
        <v>4.0954312553373189</v>
      </c>
      <c r="CE19" s="6">
        <f>VLOOKUP(Table1[[#This Row],[Reference]],metron,19,FALSE)</f>
        <v>7.3670800512021479</v>
      </c>
      <c r="CF19" s="6">
        <f>VLOOKUP(Table1[[#This Row],[Reference]],metron,20,FALSE)</f>
        <v>5.710488406396296</v>
      </c>
      <c r="CG19" s="6">
        <f>VLOOKUP(Table1[[#This Row],[Reference]],metron,21,FALSE)</f>
        <v>13.0488908033599</v>
      </c>
      <c r="CH19" s="6">
        <f>VLOOKUP(Table1[[#This Row],[Reference]],metron,22,FALSE)</f>
        <v>13.714839543398661</v>
      </c>
      <c r="CI19" s="6">
        <f>VLOOKUP(Table1[[#This Row],[Reference]],metron,23,FALSE)</f>
        <v>1.567523459812322</v>
      </c>
      <c r="CJ19" s="6">
        <f>VLOOKUP(Table1[[#This Row],[Reference]],metron,24,FALSE)</f>
        <v>1.951040391676867</v>
      </c>
      <c r="CK19" s="6">
        <f>VLOOKUP(Table1[[#This Row],[Reference]],metron,25,FALSE)</f>
        <v>8.3027335781313744E-2</v>
      </c>
      <c r="CL19" s="6">
        <f>VLOOKUP(Table1[[#This Row],[Reference]],metron,26,FALSE)</f>
        <v>0.13117095063239501</v>
      </c>
    </row>
    <row r="20" spans="1:90" hidden="1" x14ac:dyDescent="0.45">
      <c r="A20" t="s">
        <v>696</v>
      </c>
      <c r="B20">
        <v>1628215500</v>
      </c>
      <c r="C20" s="23" t="s">
        <v>145</v>
      </c>
      <c r="D20" t="s">
        <v>65</v>
      </c>
      <c r="E20" t="s">
        <v>66</v>
      </c>
      <c r="F20" t="s">
        <v>67</v>
      </c>
      <c r="G20" t="s">
        <v>85</v>
      </c>
      <c r="H20" t="s">
        <v>66</v>
      </c>
      <c r="I20">
        <f>MROUND(Table1[[#This Row],[ProbH]]*100,2)/100</f>
        <v>0.28000000000000003</v>
      </c>
      <c r="J20">
        <f>1/Table1[[#This Row],[odds_ft_home_team_win]]-Table1[[#This Row],[Margin]]</f>
        <v>0.28433140933140932</v>
      </c>
      <c r="K20">
        <f>1/Table1[[#This Row],[odds_ft_draw]]-Table1[[#This Row],[Margin]]</f>
        <v>0.28929172679172677</v>
      </c>
      <c r="L20">
        <f>1/Table1[[#This Row],[odds_ft_away_team_win]]-Table1[[#This Row],[Margin]]</f>
        <v>0.42637686387686385</v>
      </c>
      <c r="M20">
        <v>3</v>
      </c>
      <c r="N20">
        <v>1</v>
      </c>
      <c r="O20">
        <v>0</v>
      </c>
      <c r="P20">
        <v>1.24</v>
      </c>
      <c r="Q20">
        <v>1.4</v>
      </c>
      <c r="R20" t="str" cm="1">
        <f t="array" ref="R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">
        <v>0</v>
      </c>
      <c r="T20">
        <v>1</v>
      </c>
      <c r="U20">
        <v>1</v>
      </c>
      <c r="V20">
        <v>1</v>
      </c>
      <c r="W20">
        <v>0</v>
      </c>
      <c r="X20">
        <v>1</v>
      </c>
      <c r="Z20">
        <v>28</v>
      </c>
      <c r="AA20">
        <v>4</v>
      </c>
      <c r="AB20">
        <v>4</v>
      </c>
      <c r="AC20">
        <v>3</v>
      </c>
      <c r="AD20">
        <v>0</v>
      </c>
      <c r="AE20">
        <v>1</v>
      </c>
      <c r="AF20">
        <v>0</v>
      </c>
      <c r="AG20">
        <v>1</v>
      </c>
      <c r="AH20">
        <v>2</v>
      </c>
      <c r="AI20">
        <v>1</v>
      </c>
      <c r="AJ20">
        <v>0</v>
      </c>
      <c r="AK20">
        <v>13</v>
      </c>
      <c r="AL20">
        <v>15</v>
      </c>
      <c r="AM20">
        <v>3</v>
      </c>
      <c r="AN20">
        <v>2</v>
      </c>
      <c r="AO20">
        <v>10</v>
      </c>
      <c r="AP20">
        <v>13</v>
      </c>
      <c r="AQ20">
        <v>9</v>
      </c>
      <c r="AR20">
        <v>12</v>
      </c>
      <c r="AS20">
        <v>49</v>
      </c>
      <c r="AT20">
        <v>51</v>
      </c>
      <c r="AU20">
        <v>1.37</v>
      </c>
      <c r="AV20">
        <v>1.31</v>
      </c>
      <c r="AW20">
        <v>2</v>
      </c>
      <c r="AX20">
        <v>0</v>
      </c>
      <c r="AY20">
        <v>50</v>
      </c>
      <c r="AZ20">
        <v>50</v>
      </c>
      <c r="BA20">
        <v>50</v>
      </c>
      <c r="BB20">
        <v>0</v>
      </c>
      <c r="BC20">
        <v>0</v>
      </c>
      <c r="BD20">
        <v>0</v>
      </c>
      <c r="BE20">
        <v>50</v>
      </c>
      <c r="BF20">
        <v>50</v>
      </c>
      <c r="BG20">
        <v>3</v>
      </c>
      <c r="BH20">
        <v>3</v>
      </c>
      <c r="BI20">
        <v>3.2</v>
      </c>
      <c r="BJ20">
        <v>3.15</v>
      </c>
      <c r="BK20">
        <v>2.2000000000000002</v>
      </c>
      <c r="BL20">
        <f>(1/Table1[[#This Row],[odds_ft_home_team_win]]+1/Table1[[#This Row],[odds_ft_draw]]+1/Table1[[#This Row],[odds_ft_away_team_win]]-1)/3</f>
        <v>2.8168590668590676E-2</v>
      </c>
      <c r="BM20">
        <v>1.35</v>
      </c>
      <c r="BN20">
        <v>1.95</v>
      </c>
      <c r="BO20">
        <v>3.15</v>
      </c>
      <c r="BP20">
        <v>5.75</v>
      </c>
      <c r="BQ20">
        <v>1.77</v>
      </c>
      <c r="BR20">
        <v>2.0499999999999998</v>
      </c>
      <c r="BS20" t="s">
        <v>70</v>
      </c>
      <c r="BT20">
        <f>VLOOKUP(Table1[[#This Row],[Reference]],metron,8,FALSE)</f>
        <v>1.1529533168233341</v>
      </c>
      <c r="BU20">
        <f>VLOOKUP(Table1[[#This Row],[Reference]],metron,9,FALSE)</f>
        <v>1.5628535554286829</v>
      </c>
      <c r="BV20">
        <f>VLOOKUP(Table1[[#This Row],[Reference]],metron,10,FALSE)</f>
        <v>2.5445607358071678</v>
      </c>
      <c r="BW20">
        <f>VLOOKUP(Table1[[#This Row],[Reference]],metron,11,FALSE)</f>
        <v>1.128766254360926</v>
      </c>
      <c r="BX20">
        <f>VLOOKUP(Table1[[#This Row],[Reference]],metron,12,FALSE)</f>
        <v>1.415794481446242</v>
      </c>
      <c r="BY20" s="6">
        <f>VLOOKUP(Table1[[#This Row],[Reference]],metron,13,FALSE)</f>
        <v>0.49635267998731369</v>
      </c>
      <c r="BZ20" s="6">
        <f>VLOOKUP(Table1[[#This Row],[Reference]],metron,14,FALSE)</f>
        <v>0.61084681255946716</v>
      </c>
      <c r="CA20" s="6">
        <f>VLOOKUP(Table1[[#This Row],[Reference]],metron,15,FALSE)</f>
        <v>11.04442036836403</v>
      </c>
      <c r="CB20" s="6">
        <f>VLOOKUP(Table1[[#This Row],[Reference]],metron,16,FALSE)</f>
        <v>11.38840736728061</v>
      </c>
      <c r="CC20" s="6">
        <f>VLOOKUP(Table1[[#This Row],[Reference]],metron,17,FALSE)</f>
        <v>4.5379574003276897</v>
      </c>
      <c r="CD20" s="6">
        <f>VLOOKUP(Table1[[#This Row],[Reference]],metron,18,FALSE)</f>
        <v>4.8481703986892413</v>
      </c>
      <c r="CE20" s="6">
        <f>VLOOKUP(Table1[[#This Row],[Reference]],metron,19,FALSE)</f>
        <v>6.5064629680363399</v>
      </c>
      <c r="CF20" s="6">
        <f>VLOOKUP(Table1[[#This Row],[Reference]],metron,20,FALSE)</f>
        <v>6.540236968591369</v>
      </c>
      <c r="CG20" s="6">
        <f>VLOOKUP(Table1[[#This Row],[Reference]],metron,21,FALSE)</f>
        <v>13.117582417582421</v>
      </c>
      <c r="CH20" s="6">
        <f>VLOOKUP(Table1[[#This Row],[Reference]],metron,22,FALSE)</f>
        <v>13.28241758241758</v>
      </c>
      <c r="CI20" s="6">
        <f>VLOOKUP(Table1[[#This Row],[Reference]],metron,23,FALSE)</f>
        <v>1.792592592592593</v>
      </c>
      <c r="CJ20" s="6">
        <f>VLOOKUP(Table1[[#This Row],[Reference]],metron,24,FALSE)</f>
        <v>1.806980433632998</v>
      </c>
      <c r="CK20" s="6">
        <f>VLOOKUP(Table1[[#This Row],[Reference]],metron,25,FALSE)</f>
        <v>0.1047065044949762</v>
      </c>
      <c r="CL20" s="6">
        <f>VLOOKUP(Table1[[#This Row],[Reference]],metron,26,FALSE)</f>
        <v>0.1073506081438392</v>
      </c>
    </row>
    <row r="21" spans="1:90" hidden="1" x14ac:dyDescent="0.45">
      <c r="A21" t="s">
        <v>696</v>
      </c>
      <c r="B21">
        <v>1628294400</v>
      </c>
      <c r="C21" s="23" t="s">
        <v>146</v>
      </c>
      <c r="D21" t="s">
        <v>65</v>
      </c>
      <c r="E21" t="s">
        <v>66</v>
      </c>
      <c r="F21" t="s">
        <v>113</v>
      </c>
      <c r="G21" t="s">
        <v>101</v>
      </c>
      <c r="H21" t="s">
        <v>147</v>
      </c>
      <c r="I21">
        <f>MROUND(Table1[[#This Row],[ProbH]]*100,2)/100</f>
        <v>0.28000000000000003</v>
      </c>
      <c r="J21">
        <f>1/Table1[[#This Row],[odds_ft_home_team_win]]-Table1[[#This Row],[Margin]]</f>
        <v>0.2776026729515102</v>
      </c>
      <c r="K21">
        <f>1/Table1[[#This Row],[odds_ft_draw]]-Table1[[#This Row],[Margin]]</f>
        <v>0.28737068271951993</v>
      </c>
      <c r="L21">
        <f>1/Table1[[#This Row],[odds_ft_away_team_win]]-Table1[[#This Row],[Margin]]</f>
        <v>0.43502664432896992</v>
      </c>
      <c r="M21">
        <v>3</v>
      </c>
      <c r="N21">
        <v>3</v>
      </c>
      <c r="O21">
        <v>0</v>
      </c>
      <c r="P21">
        <v>1.71</v>
      </c>
      <c r="Q21">
        <v>1.05</v>
      </c>
      <c r="R21" t="str" cm="1">
        <f t="array" ref="R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">
        <v>1</v>
      </c>
      <c r="T21">
        <v>1</v>
      </c>
      <c r="U21">
        <v>2</v>
      </c>
      <c r="V21">
        <v>2</v>
      </c>
      <c r="W21">
        <v>1</v>
      </c>
      <c r="X21">
        <v>1</v>
      </c>
      <c r="Y21" t="s">
        <v>148</v>
      </c>
      <c r="Z21" t="s">
        <v>149</v>
      </c>
      <c r="AA21">
        <v>2</v>
      </c>
      <c r="AB21">
        <v>4</v>
      </c>
      <c r="AC21">
        <v>3</v>
      </c>
      <c r="AD21">
        <v>0</v>
      </c>
      <c r="AE21">
        <v>3</v>
      </c>
      <c r="AF21">
        <v>2</v>
      </c>
      <c r="AG21">
        <v>1</v>
      </c>
      <c r="AH21">
        <v>2</v>
      </c>
      <c r="AI21">
        <v>2</v>
      </c>
      <c r="AJ21">
        <v>3</v>
      </c>
      <c r="AK21">
        <v>10</v>
      </c>
      <c r="AL21">
        <v>7</v>
      </c>
      <c r="AM21">
        <v>3</v>
      </c>
      <c r="AN21">
        <v>3</v>
      </c>
      <c r="AO21">
        <v>7</v>
      </c>
      <c r="AP21">
        <v>4</v>
      </c>
      <c r="AQ21">
        <v>13</v>
      </c>
      <c r="AR21">
        <v>13</v>
      </c>
      <c r="AS21">
        <v>53</v>
      </c>
      <c r="AT21">
        <v>47</v>
      </c>
      <c r="AU21">
        <v>1.32</v>
      </c>
      <c r="AV21">
        <v>0.91</v>
      </c>
      <c r="AW21">
        <v>1.5</v>
      </c>
      <c r="AX21">
        <v>50</v>
      </c>
      <c r="AY21">
        <v>50</v>
      </c>
      <c r="AZ21">
        <v>50</v>
      </c>
      <c r="BA21">
        <v>0</v>
      </c>
      <c r="BB21">
        <v>0</v>
      </c>
      <c r="BC21">
        <v>50</v>
      </c>
      <c r="BD21">
        <v>50</v>
      </c>
      <c r="BE21">
        <v>0</v>
      </c>
      <c r="BF21">
        <v>50</v>
      </c>
      <c r="BG21">
        <v>4</v>
      </c>
      <c r="BH21">
        <v>1</v>
      </c>
      <c r="BI21">
        <v>3.25</v>
      </c>
      <c r="BJ21">
        <v>3.15</v>
      </c>
      <c r="BK21">
        <v>2.15</v>
      </c>
      <c r="BL21">
        <f>(1/Table1[[#This Row],[odds_ft_home_team_win]]+1/Table1[[#This Row],[odds_ft_draw]]+1/Table1[[#This Row],[odds_ft_away_team_win]]-1)/3</f>
        <v>3.0089634740797511E-2</v>
      </c>
      <c r="BM21">
        <v>1.36</v>
      </c>
      <c r="BN21">
        <v>2</v>
      </c>
      <c r="BO21">
        <v>3.3</v>
      </c>
      <c r="BP21">
        <v>6</v>
      </c>
      <c r="BQ21">
        <v>1.8</v>
      </c>
      <c r="BR21">
        <v>1.95</v>
      </c>
      <c r="BS21" t="s">
        <v>120</v>
      </c>
      <c r="BT21">
        <f>VLOOKUP(Table1[[#This Row],[Reference]],metron,8,FALSE)</f>
        <v>1.1529533168233341</v>
      </c>
      <c r="BU21">
        <f>VLOOKUP(Table1[[#This Row],[Reference]],metron,9,FALSE)</f>
        <v>1.5628535554286829</v>
      </c>
      <c r="BV21">
        <f>VLOOKUP(Table1[[#This Row],[Reference]],metron,10,FALSE)</f>
        <v>2.5445607358071678</v>
      </c>
      <c r="BW21">
        <f>VLOOKUP(Table1[[#This Row],[Reference]],metron,11,FALSE)</f>
        <v>1.128766254360926</v>
      </c>
      <c r="BX21">
        <f>VLOOKUP(Table1[[#This Row],[Reference]],metron,12,FALSE)</f>
        <v>1.415794481446242</v>
      </c>
      <c r="BY21" s="6">
        <f>VLOOKUP(Table1[[#This Row],[Reference]],metron,13,FALSE)</f>
        <v>0.49635267998731369</v>
      </c>
      <c r="BZ21" s="6">
        <f>VLOOKUP(Table1[[#This Row],[Reference]],metron,14,FALSE)</f>
        <v>0.61084681255946716</v>
      </c>
      <c r="CA21" s="6">
        <f>VLOOKUP(Table1[[#This Row],[Reference]],metron,15,FALSE)</f>
        <v>11.04442036836403</v>
      </c>
      <c r="CB21" s="6">
        <f>VLOOKUP(Table1[[#This Row],[Reference]],metron,16,FALSE)</f>
        <v>11.38840736728061</v>
      </c>
      <c r="CC21" s="6">
        <f>VLOOKUP(Table1[[#This Row],[Reference]],metron,17,FALSE)</f>
        <v>4.5379574003276897</v>
      </c>
      <c r="CD21" s="6">
        <f>VLOOKUP(Table1[[#This Row],[Reference]],metron,18,FALSE)</f>
        <v>4.8481703986892413</v>
      </c>
      <c r="CE21" s="6">
        <f>VLOOKUP(Table1[[#This Row],[Reference]],metron,19,FALSE)</f>
        <v>6.5064629680363399</v>
      </c>
      <c r="CF21" s="6">
        <f>VLOOKUP(Table1[[#This Row],[Reference]],metron,20,FALSE)</f>
        <v>6.540236968591369</v>
      </c>
      <c r="CG21" s="6">
        <f>VLOOKUP(Table1[[#This Row],[Reference]],metron,21,FALSE)</f>
        <v>13.117582417582421</v>
      </c>
      <c r="CH21" s="6">
        <f>VLOOKUP(Table1[[#This Row],[Reference]],metron,22,FALSE)</f>
        <v>13.28241758241758</v>
      </c>
      <c r="CI21" s="6">
        <f>VLOOKUP(Table1[[#This Row],[Reference]],metron,23,FALSE)</f>
        <v>1.792592592592593</v>
      </c>
      <c r="CJ21" s="6">
        <f>VLOOKUP(Table1[[#This Row],[Reference]],metron,24,FALSE)</f>
        <v>1.806980433632998</v>
      </c>
      <c r="CK21" s="6">
        <f>VLOOKUP(Table1[[#This Row],[Reference]],metron,25,FALSE)</f>
        <v>0.1047065044949762</v>
      </c>
      <c r="CL21" s="6">
        <f>VLOOKUP(Table1[[#This Row],[Reference]],metron,26,FALSE)</f>
        <v>0.1073506081438392</v>
      </c>
    </row>
    <row r="22" spans="1:90" hidden="1" x14ac:dyDescent="0.45">
      <c r="A22" t="s">
        <v>696</v>
      </c>
      <c r="B22">
        <v>1628301900</v>
      </c>
      <c r="C22" s="23" t="s">
        <v>150</v>
      </c>
      <c r="D22" t="s">
        <v>65</v>
      </c>
      <c r="E22" t="s">
        <v>66</v>
      </c>
      <c r="F22" t="s">
        <v>72</v>
      </c>
      <c r="G22" t="s">
        <v>112</v>
      </c>
      <c r="H22" t="s">
        <v>133</v>
      </c>
      <c r="I22">
        <f>MROUND(Table1[[#This Row],[ProbH]]*100,2)/100</f>
        <v>0.32</v>
      </c>
      <c r="J22">
        <f>1/Table1[[#This Row],[odds_ft_home_team_win]]-Table1[[#This Row],[Margin]]</f>
        <v>0.31605285792477916</v>
      </c>
      <c r="K22">
        <f>1/Table1[[#This Row],[odds_ft_draw]]-Table1[[#This Row],[Margin]]</f>
        <v>0.3045586050512159</v>
      </c>
      <c r="L22">
        <f>1/Table1[[#This Row],[odds_ft_away_team_win]]-Table1[[#This Row],[Margin]]</f>
        <v>0.37938853702400499</v>
      </c>
      <c r="M22">
        <v>3</v>
      </c>
      <c r="N22">
        <v>0</v>
      </c>
      <c r="O22">
        <v>1</v>
      </c>
      <c r="P22">
        <v>1.24</v>
      </c>
      <c r="Q22">
        <v>1.5</v>
      </c>
      <c r="R22" t="str" cm="1">
        <f t="array" ref="R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">
        <v>1</v>
      </c>
      <c r="T22">
        <v>2</v>
      </c>
      <c r="U22">
        <v>3</v>
      </c>
      <c r="V22">
        <v>2</v>
      </c>
      <c r="W22">
        <v>1</v>
      </c>
      <c r="X22">
        <v>1</v>
      </c>
      <c r="Y22">
        <v>28</v>
      </c>
      <c r="Z22" t="s">
        <v>151</v>
      </c>
      <c r="AA22">
        <v>4</v>
      </c>
      <c r="AB22">
        <v>6</v>
      </c>
      <c r="AC22">
        <v>0</v>
      </c>
      <c r="AD22">
        <v>0</v>
      </c>
      <c r="AE22">
        <v>3</v>
      </c>
      <c r="AF22">
        <v>0</v>
      </c>
      <c r="AG22">
        <v>0</v>
      </c>
      <c r="AH22">
        <v>0</v>
      </c>
      <c r="AI22">
        <v>1</v>
      </c>
      <c r="AJ22">
        <v>2</v>
      </c>
      <c r="AK22">
        <v>18</v>
      </c>
      <c r="AL22">
        <v>7</v>
      </c>
      <c r="AM22">
        <v>5</v>
      </c>
      <c r="AN22">
        <v>4</v>
      </c>
      <c r="AO22">
        <v>13</v>
      </c>
      <c r="AP22">
        <v>3</v>
      </c>
      <c r="AQ22">
        <v>12</v>
      </c>
      <c r="AR22">
        <v>13</v>
      </c>
      <c r="AS22">
        <v>47</v>
      </c>
      <c r="AT22">
        <v>53</v>
      </c>
      <c r="AU22">
        <v>1.79</v>
      </c>
      <c r="AV22">
        <v>1.02</v>
      </c>
      <c r="AW22">
        <v>2.5</v>
      </c>
      <c r="AX22">
        <v>50</v>
      </c>
      <c r="AY22">
        <v>100</v>
      </c>
      <c r="AZ22">
        <v>50</v>
      </c>
      <c r="BA22">
        <v>0</v>
      </c>
      <c r="BB22">
        <v>0</v>
      </c>
      <c r="BC22">
        <v>50</v>
      </c>
      <c r="BD22">
        <v>50</v>
      </c>
      <c r="BE22">
        <v>50</v>
      </c>
      <c r="BF22">
        <v>100</v>
      </c>
      <c r="BG22">
        <v>6</v>
      </c>
      <c r="BH22">
        <v>8</v>
      </c>
      <c r="BI22">
        <v>2.9</v>
      </c>
      <c r="BJ22">
        <v>3</v>
      </c>
      <c r="BK22">
        <v>2.4500000000000002</v>
      </c>
      <c r="BL22">
        <f>(1/Table1[[#This Row],[odds_ft_home_team_win]]+1/Table1[[#This Row],[odds_ft_draw]]+1/Table1[[#This Row],[odds_ft_away_team_win]]-1)/3</f>
        <v>2.877472828211743E-2</v>
      </c>
      <c r="BM22">
        <v>1.45</v>
      </c>
      <c r="BN22">
        <v>2.2000000000000002</v>
      </c>
      <c r="BO22">
        <v>3.75</v>
      </c>
      <c r="BP22">
        <v>7.25</v>
      </c>
      <c r="BQ22">
        <v>1.95</v>
      </c>
      <c r="BR22">
        <v>1.8</v>
      </c>
      <c r="BS22" t="s">
        <v>76</v>
      </c>
      <c r="BT22">
        <f>VLOOKUP(Table1[[#This Row],[Reference]],metron,8,FALSE)</f>
        <v>1.274681051426811</v>
      </c>
      <c r="BU22">
        <f>VLOOKUP(Table1[[#This Row],[Reference]],metron,9,FALSE)</f>
        <v>1.4392482240810365</v>
      </c>
      <c r="BV22">
        <f>VLOOKUP(Table1[[#This Row],[Reference]],metron,10,FALSE)</f>
        <v>2.5313454284174597</v>
      </c>
      <c r="BW22">
        <f>VLOOKUP(Table1[[#This Row],[Reference]],metron,11,FALSE)</f>
        <v>1.210167055864918</v>
      </c>
      <c r="BX22">
        <f>VLOOKUP(Table1[[#This Row],[Reference]],metron,12,FALSE)</f>
        <v>1.3211783725525419</v>
      </c>
      <c r="BY22" s="6">
        <f>VLOOKUP(Table1[[#This Row],[Reference]],metron,13,FALSE)</f>
        <v>0.53135669362084459</v>
      </c>
      <c r="BZ22" s="6">
        <f>VLOOKUP(Table1[[#This Row],[Reference]],metron,14,FALSE)</f>
        <v>0.55633423180592989</v>
      </c>
      <c r="CA22" s="6">
        <f>VLOOKUP(Table1[[#This Row],[Reference]],metron,15,FALSE)</f>
        <v>11.21109010712035</v>
      </c>
      <c r="CB22" s="6">
        <f>VLOOKUP(Table1[[#This Row],[Reference]],metron,16,FALSE)</f>
        <v>11.01700787401575</v>
      </c>
      <c r="CC22" s="6">
        <f>VLOOKUP(Table1[[#This Row],[Reference]],metron,17,FALSE)</f>
        <v>4.6792332268370611</v>
      </c>
      <c r="CD22" s="6">
        <f>VLOOKUP(Table1[[#This Row],[Reference]],metron,18,FALSE)</f>
        <v>4.7080804854679013</v>
      </c>
      <c r="CE22" s="6">
        <f>VLOOKUP(Table1[[#This Row],[Reference]],metron,19,FALSE)</f>
        <v>6.5318568802832893</v>
      </c>
      <c r="CF22" s="6">
        <f>VLOOKUP(Table1[[#This Row],[Reference]],metron,20,FALSE)</f>
        <v>6.3089273885478487</v>
      </c>
      <c r="CG22" s="6">
        <f>VLOOKUP(Table1[[#This Row],[Reference]],metron,21,FALSE)</f>
        <v>12.72547770700637</v>
      </c>
      <c r="CH22" s="6">
        <f>VLOOKUP(Table1[[#This Row],[Reference]],metron,22,FALSE)</f>
        <v>13.06847133757962</v>
      </c>
      <c r="CI22" s="6">
        <f>VLOOKUP(Table1[[#This Row],[Reference]],metron,23,FALSE)</f>
        <v>1.6902356902356901</v>
      </c>
      <c r="CJ22" s="6">
        <f>VLOOKUP(Table1[[#This Row],[Reference]],metron,24,FALSE)</f>
        <v>1.8050198959289869</v>
      </c>
      <c r="CK22" s="6">
        <f>VLOOKUP(Table1[[#This Row],[Reference]],metron,25,FALSE)</f>
        <v>0.105907560453015</v>
      </c>
      <c r="CL22" s="6">
        <f>VLOOKUP(Table1[[#This Row],[Reference]],metron,26,FALSE)</f>
        <v>0.1141720232629324</v>
      </c>
    </row>
    <row r="23" spans="1:90" hidden="1" x14ac:dyDescent="0.45">
      <c r="A23" t="s">
        <v>696</v>
      </c>
      <c r="B23">
        <v>1628301960</v>
      </c>
      <c r="C23" s="23" t="s">
        <v>152</v>
      </c>
      <c r="D23" t="s">
        <v>65</v>
      </c>
      <c r="E23" t="s">
        <v>66</v>
      </c>
      <c r="F23" t="s">
        <v>106</v>
      </c>
      <c r="G23" t="s">
        <v>79</v>
      </c>
      <c r="H23" t="s">
        <v>114</v>
      </c>
      <c r="I23">
        <f>MROUND(Table1[[#This Row],[ProbH]]*100,2)/100</f>
        <v>0.5</v>
      </c>
      <c r="J23">
        <f>1/Table1[[#This Row],[odds_ft_home_team_win]]-Table1[[#This Row],[Margin]]</f>
        <v>0.49454278511870131</v>
      </c>
      <c r="K23">
        <f>1/Table1[[#This Row],[odds_ft_draw]]-Table1[[#This Row],[Margin]]</f>
        <v>0.25669686140890324</v>
      </c>
      <c r="L23">
        <f>1/Table1[[#This Row],[odds_ft_away_team_win]]-Table1[[#This Row],[Margin]]</f>
        <v>0.24876035347239533</v>
      </c>
      <c r="M23">
        <v>3</v>
      </c>
      <c r="N23">
        <v>0</v>
      </c>
      <c r="O23">
        <v>3</v>
      </c>
      <c r="P23">
        <v>1.35</v>
      </c>
      <c r="Q23">
        <v>1.29</v>
      </c>
      <c r="R23" t="str" cm="1">
        <f t="array" ref="R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">
        <v>0</v>
      </c>
      <c r="T23">
        <v>2</v>
      </c>
      <c r="U23">
        <v>2</v>
      </c>
      <c r="V23">
        <v>1</v>
      </c>
      <c r="W23">
        <v>0</v>
      </c>
      <c r="X23">
        <v>1</v>
      </c>
      <c r="Z23" t="s">
        <v>153</v>
      </c>
      <c r="AA23">
        <v>7</v>
      </c>
      <c r="AB23">
        <v>3</v>
      </c>
      <c r="AC23">
        <v>3</v>
      </c>
      <c r="AD23">
        <v>0</v>
      </c>
      <c r="AE23">
        <v>3</v>
      </c>
      <c r="AF23">
        <v>0</v>
      </c>
      <c r="AG23">
        <v>1</v>
      </c>
      <c r="AH23">
        <v>2</v>
      </c>
      <c r="AI23">
        <v>0</v>
      </c>
      <c r="AJ23">
        <v>3</v>
      </c>
      <c r="AK23">
        <v>17</v>
      </c>
      <c r="AL23">
        <v>10</v>
      </c>
      <c r="AM23">
        <v>4</v>
      </c>
      <c r="AN23">
        <v>7</v>
      </c>
      <c r="AO23">
        <v>13</v>
      </c>
      <c r="AP23">
        <v>3</v>
      </c>
      <c r="AQ23">
        <v>11</v>
      </c>
      <c r="AR23">
        <v>18</v>
      </c>
      <c r="AS23">
        <v>61</v>
      </c>
      <c r="AT23">
        <v>39</v>
      </c>
      <c r="AU23">
        <v>1.69</v>
      </c>
      <c r="AV23">
        <v>1.41</v>
      </c>
      <c r="AW23">
        <v>3.5</v>
      </c>
      <c r="AX23">
        <v>100</v>
      </c>
      <c r="AY23">
        <v>100</v>
      </c>
      <c r="AZ23">
        <v>100</v>
      </c>
      <c r="BA23">
        <v>50</v>
      </c>
      <c r="BB23">
        <v>0</v>
      </c>
      <c r="BC23">
        <v>50</v>
      </c>
      <c r="BD23">
        <v>100</v>
      </c>
      <c r="BE23">
        <v>100</v>
      </c>
      <c r="BF23">
        <v>100</v>
      </c>
      <c r="BG23">
        <v>11</v>
      </c>
      <c r="BH23">
        <v>2</v>
      </c>
      <c r="BI23">
        <v>1.91</v>
      </c>
      <c r="BJ23">
        <v>3.5</v>
      </c>
      <c r="BK23">
        <v>3.6</v>
      </c>
      <c r="BL23">
        <f>(1/Table1[[#This Row],[odds_ft_home_team_win]]+1/Table1[[#This Row],[odds_ft_draw]]+1/Table1[[#This Row],[odds_ft_away_team_win]]-1)/3</f>
        <v>2.9017424305382455E-2</v>
      </c>
      <c r="BM23">
        <v>1.31</v>
      </c>
      <c r="BN23">
        <v>1.87</v>
      </c>
      <c r="BO23">
        <v>3.05</v>
      </c>
      <c r="BP23">
        <v>5.75</v>
      </c>
      <c r="BQ23">
        <v>1.83</v>
      </c>
      <c r="BR23">
        <v>1.95</v>
      </c>
      <c r="BS23" t="s">
        <v>110</v>
      </c>
      <c r="BT23">
        <f>VLOOKUP(Table1[[#This Row],[Reference]],metron,8,FALSE)</f>
        <v>1.8001937313313046</v>
      </c>
      <c r="BU23">
        <f>VLOOKUP(Table1[[#This Row],[Reference]],metron,9,FALSE)</f>
        <v>0.9268512077832276</v>
      </c>
      <c r="BV23">
        <f>VLOOKUP(Table1[[#This Row],[Reference]],metron,10,FALSE)</f>
        <v>2.5202079886551649</v>
      </c>
      <c r="BW23">
        <f>VLOOKUP(Table1[[#This Row],[Reference]],metron,11,FALSE)</f>
        <v>1.5342708579532029</v>
      </c>
      <c r="BX23">
        <f>VLOOKUP(Table1[[#This Row],[Reference]],metron,12,FALSE)</f>
        <v>0.98593713070196176</v>
      </c>
      <c r="BY23" s="6">
        <f>VLOOKUP(Table1[[#This Row],[Reference]],metron,13,FALSE)</f>
        <v>0.67513590167809023</v>
      </c>
      <c r="BZ23" s="6">
        <f>VLOOKUP(Table1[[#This Row],[Reference]],metron,14,FALSE)</f>
        <v>0.4286727337194185</v>
      </c>
      <c r="CA23" s="6">
        <f>VLOOKUP(Table1[[#This Row],[Reference]],metron,15,FALSE)</f>
        <v>12.98669114272602</v>
      </c>
      <c r="CB23" s="6">
        <f>VLOOKUP(Table1[[#This Row],[Reference]],metron,16,FALSE)</f>
        <v>9.4167049105094076</v>
      </c>
      <c r="CC23" s="6">
        <f>VLOOKUP(Table1[[#This Row],[Reference]],metron,17,FALSE)</f>
        <v>5.6645716945996272</v>
      </c>
      <c r="CD23" s="6">
        <f>VLOOKUP(Table1[[#This Row],[Reference]],metron,18,FALSE)</f>
        <v>4.0242085661080074</v>
      </c>
      <c r="CE23" s="6">
        <f>VLOOKUP(Table1[[#This Row],[Reference]],metron,19,FALSE)</f>
        <v>7.3221194481263927</v>
      </c>
      <c r="CF23" s="6">
        <f>VLOOKUP(Table1[[#This Row],[Reference]],metron,20,FALSE)</f>
        <v>5.3924963444014002</v>
      </c>
      <c r="CG23" s="6">
        <f>VLOOKUP(Table1[[#This Row],[Reference]],metron,21,FALSE)</f>
        <v>12.508162313432839</v>
      </c>
      <c r="CH23" s="6">
        <f>VLOOKUP(Table1[[#This Row],[Reference]],metron,22,FALSE)</f>
        <v>13.36963619402985</v>
      </c>
      <c r="CI23" s="6">
        <f>VLOOKUP(Table1[[#This Row],[Reference]],metron,23,FALSE)</f>
        <v>1.4438014689517029</v>
      </c>
      <c r="CJ23" s="6">
        <f>VLOOKUP(Table1[[#This Row],[Reference]],metron,24,FALSE)</f>
        <v>1.9410193634542621</v>
      </c>
      <c r="CK23" s="6">
        <f>VLOOKUP(Table1[[#This Row],[Reference]],metron,25,FALSE)</f>
        <v>8.4130870242599604E-2</v>
      </c>
      <c r="CL23" s="6">
        <f>VLOOKUP(Table1[[#This Row],[Reference]],metron,26,FALSE)</f>
        <v>0.1275317160026708</v>
      </c>
    </row>
    <row r="24" spans="1:90" hidden="1" x14ac:dyDescent="0.45">
      <c r="A24" t="s">
        <v>696</v>
      </c>
      <c r="B24">
        <v>1628373600</v>
      </c>
      <c r="C24" s="23" t="s">
        <v>154</v>
      </c>
      <c r="D24" t="s">
        <v>65</v>
      </c>
      <c r="E24" t="s">
        <v>66</v>
      </c>
      <c r="F24" t="s">
        <v>90</v>
      </c>
      <c r="G24" t="s">
        <v>78</v>
      </c>
      <c r="H24" t="s">
        <v>130</v>
      </c>
      <c r="I24">
        <f>MROUND(Table1[[#This Row],[ProbH]]*100,2)/100</f>
        <v>0.56000000000000005</v>
      </c>
      <c r="J24">
        <f>1/Table1[[#This Row],[odds_ft_home_team_win]]-Table1[[#This Row],[Margin]]</f>
        <v>0.56358543417366946</v>
      </c>
      <c r="K24">
        <f>1/Table1[[#This Row],[odds_ft_draw]]-Table1[[#This Row],[Margin]]</f>
        <v>0.26106442577030814</v>
      </c>
      <c r="L24">
        <f>1/Table1[[#This Row],[odds_ft_away_team_win]]-Table1[[#This Row],[Margin]]</f>
        <v>0.17535014005602242</v>
      </c>
      <c r="M24">
        <v>3</v>
      </c>
      <c r="N24">
        <v>0</v>
      </c>
      <c r="O24">
        <v>0</v>
      </c>
      <c r="P24">
        <v>1.47</v>
      </c>
      <c r="Q24">
        <v>0.71</v>
      </c>
      <c r="R24" t="str" cm="1">
        <f t="array" ref="R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4">
        <v>2</v>
      </c>
      <c r="T24">
        <v>2</v>
      </c>
      <c r="U24">
        <v>4</v>
      </c>
      <c r="V24">
        <v>2</v>
      </c>
      <c r="W24">
        <v>1</v>
      </c>
      <c r="X24">
        <v>1</v>
      </c>
      <c r="Y24" t="s">
        <v>155</v>
      </c>
      <c r="Z24" t="s">
        <v>156</v>
      </c>
      <c r="AA24">
        <v>8</v>
      </c>
      <c r="AB24">
        <v>3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19</v>
      </c>
      <c r="AL24">
        <v>9</v>
      </c>
      <c r="AM24">
        <v>8</v>
      </c>
      <c r="AN24">
        <v>4</v>
      </c>
      <c r="AO24">
        <v>11</v>
      </c>
      <c r="AP24">
        <v>5</v>
      </c>
      <c r="AQ24">
        <v>14</v>
      </c>
      <c r="AR24">
        <v>9</v>
      </c>
      <c r="AS24">
        <v>65</v>
      </c>
      <c r="AT24">
        <v>35</v>
      </c>
      <c r="AU24">
        <v>2.16</v>
      </c>
      <c r="AV24">
        <v>1.03</v>
      </c>
      <c r="AW24">
        <v>2.5</v>
      </c>
      <c r="AX24">
        <v>50</v>
      </c>
      <c r="AY24">
        <v>100</v>
      </c>
      <c r="AZ24">
        <v>50</v>
      </c>
      <c r="BA24">
        <v>0</v>
      </c>
      <c r="BB24">
        <v>0</v>
      </c>
      <c r="BC24">
        <v>0</v>
      </c>
      <c r="BD24">
        <v>50</v>
      </c>
      <c r="BE24">
        <v>100</v>
      </c>
      <c r="BF24">
        <v>100</v>
      </c>
      <c r="BG24">
        <v>10</v>
      </c>
      <c r="BH24">
        <v>2</v>
      </c>
      <c r="BI24">
        <v>1.7</v>
      </c>
      <c r="BJ24">
        <v>3.5</v>
      </c>
      <c r="BK24">
        <v>5</v>
      </c>
      <c r="BL24">
        <f>(1/Table1[[#This Row],[odds_ft_home_team_win]]+1/Table1[[#This Row],[odds_ft_draw]]+1/Table1[[#This Row],[odds_ft_away_team_win]]-1)/3</f>
        <v>2.4649859943977576E-2</v>
      </c>
      <c r="BM24">
        <v>1.38</v>
      </c>
      <c r="BN24">
        <v>2.1</v>
      </c>
      <c r="BO24">
        <v>3.95</v>
      </c>
      <c r="BP24">
        <v>7.75</v>
      </c>
      <c r="BQ24">
        <v>2.2000000000000002</v>
      </c>
      <c r="BR24">
        <v>1.67</v>
      </c>
      <c r="BS24" t="s">
        <v>94</v>
      </c>
      <c r="BT24">
        <f>VLOOKUP(Table1[[#This Row],[Reference]],metron,8,FALSE)</f>
        <v>1.9673156855724254</v>
      </c>
      <c r="BU24">
        <f>VLOOKUP(Table1[[#This Row],[Reference]],metron,9,FALSE)</f>
        <v>0.77729484582409181</v>
      </c>
      <c r="BV24">
        <f>VLOOKUP(Table1[[#This Row],[Reference]],metron,10,FALSE)</f>
        <v>2.6892488954344627</v>
      </c>
      <c r="BW24">
        <f>VLOOKUP(Table1[[#This Row],[Reference]],metron,11,FALSE)</f>
        <v>1.7546812539448771</v>
      </c>
      <c r="BX24">
        <f>VLOOKUP(Table1[[#This Row],[Reference]],metron,12,FALSE)</f>
        <v>0.93456764148958549</v>
      </c>
      <c r="BY24" s="6">
        <f>VLOOKUP(Table1[[#This Row],[Reference]],metron,13,FALSE)</f>
        <v>0.77824531874605507</v>
      </c>
      <c r="BZ24" s="6">
        <f>VLOOKUP(Table1[[#This Row],[Reference]],metron,14,FALSE)</f>
        <v>0.41237113402061848</v>
      </c>
      <c r="CA24" s="6">
        <f>VLOOKUP(Table1[[#This Row],[Reference]],metron,15,FALSE)</f>
        <v>13.77153558052435</v>
      </c>
      <c r="CB24" s="6">
        <f>VLOOKUP(Table1[[#This Row],[Reference]],metron,16,FALSE)</f>
        <v>9.0445692883895124</v>
      </c>
      <c r="CC24" s="6">
        <f>VLOOKUP(Table1[[#This Row],[Reference]],metron,17,FALSE)</f>
        <v>6.0821292775665396</v>
      </c>
      <c r="CD24" s="6">
        <f>VLOOKUP(Table1[[#This Row],[Reference]],metron,18,FALSE)</f>
        <v>3.8201520912547529</v>
      </c>
      <c r="CE24" s="6">
        <f>VLOOKUP(Table1[[#This Row],[Reference]],metron,19,FALSE)</f>
        <v>7.6894063029578108</v>
      </c>
      <c r="CF24" s="6">
        <f>VLOOKUP(Table1[[#This Row],[Reference]],metron,20,FALSE)</f>
        <v>5.224417197134759</v>
      </c>
      <c r="CG24" s="6">
        <f>VLOOKUP(Table1[[#This Row],[Reference]],metron,21,FALSE)</f>
        <v>12.297605473204101</v>
      </c>
      <c r="CH24" s="6">
        <f>VLOOKUP(Table1[[#This Row],[Reference]],metron,22,FALSE)</f>
        <v>13.310908399847969</v>
      </c>
      <c r="CI24" s="6">
        <f>VLOOKUP(Table1[[#This Row],[Reference]],metron,23,FALSE)</f>
        <v>1.3713126843657819</v>
      </c>
      <c r="CJ24" s="6">
        <f>VLOOKUP(Table1[[#This Row],[Reference]],metron,24,FALSE)</f>
        <v>1.9516961651917399</v>
      </c>
      <c r="CK24" s="6">
        <f>VLOOKUP(Table1[[#This Row],[Reference]],metron,25,FALSE)</f>
        <v>6.6002949852507375E-2</v>
      </c>
      <c r="CL24" s="6">
        <f>VLOOKUP(Table1[[#This Row],[Reference]],metron,26,FALSE)</f>
        <v>0.1297935103244838</v>
      </c>
    </row>
    <row r="25" spans="1:90" hidden="1" x14ac:dyDescent="0.45">
      <c r="A25" t="s">
        <v>696</v>
      </c>
      <c r="B25">
        <v>1628380800</v>
      </c>
      <c r="C25" s="23" t="s">
        <v>157</v>
      </c>
      <c r="D25" t="s">
        <v>65</v>
      </c>
      <c r="E25" t="s">
        <v>66</v>
      </c>
      <c r="F25" t="s">
        <v>68</v>
      </c>
      <c r="G25" t="s">
        <v>102</v>
      </c>
      <c r="H25" t="s">
        <v>158</v>
      </c>
      <c r="I25">
        <f>MROUND(Table1[[#This Row],[ProbH]]*100,2)/100</f>
        <v>0.5</v>
      </c>
      <c r="J25">
        <f>1/Table1[[#This Row],[odds_ft_home_team_win]]-Table1[[#This Row],[Margin]]</f>
        <v>0.49750484363631536</v>
      </c>
      <c r="K25">
        <f>1/Table1[[#This Row],[odds_ft_draw]]-Table1[[#This Row],[Margin]]</f>
        <v>0.28163694190453931</v>
      </c>
      <c r="L25">
        <f>1/Table1[[#This Row],[odds_ft_away_team_win]]-Table1[[#This Row],[Margin]]</f>
        <v>0.22085821445914522</v>
      </c>
      <c r="M25">
        <v>3</v>
      </c>
      <c r="N25">
        <v>3</v>
      </c>
      <c r="O25">
        <v>1</v>
      </c>
      <c r="P25">
        <v>1.9</v>
      </c>
      <c r="Q25">
        <v>1.42</v>
      </c>
      <c r="R25" s="9" t="str" cm="1">
        <f t="array" ref="R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">
        <v>2</v>
      </c>
      <c r="T25">
        <v>0</v>
      </c>
      <c r="U25">
        <v>2</v>
      </c>
      <c r="V25">
        <v>1</v>
      </c>
      <c r="W25">
        <v>1</v>
      </c>
      <c r="X25">
        <v>0</v>
      </c>
      <c r="Y25" t="s">
        <v>159</v>
      </c>
      <c r="AA25">
        <v>3</v>
      </c>
      <c r="AB25">
        <v>5</v>
      </c>
      <c r="AC25">
        <v>2</v>
      </c>
      <c r="AD25">
        <v>0</v>
      </c>
      <c r="AE25">
        <v>2</v>
      </c>
      <c r="AF25">
        <v>0</v>
      </c>
      <c r="AG25">
        <v>0</v>
      </c>
      <c r="AH25">
        <v>2</v>
      </c>
      <c r="AI25">
        <v>0</v>
      </c>
      <c r="AJ25">
        <v>2</v>
      </c>
      <c r="AK25">
        <v>11</v>
      </c>
      <c r="AL25">
        <v>13</v>
      </c>
      <c r="AM25">
        <v>6</v>
      </c>
      <c r="AN25">
        <v>4</v>
      </c>
      <c r="AO25">
        <v>5</v>
      </c>
      <c r="AP25">
        <v>9</v>
      </c>
      <c r="AQ25">
        <v>13</v>
      </c>
      <c r="AR25">
        <v>17</v>
      </c>
      <c r="AS25">
        <v>46</v>
      </c>
      <c r="AT25">
        <v>54</v>
      </c>
      <c r="AU25">
        <v>1.32</v>
      </c>
      <c r="AV25">
        <v>1.35</v>
      </c>
      <c r="AW25">
        <v>2.5</v>
      </c>
      <c r="AX25">
        <v>100</v>
      </c>
      <c r="AY25">
        <v>100</v>
      </c>
      <c r="AZ25">
        <v>50</v>
      </c>
      <c r="BA25">
        <v>0</v>
      </c>
      <c r="BB25">
        <v>0</v>
      </c>
      <c r="BC25">
        <v>0</v>
      </c>
      <c r="BD25">
        <v>50</v>
      </c>
      <c r="BE25">
        <v>100</v>
      </c>
      <c r="BF25">
        <v>100</v>
      </c>
      <c r="BG25">
        <v>7</v>
      </c>
      <c r="BH25">
        <v>6</v>
      </c>
      <c r="BI25">
        <v>1.91</v>
      </c>
      <c r="BJ25">
        <v>3.25</v>
      </c>
      <c r="BK25">
        <v>4.05</v>
      </c>
      <c r="BL25">
        <f>(1/Table1[[#This Row],[odds_ft_home_team_win]]+1/Table1[[#This Row],[odds_ft_draw]]+1/Table1[[#This Row],[odds_ft_away_team_win]]-1)/3</f>
        <v>2.6055365787768386E-2</v>
      </c>
      <c r="BM25">
        <v>1.43</v>
      </c>
      <c r="BN25">
        <v>2.2000000000000002</v>
      </c>
      <c r="BO25">
        <v>3.8</v>
      </c>
      <c r="BP25">
        <v>7.5</v>
      </c>
      <c r="BQ25">
        <v>2.0499999999999998</v>
      </c>
      <c r="BR25">
        <v>1.74</v>
      </c>
      <c r="BS25" t="s">
        <v>116</v>
      </c>
      <c r="BT25">
        <f>VLOOKUP(Table1[[#This Row],[Reference]],metron,8,FALSE)</f>
        <v>1.8001937313313046</v>
      </c>
      <c r="BU25">
        <f>VLOOKUP(Table1[[#This Row],[Reference]],metron,9,FALSE)</f>
        <v>0.9268512077832276</v>
      </c>
      <c r="BV25">
        <f>VLOOKUP(Table1[[#This Row],[Reference]],metron,10,FALSE)</f>
        <v>2.5202079886551649</v>
      </c>
      <c r="BW25">
        <f>VLOOKUP(Table1[[#This Row],[Reference]],metron,11,FALSE)</f>
        <v>1.5342708579532029</v>
      </c>
      <c r="BX25">
        <f>VLOOKUP(Table1[[#This Row],[Reference]],metron,12,FALSE)</f>
        <v>0.98593713070196176</v>
      </c>
      <c r="BY25" s="6">
        <f>VLOOKUP(Table1[[#This Row],[Reference]],metron,13,FALSE)</f>
        <v>0.67513590167809023</v>
      </c>
      <c r="BZ25" s="6">
        <f>VLOOKUP(Table1[[#This Row],[Reference]],metron,14,FALSE)</f>
        <v>0.4286727337194185</v>
      </c>
      <c r="CA25" s="6">
        <f>VLOOKUP(Table1[[#This Row],[Reference]],metron,15,FALSE)</f>
        <v>12.98669114272602</v>
      </c>
      <c r="CB25" s="6">
        <f>VLOOKUP(Table1[[#This Row],[Reference]],metron,16,FALSE)</f>
        <v>9.4167049105094076</v>
      </c>
      <c r="CC25" s="6">
        <f>VLOOKUP(Table1[[#This Row],[Reference]],metron,17,FALSE)</f>
        <v>5.6645716945996272</v>
      </c>
      <c r="CD25" s="6">
        <f>VLOOKUP(Table1[[#This Row],[Reference]],metron,18,FALSE)</f>
        <v>4.0242085661080074</v>
      </c>
      <c r="CE25" s="6">
        <f>VLOOKUP(Table1[[#This Row],[Reference]],metron,19,FALSE)</f>
        <v>7.3221194481263927</v>
      </c>
      <c r="CF25" s="6">
        <f>VLOOKUP(Table1[[#This Row],[Reference]],metron,20,FALSE)</f>
        <v>5.3924963444014002</v>
      </c>
      <c r="CG25" s="6">
        <f>VLOOKUP(Table1[[#This Row],[Reference]],metron,21,FALSE)</f>
        <v>12.508162313432839</v>
      </c>
      <c r="CH25" s="6">
        <f>VLOOKUP(Table1[[#This Row],[Reference]],metron,22,FALSE)</f>
        <v>13.36963619402985</v>
      </c>
      <c r="CI25" s="6">
        <f>VLOOKUP(Table1[[#This Row],[Reference]],metron,23,FALSE)</f>
        <v>1.4438014689517029</v>
      </c>
      <c r="CJ25" s="6">
        <f>VLOOKUP(Table1[[#This Row],[Reference]],metron,24,FALSE)</f>
        <v>1.9410193634542621</v>
      </c>
      <c r="CK25" s="6">
        <f>VLOOKUP(Table1[[#This Row],[Reference]],metron,25,FALSE)</f>
        <v>8.4130870242599604E-2</v>
      </c>
      <c r="CL25" s="6">
        <f>VLOOKUP(Table1[[#This Row],[Reference]],metron,26,FALSE)</f>
        <v>0.1275317160026708</v>
      </c>
    </row>
    <row r="26" spans="1:90" hidden="1" x14ac:dyDescent="0.45">
      <c r="A26" t="s">
        <v>696</v>
      </c>
      <c r="B26">
        <v>1628388000</v>
      </c>
      <c r="C26" s="23" t="s">
        <v>160</v>
      </c>
      <c r="D26" t="s">
        <v>65</v>
      </c>
      <c r="E26" t="s">
        <v>66</v>
      </c>
      <c r="F26" t="s">
        <v>107</v>
      </c>
      <c r="G26" t="s">
        <v>73</v>
      </c>
      <c r="H26" t="s">
        <v>69</v>
      </c>
      <c r="I26">
        <f>MROUND(Table1[[#This Row],[ProbH]]*100,2)/100</f>
        <v>0.46</v>
      </c>
      <c r="J26">
        <f>1/Table1[[#This Row],[odds_ft_home_team_win]]-Table1[[#This Row],[Margin]]</f>
        <v>0.45881976593072438</v>
      </c>
      <c r="K26">
        <f>1/Table1[[#This Row],[odds_ft_draw]]-Table1[[#This Row],[Margin]]</f>
        <v>0.28847520534226129</v>
      </c>
      <c r="L26">
        <f>1/Table1[[#This Row],[odds_ft_away_team_win]]-Table1[[#This Row],[Margin]]</f>
        <v>0.25270502872701428</v>
      </c>
      <c r="M26">
        <v>3</v>
      </c>
      <c r="N26">
        <v>0</v>
      </c>
      <c r="O26">
        <v>3</v>
      </c>
      <c r="P26">
        <v>2</v>
      </c>
      <c r="Q26">
        <v>1.1100000000000001</v>
      </c>
      <c r="R26" t="str" cm="1">
        <f t="array" ref="R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">
        <v>1</v>
      </c>
      <c r="T26">
        <v>1</v>
      </c>
      <c r="U26">
        <v>2</v>
      </c>
      <c r="V26">
        <v>1</v>
      </c>
      <c r="W26">
        <v>0</v>
      </c>
      <c r="X26">
        <v>1</v>
      </c>
      <c r="Y26">
        <v>89</v>
      </c>
      <c r="Z26">
        <v>8</v>
      </c>
      <c r="AA26">
        <v>4</v>
      </c>
      <c r="AB26">
        <v>7</v>
      </c>
      <c r="AC26">
        <v>1</v>
      </c>
      <c r="AD26">
        <v>1</v>
      </c>
      <c r="AE26">
        <v>3</v>
      </c>
      <c r="AF26">
        <v>0</v>
      </c>
      <c r="AG26">
        <v>2</v>
      </c>
      <c r="AH26">
        <v>0</v>
      </c>
      <c r="AI26">
        <v>2</v>
      </c>
      <c r="AJ26">
        <v>1</v>
      </c>
      <c r="AK26">
        <v>13</v>
      </c>
      <c r="AL26">
        <v>13</v>
      </c>
      <c r="AM26">
        <v>5</v>
      </c>
      <c r="AN26">
        <v>5</v>
      </c>
      <c r="AO26">
        <v>8</v>
      </c>
      <c r="AP26">
        <v>8</v>
      </c>
      <c r="AQ26">
        <v>17</v>
      </c>
      <c r="AR26">
        <v>15</v>
      </c>
      <c r="AS26">
        <v>51</v>
      </c>
      <c r="AT26">
        <v>49</v>
      </c>
      <c r="AU26">
        <v>1.58</v>
      </c>
      <c r="AV26">
        <v>1.47</v>
      </c>
      <c r="AW26">
        <v>1.5</v>
      </c>
      <c r="AX26">
        <v>0</v>
      </c>
      <c r="AY26">
        <v>50</v>
      </c>
      <c r="AZ26">
        <v>50</v>
      </c>
      <c r="BA26">
        <v>0</v>
      </c>
      <c r="BB26">
        <v>0</v>
      </c>
      <c r="BC26">
        <v>50</v>
      </c>
      <c r="BD26">
        <v>50</v>
      </c>
      <c r="BE26">
        <v>0</v>
      </c>
      <c r="BF26">
        <v>50</v>
      </c>
      <c r="BG26">
        <v>7</v>
      </c>
      <c r="BH26">
        <v>2</v>
      </c>
      <c r="BI26">
        <v>2.0499999999999998</v>
      </c>
      <c r="BJ26">
        <v>3.15</v>
      </c>
      <c r="BK26">
        <v>3.55</v>
      </c>
      <c r="BL26">
        <f>(1/Table1[[#This Row],[odds_ft_home_team_win]]+1/Table1[[#This Row],[odds_ft_draw]]+1/Table1[[#This Row],[odds_ft_away_team_win]]-1)/3</f>
        <v>2.8985112118056138E-2</v>
      </c>
      <c r="BM26">
        <v>1.45</v>
      </c>
      <c r="BN26">
        <v>2.25</v>
      </c>
      <c r="BO26">
        <v>3.9</v>
      </c>
      <c r="BP26">
        <v>7.75</v>
      </c>
      <c r="BQ26">
        <v>2.1</v>
      </c>
      <c r="BR26">
        <v>1.71</v>
      </c>
      <c r="BS26" t="s">
        <v>161</v>
      </c>
      <c r="BT26">
        <f>VLOOKUP(Table1[[#This Row],[Reference]],metron,8,FALSE)</f>
        <v>1.6955772349985931</v>
      </c>
      <c r="BU26">
        <f>VLOOKUP(Table1[[#This Row],[Reference]],metron,9,FALSE)</f>
        <v>1.0239029519551039</v>
      </c>
      <c r="BV26">
        <f>VLOOKUP(Table1[[#This Row],[Reference]],metron,10,FALSE)</f>
        <v>2.5405629139072849</v>
      </c>
      <c r="BW26">
        <f>VLOOKUP(Table1[[#This Row],[Reference]],metron,11,FALSE)</f>
        <v>1.4888836329233679</v>
      </c>
      <c r="BX26">
        <f>VLOOKUP(Table1[[#This Row],[Reference]],metron,12,FALSE)</f>
        <v>1.0516792809839171</v>
      </c>
      <c r="BY26" s="6">
        <f>VLOOKUP(Table1[[#This Row],[Reference]],metron,13,FALSE)</f>
        <v>0.64581362346263005</v>
      </c>
      <c r="BZ26" s="6">
        <f>VLOOKUP(Table1[[#This Row],[Reference]],metron,14,FALSE)</f>
        <v>0.45364238410596031</v>
      </c>
      <c r="CA26" s="6">
        <f>VLOOKUP(Table1[[#This Row],[Reference]],metron,15,FALSE)</f>
        <v>12.686892177589851</v>
      </c>
      <c r="CB26" s="6">
        <f>VLOOKUP(Table1[[#This Row],[Reference]],metron,16,FALSE)</f>
        <v>9.8059196617336148</v>
      </c>
      <c r="CC26" s="6">
        <f>VLOOKUP(Table1[[#This Row],[Reference]],metron,17,FALSE)</f>
        <v>5.3198121263877027</v>
      </c>
      <c r="CD26" s="6">
        <f>VLOOKUP(Table1[[#This Row],[Reference]],metron,18,FALSE)</f>
        <v>4.0954312553373189</v>
      </c>
      <c r="CE26" s="6">
        <f>VLOOKUP(Table1[[#This Row],[Reference]],metron,19,FALSE)</f>
        <v>7.3670800512021479</v>
      </c>
      <c r="CF26" s="6">
        <f>VLOOKUP(Table1[[#This Row],[Reference]],metron,20,FALSE)</f>
        <v>5.710488406396296</v>
      </c>
      <c r="CG26" s="6">
        <f>VLOOKUP(Table1[[#This Row],[Reference]],metron,21,FALSE)</f>
        <v>13.0488908033599</v>
      </c>
      <c r="CH26" s="6">
        <f>VLOOKUP(Table1[[#This Row],[Reference]],metron,22,FALSE)</f>
        <v>13.714839543398661</v>
      </c>
      <c r="CI26" s="6">
        <f>VLOOKUP(Table1[[#This Row],[Reference]],metron,23,FALSE)</f>
        <v>1.567523459812322</v>
      </c>
      <c r="CJ26" s="6">
        <f>VLOOKUP(Table1[[#This Row],[Reference]],metron,24,FALSE)</f>
        <v>1.951040391676867</v>
      </c>
      <c r="CK26" s="6">
        <f>VLOOKUP(Table1[[#This Row],[Reference]],metron,25,FALSE)</f>
        <v>8.3027335781313744E-2</v>
      </c>
      <c r="CL26" s="6">
        <f>VLOOKUP(Table1[[#This Row],[Reference]],metron,26,FALSE)</f>
        <v>0.13117095063239501</v>
      </c>
    </row>
    <row r="27" spans="1:90" hidden="1" x14ac:dyDescent="0.45">
      <c r="A27" t="s">
        <v>696</v>
      </c>
      <c r="B27">
        <v>1628442000</v>
      </c>
      <c r="C27" s="23" t="s">
        <v>162</v>
      </c>
      <c r="D27" t="s">
        <v>65</v>
      </c>
      <c r="E27" t="s">
        <v>66</v>
      </c>
      <c r="F27" t="s">
        <v>96</v>
      </c>
      <c r="G27" t="s">
        <v>91</v>
      </c>
      <c r="H27" t="s">
        <v>108</v>
      </c>
      <c r="I27">
        <f>MROUND(Table1[[#This Row],[ProbH]]*100,2)/100</f>
        <v>0.4</v>
      </c>
      <c r="J27">
        <f>1/Table1[[#This Row],[odds_ft_home_team_win]]-Table1[[#This Row],[Margin]]</f>
        <v>0.39479905437352247</v>
      </c>
      <c r="K27">
        <f>1/Table1[[#This Row],[odds_ft_draw]]-Table1[[#This Row],[Margin]]</f>
        <v>0.30260047281323876</v>
      </c>
      <c r="L27">
        <f>1/Table1[[#This Row],[odds_ft_away_team_win]]-Table1[[#This Row],[Margin]]</f>
        <v>0.30260047281323876</v>
      </c>
      <c r="M27">
        <v>3</v>
      </c>
      <c r="N27">
        <v>1</v>
      </c>
      <c r="O27">
        <v>3</v>
      </c>
      <c r="P27">
        <v>1.58</v>
      </c>
      <c r="Q27">
        <v>1.25</v>
      </c>
      <c r="R27" t="str" cm="1">
        <f t="array" ref="R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7">
        <v>1</v>
      </c>
      <c r="T27">
        <v>3</v>
      </c>
      <c r="U27">
        <v>4</v>
      </c>
      <c r="V27">
        <v>3</v>
      </c>
      <c r="W27">
        <v>1</v>
      </c>
      <c r="X27">
        <v>2</v>
      </c>
      <c r="Y27">
        <v>39</v>
      </c>
      <c r="Z27" t="s">
        <v>163</v>
      </c>
      <c r="AA27">
        <v>5</v>
      </c>
      <c r="AB27">
        <v>0</v>
      </c>
      <c r="AC27">
        <v>3</v>
      </c>
      <c r="AD27">
        <v>0</v>
      </c>
      <c r="AE27">
        <v>0</v>
      </c>
      <c r="AF27">
        <v>0</v>
      </c>
      <c r="AG27">
        <v>1</v>
      </c>
      <c r="AH27">
        <v>2</v>
      </c>
      <c r="AI27">
        <v>0</v>
      </c>
      <c r="AJ27">
        <v>0</v>
      </c>
      <c r="AK27">
        <v>12</v>
      </c>
      <c r="AL27">
        <v>11</v>
      </c>
      <c r="AM27">
        <v>4</v>
      </c>
      <c r="AN27">
        <v>6</v>
      </c>
      <c r="AO27">
        <v>8</v>
      </c>
      <c r="AP27">
        <v>5</v>
      </c>
      <c r="AQ27">
        <v>14</v>
      </c>
      <c r="AR27">
        <v>11</v>
      </c>
      <c r="AS27">
        <v>63</v>
      </c>
      <c r="AT27">
        <v>37</v>
      </c>
      <c r="AU27">
        <v>1.36</v>
      </c>
      <c r="AV27">
        <v>1.33</v>
      </c>
      <c r="AW27">
        <v>1.5</v>
      </c>
      <c r="AX27">
        <v>50</v>
      </c>
      <c r="AY27">
        <v>50</v>
      </c>
      <c r="AZ27">
        <v>50</v>
      </c>
      <c r="BA27">
        <v>0</v>
      </c>
      <c r="BB27">
        <v>0</v>
      </c>
      <c r="BC27">
        <v>0</v>
      </c>
      <c r="BD27">
        <v>50</v>
      </c>
      <c r="BE27">
        <v>50</v>
      </c>
      <c r="BF27">
        <v>50</v>
      </c>
      <c r="BG27">
        <v>5</v>
      </c>
      <c r="BH27">
        <v>0</v>
      </c>
      <c r="BI27">
        <v>2.35</v>
      </c>
      <c r="BJ27">
        <v>3</v>
      </c>
      <c r="BK27">
        <v>3</v>
      </c>
      <c r="BL27">
        <f>(1/Table1[[#This Row],[odds_ft_home_team_win]]+1/Table1[[#This Row],[odds_ft_draw]]+1/Table1[[#This Row],[odds_ft_away_team_win]]-1)/3</f>
        <v>3.0732860520094569E-2</v>
      </c>
      <c r="BM27">
        <v>1.44</v>
      </c>
      <c r="BN27">
        <v>2.2000000000000002</v>
      </c>
      <c r="BO27">
        <v>3.75</v>
      </c>
      <c r="BP27">
        <v>7.25</v>
      </c>
      <c r="BQ27">
        <v>1.95</v>
      </c>
      <c r="BR27">
        <v>1.8</v>
      </c>
      <c r="BS27" t="s">
        <v>99</v>
      </c>
      <c r="BT27">
        <f>VLOOKUP(Table1[[#This Row],[Reference]],metron,8,FALSE)</f>
        <v>1.5181603563290151</v>
      </c>
      <c r="BU27">
        <f>VLOOKUP(Table1[[#This Row],[Reference]],metron,9,FALSE)</f>
        <v>1.1952730370775513</v>
      </c>
      <c r="BV27">
        <f>VLOOKUP(Table1[[#This Row],[Reference]],metron,10,FALSE)</f>
        <v>2.4956155335383219</v>
      </c>
      <c r="BW27">
        <f>VLOOKUP(Table1[[#This Row],[Reference]],metron,11,FALSE)</f>
        <v>1.344038264434575</v>
      </c>
      <c r="BX27">
        <f>VLOOKUP(Table1[[#This Row],[Reference]],metron,12,FALSE)</f>
        <v>1.1515772691037469</v>
      </c>
      <c r="BY27" s="6">
        <f>VLOOKUP(Table1[[#This Row],[Reference]],metron,13,FALSE)</f>
        <v>0.59936225942375587</v>
      </c>
      <c r="BZ27" s="6">
        <f>VLOOKUP(Table1[[#This Row],[Reference]],metron,14,FALSE)</f>
        <v>0.50723152260562576</v>
      </c>
      <c r="CA27" s="6">
        <f>VLOOKUP(Table1[[#This Row],[Reference]],metron,15,FALSE)</f>
        <v>11.99278846153846</v>
      </c>
      <c r="CB27" s="6">
        <f>VLOOKUP(Table1[[#This Row],[Reference]],metron,16,FALSE)</f>
        <v>10.0277534965035</v>
      </c>
      <c r="CC27" s="6">
        <f>VLOOKUP(Table1[[#This Row],[Reference]],metron,17,FALSE)</f>
        <v>5.2857459543338514</v>
      </c>
      <c r="CD27" s="6">
        <f>VLOOKUP(Table1[[#This Row],[Reference]],metron,18,FALSE)</f>
        <v>4.4067834183107957</v>
      </c>
      <c r="CE27" s="6">
        <f>VLOOKUP(Table1[[#This Row],[Reference]],metron,19,FALSE)</f>
        <v>6.7070425072046085</v>
      </c>
      <c r="CF27" s="6">
        <f>VLOOKUP(Table1[[#This Row],[Reference]],metron,20,FALSE)</f>
        <v>5.6209700781927046</v>
      </c>
      <c r="CG27" s="6">
        <f>VLOOKUP(Table1[[#This Row],[Reference]],metron,21,FALSE)</f>
        <v>13.04463690872752</v>
      </c>
      <c r="CH27" s="6">
        <f>VLOOKUP(Table1[[#This Row],[Reference]],metron,22,FALSE)</f>
        <v>13.49811236953142</v>
      </c>
      <c r="CI27" s="6">
        <f>VLOOKUP(Table1[[#This Row],[Reference]],metron,23,FALSE)</f>
        <v>1.5836526181353769</v>
      </c>
      <c r="CJ27" s="6">
        <f>VLOOKUP(Table1[[#This Row],[Reference]],metron,24,FALSE)</f>
        <v>1.8744146445295871</v>
      </c>
      <c r="CK27" s="6">
        <f>VLOOKUP(Table1[[#This Row],[Reference]],metron,25,FALSE)</f>
        <v>8.5994040017028525E-2</v>
      </c>
      <c r="CL27" s="6">
        <f>VLOOKUP(Table1[[#This Row],[Reference]],metron,26,FALSE)</f>
        <v>0.13452532992762881</v>
      </c>
    </row>
    <row r="28" spans="1:90" hidden="1" x14ac:dyDescent="0.45">
      <c r="A28" t="s">
        <v>696</v>
      </c>
      <c r="B28">
        <v>1628560800</v>
      </c>
      <c r="C28" s="23" t="s">
        <v>164</v>
      </c>
      <c r="D28" t="s">
        <v>65</v>
      </c>
      <c r="E28" t="s">
        <v>66</v>
      </c>
      <c r="F28" t="s">
        <v>84</v>
      </c>
      <c r="G28" t="s">
        <v>97</v>
      </c>
      <c r="H28" t="s">
        <v>165</v>
      </c>
      <c r="I28">
        <f>MROUND(Table1[[#This Row],[ProbH]]*100,2)/100</f>
        <v>0.36</v>
      </c>
      <c r="J28">
        <f>1/Table1[[#This Row],[odds_ft_home_team_win]]-Table1[[#This Row],[Margin]]</f>
        <v>0.36488618435880105</v>
      </c>
      <c r="K28">
        <f>1/Table1[[#This Row],[odds_ft_draw]]-Table1[[#This Row],[Margin]]</f>
        <v>0.31755690782059953</v>
      </c>
      <c r="L28">
        <f>1/Table1[[#This Row],[odds_ft_away_team_win]]-Table1[[#This Row],[Margin]]</f>
        <v>0.31755690782059953</v>
      </c>
      <c r="M28">
        <v>3</v>
      </c>
      <c r="N28">
        <v>3</v>
      </c>
      <c r="O28">
        <v>1</v>
      </c>
      <c r="P28">
        <v>1.89</v>
      </c>
      <c r="Q28">
        <v>1.68</v>
      </c>
      <c r="R28" t="str" cm="1">
        <f t="array" ref="R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Z28">
        <v>5</v>
      </c>
      <c r="AA28">
        <v>4</v>
      </c>
      <c r="AB28">
        <v>6</v>
      </c>
      <c r="AC28">
        <v>4</v>
      </c>
      <c r="AD28">
        <v>0</v>
      </c>
      <c r="AE28">
        <v>1</v>
      </c>
      <c r="AF28">
        <v>0</v>
      </c>
      <c r="AG28">
        <v>2</v>
      </c>
      <c r="AH28">
        <v>2</v>
      </c>
      <c r="AI28">
        <v>0</v>
      </c>
      <c r="AJ28">
        <v>1</v>
      </c>
      <c r="AK28">
        <v>15</v>
      </c>
      <c r="AL28">
        <v>12</v>
      </c>
      <c r="AM28">
        <v>6</v>
      </c>
      <c r="AN28">
        <v>6</v>
      </c>
      <c r="AO28">
        <v>9</v>
      </c>
      <c r="AP28">
        <v>6</v>
      </c>
      <c r="AQ28">
        <v>11</v>
      </c>
      <c r="AR28">
        <v>10</v>
      </c>
      <c r="AS28">
        <v>64</v>
      </c>
      <c r="AT28">
        <v>36</v>
      </c>
      <c r="AU28">
        <v>1.74</v>
      </c>
      <c r="AV28">
        <v>1.41</v>
      </c>
      <c r="AW28">
        <v>2</v>
      </c>
      <c r="AX28">
        <v>0</v>
      </c>
      <c r="AY28">
        <v>50</v>
      </c>
      <c r="AZ28">
        <v>50</v>
      </c>
      <c r="BA28">
        <v>50</v>
      </c>
      <c r="BB28">
        <v>0</v>
      </c>
      <c r="BC28">
        <v>0</v>
      </c>
      <c r="BD28">
        <v>0</v>
      </c>
      <c r="BE28">
        <v>50</v>
      </c>
      <c r="BF28">
        <v>50</v>
      </c>
      <c r="BG28">
        <v>10</v>
      </c>
      <c r="BH28">
        <v>2</v>
      </c>
      <c r="BI28">
        <v>2.5499999999999998</v>
      </c>
      <c r="BJ28">
        <v>2.9</v>
      </c>
      <c r="BK28">
        <v>2.9</v>
      </c>
      <c r="BL28">
        <f>(1/Table1[[#This Row],[odds_ft_home_team_win]]+1/Table1[[#This Row],[odds_ft_draw]]+1/Table1[[#This Row],[odds_ft_away_team_win]]-1)/3</f>
        <v>2.7270678386297043E-2</v>
      </c>
      <c r="BM28">
        <v>1.56</v>
      </c>
      <c r="BN28">
        <v>2.5</v>
      </c>
      <c r="BO28">
        <v>4.45</v>
      </c>
      <c r="BP28">
        <v>9</v>
      </c>
      <c r="BQ28">
        <v>2.2000000000000002</v>
      </c>
      <c r="BR28">
        <v>1.67</v>
      </c>
      <c r="BS28" t="s">
        <v>88</v>
      </c>
      <c r="BT28">
        <f>VLOOKUP(Table1[[#This Row],[Reference]],metron,8,FALSE)</f>
        <v>1.4023864615972674</v>
      </c>
      <c r="BU28">
        <f>VLOOKUP(Table1[[#This Row],[Reference]],metron,9,FALSE)</f>
        <v>1.3093265904245279</v>
      </c>
      <c r="BV28">
        <f>VLOOKUP(Table1[[#This Row],[Reference]],metron,10,FALSE)</f>
        <v>2.5110350525197691</v>
      </c>
      <c r="BW28">
        <f>VLOOKUP(Table1[[#This Row],[Reference]],metron,11,FALSE)</f>
        <v>1.269326094653606</v>
      </c>
      <c r="BX28">
        <f>VLOOKUP(Table1[[#This Row],[Reference]],metron,12,FALSE)</f>
        <v>1.2417089578661631</v>
      </c>
      <c r="BY28" s="6">
        <f>VLOOKUP(Table1[[#This Row],[Reference]],metron,13,FALSE)</f>
        <v>0.56586402266288949</v>
      </c>
      <c r="BZ28" s="6">
        <f>VLOOKUP(Table1[[#This Row],[Reference]],metron,14,FALSE)</f>
        <v>0.55158168083097259</v>
      </c>
      <c r="CA28" s="6">
        <f>VLOOKUP(Table1[[#This Row],[Reference]],metron,15,FALSE)</f>
        <v>11.49400826446281</v>
      </c>
      <c r="CB28" s="6">
        <f>VLOOKUP(Table1[[#This Row],[Reference]],metron,16,FALSE)</f>
        <v>10.507231404958681</v>
      </c>
      <c r="CC28" s="6">
        <f>VLOOKUP(Table1[[#This Row],[Reference]],metron,17,FALSE)</f>
        <v>4.9238790406673623</v>
      </c>
      <c r="CD28" s="6">
        <f>VLOOKUP(Table1[[#This Row],[Reference]],metron,18,FALSE)</f>
        <v>4.6296141814389991</v>
      </c>
      <c r="CE28" s="6">
        <f>VLOOKUP(Table1[[#This Row],[Reference]],metron,19,FALSE)</f>
        <v>6.5701292237954476</v>
      </c>
      <c r="CF28" s="6">
        <f>VLOOKUP(Table1[[#This Row],[Reference]],metron,20,FALSE)</f>
        <v>5.8776172235196817</v>
      </c>
      <c r="CG28" s="6">
        <f>VLOOKUP(Table1[[#This Row],[Reference]],metron,21,FALSE)</f>
        <v>12.798739495798319</v>
      </c>
      <c r="CH28" s="6">
        <f>VLOOKUP(Table1[[#This Row],[Reference]],metron,22,FALSE)</f>
        <v>12.98844537815126</v>
      </c>
      <c r="CI28" s="6">
        <f>VLOOKUP(Table1[[#This Row],[Reference]],metron,23,FALSE)</f>
        <v>1.604928297313674</v>
      </c>
      <c r="CJ28" s="6">
        <f>VLOOKUP(Table1[[#This Row],[Reference]],metron,24,FALSE)</f>
        <v>1.791961219955565</v>
      </c>
      <c r="CK28" s="6">
        <f>VLOOKUP(Table1[[#This Row],[Reference]],metron,25,FALSE)</f>
        <v>8.887093516461321E-2</v>
      </c>
      <c r="CL28" s="6">
        <f>VLOOKUP(Table1[[#This Row],[Reference]],metron,26,FALSE)</f>
        <v>0.11694607150070691</v>
      </c>
    </row>
    <row r="29" spans="1:90" hidden="1" x14ac:dyDescent="0.45">
      <c r="A29" t="s">
        <v>696</v>
      </c>
      <c r="B29">
        <v>1628820000</v>
      </c>
      <c r="C29" s="23" t="s">
        <v>166</v>
      </c>
      <c r="D29" t="s">
        <v>65</v>
      </c>
      <c r="E29" t="s">
        <v>66</v>
      </c>
      <c r="F29" t="s">
        <v>91</v>
      </c>
      <c r="G29" t="s">
        <v>72</v>
      </c>
      <c r="H29" t="s">
        <v>158</v>
      </c>
      <c r="I29">
        <f>MROUND(Table1[[#This Row],[ProbH]]*100,2)/100</f>
        <v>0.34</v>
      </c>
      <c r="J29">
        <f>1/Table1[[#This Row],[odds_ft_home_team_win]]-Table1[[#This Row],[Margin]]</f>
        <v>0.33430458430458432</v>
      </c>
      <c r="K29">
        <f>1/Table1[[#This Row],[odds_ft_draw]]-Table1[[#This Row],[Margin]]</f>
        <v>0.27836052836052838</v>
      </c>
      <c r="L29">
        <f>1/Table1[[#This Row],[odds_ft_away_team_win]]-Table1[[#This Row],[Margin]]</f>
        <v>0.38733488733488736</v>
      </c>
      <c r="M29">
        <v>4</v>
      </c>
      <c r="N29">
        <v>1</v>
      </c>
      <c r="O29">
        <v>0</v>
      </c>
      <c r="P29">
        <v>1.1100000000000001</v>
      </c>
      <c r="Q29">
        <v>1.28</v>
      </c>
      <c r="R29" s="9" t="str" cm="1">
        <f t="array" ref="R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">
        <v>0</v>
      </c>
      <c r="T29">
        <v>2</v>
      </c>
      <c r="U29">
        <v>2</v>
      </c>
      <c r="V29">
        <v>1</v>
      </c>
      <c r="W29">
        <v>0</v>
      </c>
      <c r="X29">
        <v>1</v>
      </c>
      <c r="Z29" t="s">
        <v>167</v>
      </c>
      <c r="AA29">
        <v>8</v>
      </c>
      <c r="AB29">
        <v>1</v>
      </c>
      <c r="AC29">
        <v>1</v>
      </c>
      <c r="AD29">
        <v>0</v>
      </c>
      <c r="AE29">
        <v>4</v>
      </c>
      <c r="AF29">
        <v>1</v>
      </c>
      <c r="AG29">
        <v>1</v>
      </c>
      <c r="AH29">
        <v>0</v>
      </c>
      <c r="AI29">
        <v>1</v>
      </c>
      <c r="AJ29">
        <v>4</v>
      </c>
      <c r="AK29">
        <v>14</v>
      </c>
      <c r="AL29">
        <v>13</v>
      </c>
      <c r="AM29">
        <v>4</v>
      </c>
      <c r="AN29">
        <v>6</v>
      </c>
      <c r="AO29">
        <v>10</v>
      </c>
      <c r="AP29">
        <v>7</v>
      </c>
      <c r="AQ29">
        <v>8</v>
      </c>
      <c r="AR29">
        <v>18</v>
      </c>
      <c r="AS29">
        <v>63</v>
      </c>
      <c r="AT29">
        <v>37</v>
      </c>
      <c r="AU29">
        <v>1.49</v>
      </c>
      <c r="AV29">
        <v>1.41</v>
      </c>
      <c r="AW29">
        <v>2.5</v>
      </c>
      <c r="AX29">
        <v>100</v>
      </c>
      <c r="AY29">
        <v>100</v>
      </c>
      <c r="AZ29">
        <v>50</v>
      </c>
      <c r="BA29">
        <v>0</v>
      </c>
      <c r="BB29">
        <v>0</v>
      </c>
      <c r="BC29">
        <v>0</v>
      </c>
      <c r="BD29">
        <v>100</v>
      </c>
      <c r="BE29">
        <v>50</v>
      </c>
      <c r="BF29">
        <v>100</v>
      </c>
      <c r="BG29">
        <v>9</v>
      </c>
      <c r="BH29">
        <v>1</v>
      </c>
      <c r="BI29">
        <v>2.75</v>
      </c>
      <c r="BJ29">
        <v>3.25</v>
      </c>
      <c r="BK29">
        <v>2.4</v>
      </c>
      <c r="BL29">
        <f>(1/Table1[[#This Row],[odds_ft_home_team_win]]+1/Table1[[#This Row],[odds_ft_draw]]+1/Table1[[#This Row],[odds_ft_away_team_win]]-1)/3</f>
        <v>2.9331779331779329E-2</v>
      </c>
      <c r="BM29">
        <v>1.36</v>
      </c>
      <c r="BN29">
        <v>2</v>
      </c>
      <c r="BO29">
        <v>3.3</v>
      </c>
      <c r="BP29">
        <v>6.25</v>
      </c>
      <c r="BQ29">
        <v>1.83</v>
      </c>
      <c r="BR29">
        <v>1.95</v>
      </c>
      <c r="BS29" t="s">
        <v>144</v>
      </c>
      <c r="BT29">
        <f>VLOOKUP(Table1[[#This Row],[Reference]],metron,8,FALSE)</f>
        <v>1.3382439854569812</v>
      </c>
      <c r="BU29">
        <f>VLOOKUP(Table1[[#This Row],[Reference]],metron,9,FALSE)</f>
        <v>1.3740319615582339</v>
      </c>
      <c r="BV29">
        <f>VLOOKUP(Table1[[#This Row],[Reference]],metron,10,FALSE)</f>
        <v>2.5229727551184897</v>
      </c>
      <c r="BW29">
        <f>VLOOKUP(Table1[[#This Row],[Reference]],metron,11,FALSE)</f>
        <v>1.228921489601805</v>
      </c>
      <c r="BX29">
        <f>VLOOKUP(Table1[[#This Row],[Reference]],metron,12,FALSE)</f>
        <v>1.2940512655166849</v>
      </c>
      <c r="BY29" s="6">
        <f>VLOOKUP(Table1[[#This Row],[Reference]],metron,13,FALSE)</f>
        <v>0.53240890035472432</v>
      </c>
      <c r="BZ29" s="6">
        <f>VLOOKUP(Table1[[#This Row],[Reference]],metron,14,FALSE)</f>
        <v>0.56514027732989358</v>
      </c>
      <c r="CA29" s="6">
        <f>VLOOKUP(Table1[[#This Row],[Reference]],metron,15,FALSE)</f>
        <v>11.417888124439131</v>
      </c>
      <c r="CB29" s="6">
        <f>VLOOKUP(Table1[[#This Row],[Reference]],metron,16,FALSE)</f>
        <v>10.76308704756207</v>
      </c>
      <c r="CC29" s="6">
        <f>VLOOKUP(Table1[[#This Row],[Reference]],metron,17,FALSE)</f>
        <v>4.8317672021824798</v>
      </c>
      <c r="CD29" s="6">
        <f>VLOOKUP(Table1[[#This Row],[Reference]],metron,18,FALSE)</f>
        <v>4.6698999696877843</v>
      </c>
      <c r="CE29" s="6">
        <f>VLOOKUP(Table1[[#This Row],[Reference]],metron,19,FALSE)</f>
        <v>6.5861209222566508</v>
      </c>
      <c r="CF29" s="6">
        <f>VLOOKUP(Table1[[#This Row],[Reference]],metron,20,FALSE)</f>
        <v>6.093187077874286</v>
      </c>
      <c r="CG29" s="6">
        <f>VLOOKUP(Table1[[#This Row],[Reference]],metron,21,FALSE)</f>
        <v>12.685679611650491</v>
      </c>
      <c r="CH29" s="6">
        <f>VLOOKUP(Table1[[#This Row],[Reference]],metron,22,FALSE)</f>
        <v>13.02639563106796</v>
      </c>
      <c r="CI29" s="6">
        <f>VLOOKUP(Table1[[#This Row],[Reference]],metron,23,FALSE)</f>
        <v>1.6481211768132831</v>
      </c>
      <c r="CJ29" s="6">
        <f>VLOOKUP(Table1[[#This Row],[Reference]],metron,24,FALSE)</f>
        <v>1.8572676958928049</v>
      </c>
      <c r="CK29" s="6">
        <f>VLOOKUP(Table1[[#This Row],[Reference]],metron,25,FALSE)</f>
        <v>9.641712787649287E-2</v>
      </c>
      <c r="CL29" s="6">
        <f>VLOOKUP(Table1[[#This Row],[Reference]],metron,26,FALSE)</f>
        <v>0.11302068161957469</v>
      </c>
    </row>
    <row r="30" spans="1:90" hidden="1" x14ac:dyDescent="0.45">
      <c r="A30" t="s">
        <v>696</v>
      </c>
      <c r="B30">
        <v>1628899200</v>
      </c>
      <c r="C30" s="23" t="s">
        <v>168</v>
      </c>
      <c r="D30" t="s">
        <v>65</v>
      </c>
      <c r="E30" t="s">
        <v>66</v>
      </c>
      <c r="F30" t="s">
        <v>102</v>
      </c>
      <c r="G30" t="s">
        <v>107</v>
      </c>
      <c r="H30" t="s">
        <v>80</v>
      </c>
      <c r="I30">
        <f>MROUND(Table1[[#This Row],[ProbH]]*100,2)/100</f>
        <v>0.38</v>
      </c>
      <c r="J30">
        <f>1/Table1[[#This Row],[odds_ft_home_team_win]]-Table1[[#This Row],[Margin]]</f>
        <v>0.3719298245614035</v>
      </c>
      <c r="K30">
        <f>1/Table1[[#This Row],[odds_ft_draw]]-Table1[[#This Row],[Margin]]</f>
        <v>0.30526315789473679</v>
      </c>
      <c r="L30">
        <f>1/Table1[[#This Row],[odds_ft_away_team_win]]-Table1[[#This Row],[Margin]]</f>
        <v>0.3228070175438596</v>
      </c>
      <c r="M30">
        <v>4</v>
      </c>
      <c r="N30">
        <v>0</v>
      </c>
      <c r="O30">
        <v>1.5</v>
      </c>
      <c r="P30">
        <v>1.38</v>
      </c>
      <c r="Q30">
        <v>1.48</v>
      </c>
      <c r="R30" t="str" cm="1">
        <f t="array" ref="R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0">
        <v>1</v>
      </c>
      <c r="T30">
        <v>1</v>
      </c>
      <c r="U30">
        <v>2</v>
      </c>
      <c r="V30">
        <v>1</v>
      </c>
      <c r="W30">
        <v>1</v>
      </c>
      <c r="X30">
        <v>0</v>
      </c>
      <c r="Y30" t="s">
        <v>169</v>
      </c>
      <c r="Z30">
        <v>56</v>
      </c>
      <c r="AA30">
        <v>9</v>
      </c>
      <c r="AB30">
        <v>3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2</v>
      </c>
      <c r="AK30">
        <v>18</v>
      </c>
      <c r="AL30">
        <v>14</v>
      </c>
      <c r="AM30">
        <v>9</v>
      </c>
      <c r="AN30">
        <v>4</v>
      </c>
      <c r="AO30">
        <v>9</v>
      </c>
      <c r="AP30">
        <v>10</v>
      </c>
      <c r="AQ30">
        <v>10</v>
      </c>
      <c r="AR30">
        <v>12</v>
      </c>
      <c r="AS30">
        <v>45</v>
      </c>
      <c r="AT30">
        <v>55</v>
      </c>
      <c r="AU30">
        <v>2.02</v>
      </c>
      <c r="AV30">
        <v>1.5</v>
      </c>
      <c r="AW30">
        <v>2.75</v>
      </c>
      <c r="AX30">
        <v>50</v>
      </c>
      <c r="AY30">
        <v>100</v>
      </c>
      <c r="AZ30">
        <v>50</v>
      </c>
      <c r="BA30">
        <v>25</v>
      </c>
      <c r="BB30">
        <v>0</v>
      </c>
      <c r="BC30">
        <v>25</v>
      </c>
      <c r="BD30">
        <v>50</v>
      </c>
      <c r="BE30">
        <v>100</v>
      </c>
      <c r="BF30">
        <v>100</v>
      </c>
      <c r="BG30">
        <v>8.5</v>
      </c>
      <c r="BH30">
        <v>2</v>
      </c>
      <c r="BI30">
        <v>2.5</v>
      </c>
      <c r="BJ30">
        <v>3</v>
      </c>
      <c r="BK30">
        <v>2.85</v>
      </c>
      <c r="BL30">
        <f>(1/Table1[[#This Row],[odds_ft_home_team_win]]+1/Table1[[#This Row],[odds_ft_draw]]+1/Table1[[#This Row],[odds_ft_away_team_win]]-1)/3</f>
        <v>2.8070175438596506E-2</v>
      </c>
      <c r="BM30">
        <v>1.5</v>
      </c>
      <c r="BN30">
        <v>2.4</v>
      </c>
      <c r="BO30">
        <v>4.0999999999999996</v>
      </c>
      <c r="BP30">
        <v>8.25</v>
      </c>
      <c r="BQ30">
        <v>2.1</v>
      </c>
      <c r="BR30">
        <v>1.71</v>
      </c>
      <c r="BS30" t="s">
        <v>124</v>
      </c>
      <c r="BT30">
        <f>VLOOKUP(Table1[[#This Row],[Reference]],metron,8,FALSE)</f>
        <v>1.464160929441638</v>
      </c>
      <c r="BU30">
        <f>VLOOKUP(Table1[[#This Row],[Reference]],metron,9,FALSE)</f>
        <v>1.2477119808919459</v>
      </c>
      <c r="BV30">
        <f>VLOOKUP(Table1[[#This Row],[Reference]],metron,10,FALSE)</f>
        <v>2.4900895140664963</v>
      </c>
      <c r="BW30">
        <f>VLOOKUP(Table1[[#This Row],[Reference]],metron,11,FALSE)</f>
        <v>1.330562659846547</v>
      </c>
      <c r="BX30">
        <f>VLOOKUP(Table1[[#This Row],[Reference]],metron,12,FALSE)</f>
        <v>1.1595268542199491</v>
      </c>
      <c r="BY30" s="6">
        <f>VLOOKUP(Table1[[#This Row],[Reference]],metron,13,FALSE)</f>
        <v>0.59053607588191415</v>
      </c>
      <c r="BZ30" s="6">
        <f>VLOOKUP(Table1[[#This Row],[Reference]],metron,14,FALSE)</f>
        <v>0.50069274219332838</v>
      </c>
      <c r="CA30" s="6">
        <f>VLOOKUP(Table1[[#This Row],[Reference]],metron,15,FALSE)</f>
        <v>11.79715236686391</v>
      </c>
      <c r="CB30" s="6">
        <f>VLOOKUP(Table1[[#This Row],[Reference]],metron,16,FALSE)</f>
        <v>10.317122781065089</v>
      </c>
      <c r="CC30" s="6">
        <f>VLOOKUP(Table1[[#This Row],[Reference]],metron,17,FALSE)</f>
        <v>5.0637025966747622</v>
      </c>
      <c r="CD30" s="6">
        <f>VLOOKUP(Table1[[#This Row],[Reference]],metron,18,FALSE)</f>
        <v>4.4674014571268454</v>
      </c>
      <c r="CE30" s="6">
        <f>VLOOKUP(Table1[[#This Row],[Reference]],metron,19,FALSE)</f>
        <v>6.7334497701891483</v>
      </c>
      <c r="CF30" s="6">
        <f>VLOOKUP(Table1[[#This Row],[Reference]],metron,20,FALSE)</f>
        <v>5.849721323938244</v>
      </c>
      <c r="CG30" s="6">
        <f>VLOOKUP(Table1[[#This Row],[Reference]],metron,21,FALSE)</f>
        <v>12.89644194756554</v>
      </c>
      <c r="CH30" s="6">
        <f>VLOOKUP(Table1[[#This Row],[Reference]],metron,22,FALSE)</f>
        <v>13.3434456928839</v>
      </c>
      <c r="CI30" s="6">
        <f>VLOOKUP(Table1[[#This Row],[Reference]],metron,23,FALSE)</f>
        <v>1.6144382124117971</v>
      </c>
      <c r="CJ30" s="6">
        <f>VLOOKUP(Table1[[#This Row],[Reference]],metron,24,FALSE)</f>
        <v>1.9032024606477289</v>
      </c>
      <c r="CK30" s="6">
        <f>VLOOKUP(Table1[[#This Row],[Reference]],metron,25,FALSE)</f>
        <v>9.372172969060974E-2</v>
      </c>
      <c r="CL30" s="6">
        <f>VLOOKUP(Table1[[#This Row],[Reference]],metron,26,FALSE)</f>
        <v>0.11669983716301791</v>
      </c>
    </row>
    <row r="31" spans="1:90" hidden="1" x14ac:dyDescent="0.45">
      <c r="A31" t="s">
        <v>696</v>
      </c>
      <c r="B31">
        <v>1628906400</v>
      </c>
      <c r="C31" s="23" t="s">
        <v>170</v>
      </c>
      <c r="D31" t="s">
        <v>65</v>
      </c>
      <c r="E31" t="s">
        <v>66</v>
      </c>
      <c r="F31" t="s">
        <v>78</v>
      </c>
      <c r="G31" t="s">
        <v>106</v>
      </c>
      <c r="H31" t="s">
        <v>171</v>
      </c>
      <c r="I31">
        <f>MROUND(Table1[[#This Row],[ProbH]]*100,2)/100</f>
        <v>0.34</v>
      </c>
      <c r="J31">
        <f>1/Table1[[#This Row],[odds_ft_home_team_win]]-Table1[[#This Row],[Margin]]</f>
        <v>0.34334963894712323</v>
      </c>
      <c r="K31">
        <f>1/Table1[[#This Row],[odds_ft_draw]]-Table1[[#This Row],[Margin]]</f>
        <v>0.30631260191008619</v>
      </c>
      <c r="L31">
        <f>1/Table1[[#This Row],[odds_ft_away_team_win]]-Table1[[#This Row],[Margin]]</f>
        <v>0.35033775914279064</v>
      </c>
      <c r="M31">
        <v>4</v>
      </c>
      <c r="N31">
        <v>0</v>
      </c>
      <c r="O31">
        <v>0</v>
      </c>
      <c r="P31">
        <v>0.88</v>
      </c>
      <c r="Q31">
        <v>0.53</v>
      </c>
      <c r="R31" t="str" cm="1">
        <f t="array" ref="R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1">
        <v>1</v>
      </c>
      <c r="T31">
        <v>1</v>
      </c>
      <c r="U31">
        <v>2</v>
      </c>
      <c r="V31">
        <v>2</v>
      </c>
      <c r="W31">
        <v>1</v>
      </c>
      <c r="X31">
        <v>1</v>
      </c>
      <c r="Y31" t="s">
        <v>172</v>
      </c>
      <c r="Z31">
        <v>8</v>
      </c>
      <c r="AA31">
        <v>3</v>
      </c>
      <c r="AB31">
        <v>4</v>
      </c>
      <c r="AC31">
        <v>2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18</v>
      </c>
      <c r="AL31">
        <v>9</v>
      </c>
      <c r="AM31">
        <v>6</v>
      </c>
      <c r="AN31">
        <v>4</v>
      </c>
      <c r="AO31">
        <v>12</v>
      </c>
      <c r="AP31">
        <v>5</v>
      </c>
      <c r="AQ31">
        <v>11</v>
      </c>
      <c r="AR31">
        <v>17</v>
      </c>
      <c r="AS31">
        <v>69</v>
      </c>
      <c r="AT31">
        <v>31</v>
      </c>
      <c r="AU31">
        <v>2</v>
      </c>
      <c r="AV31">
        <v>1.04</v>
      </c>
      <c r="AW31">
        <v>3.5</v>
      </c>
      <c r="AX31">
        <v>100</v>
      </c>
      <c r="AY31">
        <v>100</v>
      </c>
      <c r="AZ31">
        <v>100</v>
      </c>
      <c r="BA31">
        <v>50</v>
      </c>
      <c r="BB31">
        <v>0</v>
      </c>
      <c r="BC31">
        <v>50</v>
      </c>
      <c r="BD31">
        <v>100</v>
      </c>
      <c r="BE31">
        <v>100</v>
      </c>
      <c r="BF31">
        <v>100</v>
      </c>
      <c r="BG31">
        <v>13</v>
      </c>
      <c r="BH31">
        <v>2</v>
      </c>
      <c r="BI31">
        <v>2.7</v>
      </c>
      <c r="BJ31">
        <v>3</v>
      </c>
      <c r="BK31">
        <v>2.65</v>
      </c>
      <c r="BL31">
        <f>(1/Table1[[#This Row],[odds_ft_home_team_win]]+1/Table1[[#This Row],[odds_ft_draw]]+1/Table1[[#This Row],[odds_ft_away_team_win]]-1)/3</f>
        <v>2.7020731423247124E-2</v>
      </c>
      <c r="BM31">
        <v>1.47</v>
      </c>
      <c r="BN31">
        <v>2.25</v>
      </c>
      <c r="BO31">
        <v>3.9</v>
      </c>
      <c r="BP31">
        <v>7.5</v>
      </c>
      <c r="BQ31">
        <v>2</v>
      </c>
      <c r="BR31">
        <v>1.77</v>
      </c>
      <c r="BS31" t="s">
        <v>82</v>
      </c>
      <c r="BT31">
        <f>VLOOKUP(Table1[[#This Row],[Reference]],metron,8,FALSE)</f>
        <v>1.3382439854569812</v>
      </c>
      <c r="BU31">
        <f>VLOOKUP(Table1[[#This Row],[Reference]],metron,9,FALSE)</f>
        <v>1.3740319615582339</v>
      </c>
      <c r="BV31">
        <f>VLOOKUP(Table1[[#This Row],[Reference]],metron,10,FALSE)</f>
        <v>2.5229727551184897</v>
      </c>
      <c r="BW31">
        <f>VLOOKUP(Table1[[#This Row],[Reference]],metron,11,FALSE)</f>
        <v>1.228921489601805</v>
      </c>
      <c r="BX31">
        <f>VLOOKUP(Table1[[#This Row],[Reference]],metron,12,FALSE)</f>
        <v>1.2940512655166849</v>
      </c>
      <c r="BY31" s="6">
        <f>VLOOKUP(Table1[[#This Row],[Reference]],metron,13,FALSE)</f>
        <v>0.53240890035472432</v>
      </c>
      <c r="BZ31" s="6">
        <f>VLOOKUP(Table1[[#This Row],[Reference]],metron,14,FALSE)</f>
        <v>0.56514027732989358</v>
      </c>
      <c r="CA31" s="6">
        <f>VLOOKUP(Table1[[#This Row],[Reference]],metron,15,FALSE)</f>
        <v>11.417888124439131</v>
      </c>
      <c r="CB31" s="6">
        <f>VLOOKUP(Table1[[#This Row],[Reference]],metron,16,FALSE)</f>
        <v>10.76308704756207</v>
      </c>
      <c r="CC31" s="6">
        <f>VLOOKUP(Table1[[#This Row],[Reference]],metron,17,FALSE)</f>
        <v>4.8317672021824798</v>
      </c>
      <c r="CD31" s="6">
        <f>VLOOKUP(Table1[[#This Row],[Reference]],metron,18,FALSE)</f>
        <v>4.6698999696877843</v>
      </c>
      <c r="CE31" s="6">
        <f>VLOOKUP(Table1[[#This Row],[Reference]],metron,19,FALSE)</f>
        <v>6.5861209222566508</v>
      </c>
      <c r="CF31" s="6">
        <f>VLOOKUP(Table1[[#This Row],[Reference]],metron,20,FALSE)</f>
        <v>6.093187077874286</v>
      </c>
      <c r="CG31" s="6">
        <f>VLOOKUP(Table1[[#This Row],[Reference]],metron,21,FALSE)</f>
        <v>12.685679611650491</v>
      </c>
      <c r="CH31" s="6">
        <f>VLOOKUP(Table1[[#This Row],[Reference]],metron,22,FALSE)</f>
        <v>13.02639563106796</v>
      </c>
      <c r="CI31" s="6">
        <f>VLOOKUP(Table1[[#This Row],[Reference]],metron,23,FALSE)</f>
        <v>1.6481211768132831</v>
      </c>
      <c r="CJ31" s="6">
        <f>VLOOKUP(Table1[[#This Row],[Reference]],metron,24,FALSE)</f>
        <v>1.8572676958928049</v>
      </c>
      <c r="CK31" s="6">
        <f>VLOOKUP(Table1[[#This Row],[Reference]],metron,25,FALSE)</f>
        <v>9.641712787649287E-2</v>
      </c>
      <c r="CL31" s="6">
        <f>VLOOKUP(Table1[[#This Row],[Reference]],metron,26,FALSE)</f>
        <v>0.11302068161957469</v>
      </c>
    </row>
    <row r="32" spans="1:90" hidden="1" x14ac:dyDescent="0.45">
      <c r="A32" t="s">
        <v>696</v>
      </c>
      <c r="B32">
        <v>1628978400</v>
      </c>
      <c r="C32" s="23" t="s">
        <v>173</v>
      </c>
      <c r="D32" t="s">
        <v>65</v>
      </c>
      <c r="E32" t="s">
        <v>66</v>
      </c>
      <c r="F32" t="s">
        <v>96</v>
      </c>
      <c r="G32" t="s">
        <v>67</v>
      </c>
      <c r="H32" t="s">
        <v>103</v>
      </c>
      <c r="I32">
        <f>MROUND(Table1[[#This Row],[ProbH]]*100,2)/100</f>
        <v>0.48</v>
      </c>
      <c r="J32">
        <f>1/Table1[[#This Row],[odds_ft_home_team_win]]-Table1[[#This Row],[Margin]]</f>
        <v>0.47603485838779952</v>
      </c>
      <c r="K32">
        <f>1/Table1[[#This Row],[odds_ft_draw]]-Table1[[#This Row],[Margin]]</f>
        <v>0.27015250544662306</v>
      </c>
      <c r="L32">
        <f>1/Table1[[#This Row],[odds_ft_away_team_win]]-Table1[[#This Row],[Margin]]</f>
        <v>0.25381263616557731</v>
      </c>
      <c r="M32">
        <v>4</v>
      </c>
      <c r="N32">
        <v>0.5</v>
      </c>
      <c r="O32">
        <v>1</v>
      </c>
      <c r="P32">
        <v>1.58</v>
      </c>
      <c r="Q32">
        <v>0.65</v>
      </c>
      <c r="R32" t="str" cm="1">
        <f t="array" ref="R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AA32">
        <v>2</v>
      </c>
      <c r="AB32">
        <v>6</v>
      </c>
      <c r="AC32">
        <v>3</v>
      </c>
      <c r="AD32">
        <v>1</v>
      </c>
      <c r="AE32">
        <v>1</v>
      </c>
      <c r="AF32">
        <v>0</v>
      </c>
      <c r="AG32">
        <v>2</v>
      </c>
      <c r="AH32">
        <v>2</v>
      </c>
      <c r="AI32">
        <v>0</v>
      </c>
      <c r="AJ32">
        <v>1</v>
      </c>
      <c r="AK32">
        <v>17</v>
      </c>
      <c r="AL32">
        <v>13</v>
      </c>
      <c r="AM32">
        <v>4</v>
      </c>
      <c r="AN32">
        <v>7</v>
      </c>
      <c r="AO32">
        <v>13</v>
      </c>
      <c r="AP32">
        <v>6</v>
      </c>
      <c r="AQ32">
        <v>12</v>
      </c>
      <c r="AR32">
        <v>10</v>
      </c>
      <c r="AS32">
        <v>41</v>
      </c>
      <c r="AT32">
        <v>59</v>
      </c>
      <c r="AU32">
        <v>1.54</v>
      </c>
      <c r="AV32">
        <v>1.7</v>
      </c>
      <c r="AW32">
        <v>2</v>
      </c>
      <c r="AX32">
        <v>75</v>
      </c>
      <c r="AY32">
        <v>75</v>
      </c>
      <c r="AZ32">
        <v>25</v>
      </c>
      <c r="BA32">
        <v>25</v>
      </c>
      <c r="BB32">
        <v>0</v>
      </c>
      <c r="BC32">
        <v>25</v>
      </c>
      <c r="BD32">
        <v>75</v>
      </c>
      <c r="BE32">
        <v>0</v>
      </c>
      <c r="BF32">
        <v>75</v>
      </c>
      <c r="BG32">
        <v>9.5</v>
      </c>
      <c r="BH32">
        <v>5.5</v>
      </c>
      <c r="BI32">
        <v>2</v>
      </c>
      <c r="BJ32">
        <v>3.4</v>
      </c>
      <c r="BK32">
        <v>3.6</v>
      </c>
      <c r="BL32">
        <f>(1/Table1[[#This Row],[odds_ft_home_team_win]]+1/Table1[[#This Row],[odds_ft_draw]]+1/Table1[[#This Row],[odds_ft_away_team_win]]-1)/3</f>
        <v>2.3965141612200497E-2</v>
      </c>
      <c r="BM32">
        <v>1.33</v>
      </c>
      <c r="BN32">
        <v>2.1</v>
      </c>
      <c r="BO32">
        <v>3.9</v>
      </c>
      <c r="BP32">
        <v>7.5</v>
      </c>
      <c r="BQ32">
        <v>2</v>
      </c>
      <c r="BR32">
        <v>1.77</v>
      </c>
      <c r="BS32" t="s">
        <v>99</v>
      </c>
      <c r="BT32">
        <f>VLOOKUP(Table1[[#This Row],[Reference]],metron,8,FALSE)</f>
        <v>1.743992017160418</v>
      </c>
      <c r="BU32">
        <f>VLOOKUP(Table1[[#This Row],[Reference]],metron,9,FALSE)</f>
        <v>0.97803937284245479</v>
      </c>
      <c r="BV32">
        <f>VLOOKUP(Table1[[#This Row],[Reference]],metron,10,FALSE)</f>
        <v>2.5271929824561399</v>
      </c>
      <c r="BW32">
        <f>VLOOKUP(Table1[[#This Row],[Reference]],metron,11,FALSE)</f>
        <v>1.510877192982456</v>
      </c>
      <c r="BX32">
        <f>VLOOKUP(Table1[[#This Row],[Reference]],metron,12,FALSE)</f>
        <v>1.0163157894736841</v>
      </c>
      <c r="BY32" s="6">
        <f>VLOOKUP(Table1[[#This Row],[Reference]],metron,13,FALSE)</f>
        <v>0.67350877192982461</v>
      </c>
      <c r="BZ32" s="6">
        <f>VLOOKUP(Table1[[#This Row],[Reference]],metron,14,FALSE)</f>
        <v>0.4442105263157895</v>
      </c>
      <c r="CA32" s="6">
        <f>VLOOKUP(Table1[[#This Row],[Reference]],metron,15,FALSE)</f>
        <v>12.80980392156863</v>
      </c>
      <c r="CB32" s="6">
        <f>VLOOKUP(Table1[[#This Row],[Reference]],metron,16,FALSE)</f>
        <v>9.6872549019607845</v>
      </c>
      <c r="CC32" s="6">
        <f>VLOOKUP(Table1[[#This Row],[Reference]],metron,17,FALSE)</f>
        <v>5.6491169610129957</v>
      </c>
      <c r="CD32" s="6">
        <f>VLOOKUP(Table1[[#This Row],[Reference]],metron,18,FALSE)</f>
        <v>4.1379540153282237</v>
      </c>
      <c r="CE32" s="6">
        <f>VLOOKUP(Table1[[#This Row],[Reference]],metron,19,FALSE)</f>
        <v>7.1606869605556343</v>
      </c>
      <c r="CF32" s="6">
        <f>VLOOKUP(Table1[[#This Row],[Reference]],metron,20,FALSE)</f>
        <v>5.5493008866325608</v>
      </c>
      <c r="CG32" s="6">
        <f>VLOOKUP(Table1[[#This Row],[Reference]],metron,21,FALSE)</f>
        <v>12.9029029029029</v>
      </c>
      <c r="CH32" s="6">
        <f>VLOOKUP(Table1[[#This Row],[Reference]],metron,22,FALSE)</f>
        <v>13.75508842175509</v>
      </c>
      <c r="CI32" s="6">
        <f>VLOOKUP(Table1[[#This Row],[Reference]],metron,23,FALSE)</f>
        <v>1.5287356321839081</v>
      </c>
      <c r="CJ32" s="6">
        <f>VLOOKUP(Table1[[#This Row],[Reference]],metron,24,FALSE)</f>
        <v>1.9664750957854411</v>
      </c>
      <c r="CK32" s="6">
        <f>VLOOKUP(Table1[[#This Row],[Reference]],metron,25,FALSE)</f>
        <v>8.8441890166028103E-2</v>
      </c>
      <c r="CL32" s="6">
        <f>VLOOKUP(Table1[[#This Row],[Reference]],metron,26,FALSE)</f>
        <v>0.13409961685823751</v>
      </c>
    </row>
    <row r="33" spans="1:90" hidden="1" x14ac:dyDescent="0.45">
      <c r="A33" t="s">
        <v>696</v>
      </c>
      <c r="B33">
        <v>1628985600</v>
      </c>
      <c r="C33" s="23" t="s">
        <v>174</v>
      </c>
      <c r="D33" t="s">
        <v>65</v>
      </c>
      <c r="E33" t="s">
        <v>66</v>
      </c>
      <c r="F33" t="s">
        <v>85</v>
      </c>
      <c r="G33" t="s">
        <v>113</v>
      </c>
      <c r="H33" t="s">
        <v>175</v>
      </c>
      <c r="I33">
        <f>MROUND(Table1[[#This Row],[ProbH]]*100,2)/100</f>
        <v>0.6</v>
      </c>
      <c r="J33">
        <f>1/Table1[[#This Row],[odds_ft_home_team_win]]-Table1[[#This Row],[Margin]]</f>
        <v>0.59503105590062111</v>
      </c>
      <c r="K33">
        <f>1/Table1[[#This Row],[odds_ft_draw]]-Table1[[#This Row],[Margin]]</f>
        <v>0.24057971014492754</v>
      </c>
      <c r="L33">
        <f>1/Table1[[#This Row],[odds_ft_away_team_win]]-Table1[[#This Row],[Margin]]</f>
        <v>0.16438923395445135</v>
      </c>
      <c r="M33">
        <v>4</v>
      </c>
      <c r="N33">
        <v>3</v>
      </c>
      <c r="O33">
        <v>3</v>
      </c>
      <c r="P33">
        <v>1.55</v>
      </c>
      <c r="Q33">
        <v>0.72</v>
      </c>
      <c r="R33" t="str" cm="1">
        <f t="array" ref="R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">
        <v>3</v>
      </c>
      <c r="T33">
        <v>0</v>
      </c>
      <c r="U33">
        <v>3</v>
      </c>
      <c r="V33">
        <v>1</v>
      </c>
      <c r="W33">
        <v>1</v>
      </c>
      <c r="X33">
        <v>0</v>
      </c>
      <c r="Y33" t="s">
        <v>176</v>
      </c>
      <c r="AA33">
        <v>4</v>
      </c>
      <c r="AB33">
        <v>3</v>
      </c>
      <c r="AC33">
        <v>0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1</v>
      </c>
      <c r="AJ33">
        <v>2</v>
      </c>
      <c r="AK33">
        <v>6</v>
      </c>
      <c r="AL33">
        <v>6</v>
      </c>
      <c r="AM33">
        <v>5</v>
      </c>
      <c r="AN33">
        <v>3</v>
      </c>
      <c r="AO33">
        <v>1</v>
      </c>
      <c r="AP33">
        <v>3</v>
      </c>
      <c r="AQ33">
        <v>11</v>
      </c>
      <c r="AR33">
        <v>8</v>
      </c>
      <c r="AS33">
        <v>59</v>
      </c>
      <c r="AT33">
        <v>41</v>
      </c>
      <c r="AU33">
        <v>1.07</v>
      </c>
      <c r="AV33">
        <v>0.77</v>
      </c>
      <c r="AW33">
        <v>2.5</v>
      </c>
      <c r="AX33">
        <v>50</v>
      </c>
      <c r="AY33">
        <v>100</v>
      </c>
      <c r="AZ33">
        <v>50</v>
      </c>
      <c r="BA33">
        <v>0</v>
      </c>
      <c r="BB33">
        <v>0</v>
      </c>
      <c r="BC33">
        <v>0</v>
      </c>
      <c r="BD33">
        <v>100</v>
      </c>
      <c r="BE33">
        <v>50</v>
      </c>
      <c r="BF33">
        <v>100</v>
      </c>
      <c r="BG33">
        <v>7</v>
      </c>
      <c r="BH33">
        <v>4</v>
      </c>
      <c r="BI33">
        <v>1.61</v>
      </c>
      <c r="BJ33">
        <v>3.75</v>
      </c>
      <c r="BK33">
        <v>5.25</v>
      </c>
      <c r="BL33">
        <f>(1/Table1[[#This Row],[odds_ft_home_team_win]]+1/Table1[[#This Row],[odds_ft_draw]]+1/Table1[[#This Row],[odds_ft_away_team_win]]-1)/3</f>
        <v>2.6086956521739129E-2</v>
      </c>
      <c r="BM33">
        <v>1.25</v>
      </c>
      <c r="BN33">
        <v>1.71</v>
      </c>
      <c r="BO33">
        <v>2.65</v>
      </c>
      <c r="BP33">
        <v>4.7</v>
      </c>
      <c r="BQ33">
        <v>1.77</v>
      </c>
      <c r="BR33">
        <v>2.0499999999999998</v>
      </c>
      <c r="BS33" t="s">
        <v>128</v>
      </c>
      <c r="BT33">
        <f>VLOOKUP(Table1[[#This Row],[Reference]],metron,8,FALSE)</f>
        <v>2.0749792289385525</v>
      </c>
      <c r="BU33">
        <f>VLOOKUP(Table1[[#This Row],[Reference]],metron,9,FALSE)</f>
        <v>0.68220664089703831</v>
      </c>
      <c r="BV33">
        <f>VLOOKUP(Table1[[#This Row],[Reference]],metron,10,FALSE)</f>
        <v>2.7310090702947849</v>
      </c>
      <c r="BW33">
        <f>VLOOKUP(Table1[[#This Row],[Reference]],metron,11,FALSE)</f>
        <v>1.841836734693878</v>
      </c>
      <c r="BX33">
        <f>VLOOKUP(Table1[[#This Row],[Reference]],metron,12,FALSE)</f>
        <v>0.88917233560090703</v>
      </c>
      <c r="BY33" s="6">
        <f>VLOOKUP(Table1[[#This Row],[Reference]],metron,13,FALSE)</f>
        <v>0.804822695035461</v>
      </c>
      <c r="BZ33" s="6">
        <f>VLOOKUP(Table1[[#This Row],[Reference]],metron,14,FALSE)</f>
        <v>0.38099290780141842</v>
      </c>
      <c r="CA33" s="6">
        <f>VLOOKUP(Table1[[#This Row],[Reference]],metron,15,FALSE)</f>
        <v>14.25174825174825</v>
      </c>
      <c r="CB33" s="6">
        <f>VLOOKUP(Table1[[#This Row],[Reference]],metron,16,FALSE)</f>
        <v>8.8316683316683324</v>
      </c>
      <c r="CC33" s="6">
        <f>VLOOKUP(Table1[[#This Row],[Reference]],metron,17,FALSE)</f>
        <v>6.2901265822784813</v>
      </c>
      <c r="CD33" s="6">
        <f>VLOOKUP(Table1[[#This Row],[Reference]],metron,18,FALSE)</f>
        <v>3.6162025316455702</v>
      </c>
      <c r="CE33" s="6">
        <f>VLOOKUP(Table1[[#This Row],[Reference]],metron,19,FALSE)</f>
        <v>7.9616216694697686</v>
      </c>
      <c r="CF33" s="6">
        <f>VLOOKUP(Table1[[#This Row],[Reference]],metron,20,FALSE)</f>
        <v>5.2154658000227627</v>
      </c>
      <c r="CG33" s="6">
        <f>VLOOKUP(Table1[[#This Row],[Reference]],metron,21,FALSE)</f>
        <v>12.444895886236671</v>
      </c>
      <c r="CH33" s="6">
        <f>VLOOKUP(Table1[[#This Row],[Reference]],metron,22,FALSE)</f>
        <v>13.620619603859829</v>
      </c>
      <c r="CI33" s="6">
        <f>VLOOKUP(Table1[[#This Row],[Reference]],metron,23,FALSE)</f>
        <v>1.406084017382907</v>
      </c>
      <c r="CJ33" s="6">
        <f>VLOOKUP(Table1[[#This Row],[Reference]],metron,24,FALSE)</f>
        <v>2.070980202800579</v>
      </c>
      <c r="CK33" s="6">
        <f>VLOOKUP(Table1[[#This Row],[Reference]],metron,25,FALSE)</f>
        <v>6.1323032351521013E-2</v>
      </c>
      <c r="CL33" s="6">
        <f>VLOOKUP(Table1[[#This Row],[Reference]],metron,26,FALSE)</f>
        <v>0.1313375181071946</v>
      </c>
    </row>
    <row r="34" spans="1:90" hidden="1" x14ac:dyDescent="0.45">
      <c r="A34" t="s">
        <v>696</v>
      </c>
      <c r="B34">
        <v>1628992800</v>
      </c>
      <c r="C34" s="23" t="s">
        <v>177</v>
      </c>
      <c r="D34" t="s">
        <v>65</v>
      </c>
      <c r="E34" t="s">
        <v>66</v>
      </c>
      <c r="F34" t="s">
        <v>112</v>
      </c>
      <c r="G34" t="s">
        <v>79</v>
      </c>
      <c r="H34" t="s">
        <v>122</v>
      </c>
      <c r="I34">
        <f>MROUND(Table1[[#This Row],[ProbH]]*100,2)/100</f>
        <v>0.54</v>
      </c>
      <c r="J34">
        <f>1/Table1[[#This Row],[odds_ft_home_team_win]]-Table1[[#This Row],[Margin]]</f>
        <v>0.54724432655467137</v>
      </c>
      <c r="K34">
        <f>1/Table1[[#This Row],[odds_ft_draw]]-Table1[[#This Row],[Margin]]</f>
        <v>0.28022399056881819</v>
      </c>
      <c r="L34">
        <f>1/Table1[[#This Row],[odds_ft_away_team_win]]-Table1[[#This Row],[Margin]]</f>
        <v>0.17253168287651049</v>
      </c>
      <c r="M34">
        <v>4</v>
      </c>
      <c r="N34">
        <v>0</v>
      </c>
      <c r="O34">
        <v>3</v>
      </c>
      <c r="P34">
        <v>1.25</v>
      </c>
      <c r="Q34">
        <v>1.29</v>
      </c>
      <c r="R34" t="str" cm="1">
        <f t="array" ref="R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">
        <v>4</v>
      </c>
      <c r="T34">
        <v>0</v>
      </c>
      <c r="U34">
        <v>4</v>
      </c>
      <c r="V34">
        <v>3</v>
      </c>
      <c r="W34">
        <v>3</v>
      </c>
      <c r="X34">
        <v>0</v>
      </c>
      <c r="Y34" t="s">
        <v>178</v>
      </c>
      <c r="AA34">
        <v>0</v>
      </c>
      <c r="AB34">
        <v>4</v>
      </c>
      <c r="AC34">
        <v>2</v>
      </c>
      <c r="AD34">
        <v>0</v>
      </c>
      <c r="AE34">
        <v>3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16</v>
      </c>
      <c r="AM34">
        <v>6</v>
      </c>
      <c r="AN34">
        <v>6</v>
      </c>
      <c r="AO34">
        <v>6</v>
      </c>
      <c r="AP34">
        <v>10</v>
      </c>
      <c r="AQ34">
        <v>16</v>
      </c>
      <c r="AR34">
        <v>8</v>
      </c>
      <c r="AS34">
        <v>55</v>
      </c>
      <c r="AT34">
        <v>45</v>
      </c>
      <c r="AU34">
        <v>1.43</v>
      </c>
      <c r="AV34">
        <v>1.74</v>
      </c>
      <c r="AW34">
        <v>2.5</v>
      </c>
      <c r="AX34">
        <v>25</v>
      </c>
      <c r="AY34">
        <v>100</v>
      </c>
      <c r="AZ34">
        <v>25</v>
      </c>
      <c r="BA34">
        <v>25</v>
      </c>
      <c r="BB34">
        <v>0</v>
      </c>
      <c r="BC34">
        <v>25</v>
      </c>
      <c r="BD34">
        <v>100</v>
      </c>
      <c r="BE34">
        <v>25</v>
      </c>
      <c r="BF34">
        <v>100</v>
      </c>
      <c r="BG34">
        <v>9.5</v>
      </c>
      <c r="BH34">
        <v>3</v>
      </c>
      <c r="BI34">
        <v>1.74</v>
      </c>
      <c r="BJ34">
        <v>3.25</v>
      </c>
      <c r="BK34">
        <v>5</v>
      </c>
      <c r="BL34">
        <f>(1/Table1[[#This Row],[odds_ft_home_team_win]]+1/Table1[[#This Row],[odds_ft_draw]]+1/Table1[[#This Row],[odds_ft_away_team_win]]-1)/3</f>
        <v>2.7468317123489516E-2</v>
      </c>
      <c r="BM34">
        <v>1.36</v>
      </c>
      <c r="BN34">
        <v>2</v>
      </c>
      <c r="BO34">
        <v>3.25</v>
      </c>
      <c r="BP34">
        <v>6</v>
      </c>
      <c r="BQ34">
        <v>1.91</v>
      </c>
      <c r="BR34">
        <v>1.87</v>
      </c>
      <c r="BS34" t="s">
        <v>116</v>
      </c>
      <c r="BT34">
        <f>VLOOKUP(Table1[[#This Row],[Reference]],metron,8,FALSE)</f>
        <v>1.915666026436746</v>
      </c>
      <c r="BU34">
        <f>VLOOKUP(Table1[[#This Row],[Reference]],metron,9,FALSE)</f>
        <v>0.82283834599204153</v>
      </c>
      <c r="BV34">
        <f>VLOOKUP(Table1[[#This Row],[Reference]],metron,10,FALSE)</f>
        <v>2.6359702267612941</v>
      </c>
      <c r="BW34">
        <f>VLOOKUP(Table1[[#This Row],[Reference]],metron,11,FALSE)</f>
        <v>1.684957590444867</v>
      </c>
      <c r="BX34">
        <f>VLOOKUP(Table1[[#This Row],[Reference]],metron,12,FALSE)</f>
        <v>0.95101263631642718</v>
      </c>
      <c r="BY34" s="6">
        <f>VLOOKUP(Table1[[#This Row],[Reference]],metron,13,FALSE)</f>
        <v>0.72650164445213783</v>
      </c>
      <c r="BZ34" s="6">
        <f>VLOOKUP(Table1[[#This Row],[Reference]],metron,14,FALSE)</f>
        <v>0.42097974727367138</v>
      </c>
      <c r="CA34" s="6">
        <f>VLOOKUP(Table1[[#This Row],[Reference]],metron,15,FALSE)</f>
        <v>13.338806970509379</v>
      </c>
      <c r="CB34" s="6">
        <f>VLOOKUP(Table1[[#This Row],[Reference]],metron,16,FALSE)</f>
        <v>9.2530160857908843</v>
      </c>
      <c r="CC34" s="6">
        <f>VLOOKUP(Table1[[#This Row],[Reference]],metron,17,FALSE)</f>
        <v>5.9915081521739131</v>
      </c>
      <c r="CD34" s="6">
        <f>VLOOKUP(Table1[[#This Row],[Reference]],metron,18,FALSE)</f>
        <v>3.9772418478260869</v>
      </c>
      <c r="CE34" s="6">
        <f>VLOOKUP(Table1[[#This Row],[Reference]],metron,19,FALSE)</f>
        <v>7.3472988183354664</v>
      </c>
      <c r="CF34" s="6">
        <f>VLOOKUP(Table1[[#This Row],[Reference]],metron,20,FALSE)</f>
        <v>5.2757742379647974</v>
      </c>
      <c r="CG34" s="6">
        <f>VLOOKUP(Table1[[#This Row],[Reference]],metron,21,FALSE)</f>
        <v>12.59428182437032</v>
      </c>
      <c r="CH34" s="6">
        <f>VLOOKUP(Table1[[#This Row],[Reference]],metron,22,FALSE)</f>
        <v>13.577944179714089</v>
      </c>
      <c r="CI34" s="6">
        <f>VLOOKUP(Table1[[#This Row],[Reference]],metron,23,FALSE)</f>
        <v>1.4276913099870301</v>
      </c>
      <c r="CJ34" s="6">
        <f>VLOOKUP(Table1[[#This Row],[Reference]],metron,24,FALSE)</f>
        <v>1.940985732814527</v>
      </c>
      <c r="CK34" s="6">
        <f>VLOOKUP(Table1[[#This Row],[Reference]],metron,25,FALSE)</f>
        <v>8.0739299610894946E-2</v>
      </c>
      <c r="CL34" s="6">
        <f>VLOOKUP(Table1[[#This Row],[Reference]],metron,26,FALSE)</f>
        <v>0.12743190661478601</v>
      </c>
    </row>
    <row r="35" spans="1:90" hidden="1" x14ac:dyDescent="0.45">
      <c r="A35" t="s">
        <v>696</v>
      </c>
      <c r="B35">
        <v>1628993160</v>
      </c>
      <c r="C35" s="23" t="s">
        <v>179</v>
      </c>
      <c r="D35" t="s">
        <v>65</v>
      </c>
      <c r="E35" t="s">
        <v>66</v>
      </c>
      <c r="F35" t="s">
        <v>101</v>
      </c>
      <c r="G35" t="s">
        <v>84</v>
      </c>
      <c r="H35" t="s">
        <v>108</v>
      </c>
      <c r="I35">
        <f>MROUND(Table1[[#This Row],[ProbH]]*100,2)/100</f>
        <v>0.52</v>
      </c>
      <c r="J35">
        <f>1/Table1[[#This Row],[odds_ft_home_team_win]]-Table1[[#This Row],[Margin]]</f>
        <v>0.52606525020318129</v>
      </c>
      <c r="K35">
        <f>1/Table1[[#This Row],[odds_ft_draw]]-Table1[[#This Row],[Margin]]</f>
        <v>0.27353999767792875</v>
      </c>
      <c r="L35">
        <f>1/Table1[[#This Row],[odds_ft_away_team_win]]-Table1[[#This Row],[Margin]]</f>
        <v>0.2003947521188901</v>
      </c>
      <c r="M35">
        <v>4</v>
      </c>
      <c r="N35">
        <v>2</v>
      </c>
      <c r="O35">
        <v>0</v>
      </c>
      <c r="P35">
        <v>1.79</v>
      </c>
      <c r="Q35">
        <v>1.42</v>
      </c>
      <c r="R35" t="str" cm="1">
        <f t="array" ref="R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">
        <v>3</v>
      </c>
      <c r="T35">
        <v>1</v>
      </c>
      <c r="U35">
        <v>4</v>
      </c>
      <c r="V35">
        <v>1</v>
      </c>
      <c r="W35">
        <v>1</v>
      </c>
      <c r="X35">
        <v>0</v>
      </c>
      <c r="Y35" t="s">
        <v>180</v>
      </c>
      <c r="Z35">
        <v>52</v>
      </c>
      <c r="AA35">
        <v>0</v>
      </c>
      <c r="AB35">
        <v>6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9</v>
      </c>
      <c r="AL35">
        <v>13</v>
      </c>
      <c r="AM35">
        <v>7</v>
      </c>
      <c r="AN35">
        <v>5</v>
      </c>
      <c r="AO35">
        <v>2</v>
      </c>
      <c r="AP35">
        <v>8</v>
      </c>
      <c r="AQ35">
        <v>12</v>
      </c>
      <c r="AR35">
        <v>6</v>
      </c>
      <c r="AS35">
        <v>49</v>
      </c>
      <c r="AT35">
        <v>51</v>
      </c>
      <c r="AU35">
        <v>1.29</v>
      </c>
      <c r="AV35">
        <v>1.53</v>
      </c>
      <c r="AW35">
        <v>2.5</v>
      </c>
      <c r="AX35">
        <v>75</v>
      </c>
      <c r="AY35">
        <v>100</v>
      </c>
      <c r="AZ35">
        <v>50</v>
      </c>
      <c r="BA35">
        <v>0</v>
      </c>
      <c r="BB35">
        <v>0</v>
      </c>
      <c r="BC35">
        <v>50</v>
      </c>
      <c r="BD35">
        <v>75</v>
      </c>
      <c r="BE35">
        <v>25</v>
      </c>
      <c r="BF35">
        <v>100</v>
      </c>
      <c r="BG35">
        <v>11</v>
      </c>
      <c r="BH35">
        <v>2.5</v>
      </c>
      <c r="BI35">
        <v>1.8</v>
      </c>
      <c r="BJ35">
        <v>3.3</v>
      </c>
      <c r="BK35">
        <v>4.3499999999999996</v>
      </c>
      <c r="BL35">
        <f>(1/Table1[[#This Row],[odds_ft_home_team_win]]+1/Table1[[#This Row],[odds_ft_draw]]+1/Table1[[#This Row],[odds_ft_away_team_win]]-1)/3</f>
        <v>2.9490305352374291E-2</v>
      </c>
      <c r="BM35">
        <v>1.36</v>
      </c>
      <c r="BN35">
        <v>2</v>
      </c>
      <c r="BO35">
        <v>3.3</v>
      </c>
      <c r="BP35">
        <v>6.25</v>
      </c>
      <c r="BQ35">
        <v>0</v>
      </c>
      <c r="BR35">
        <v>0</v>
      </c>
      <c r="BS35" t="s">
        <v>104</v>
      </c>
      <c r="BT35">
        <f>VLOOKUP(Table1[[#This Row],[Reference]],metron,8,FALSE)</f>
        <v>1.8614830167843088</v>
      </c>
      <c r="BU35">
        <f>VLOOKUP(Table1[[#This Row],[Reference]],metron,9,FALSE)</f>
        <v>0.87079851622593896</v>
      </c>
      <c r="BV35">
        <f>VLOOKUP(Table1[[#This Row],[Reference]],metron,10,FALSE)</f>
        <v>2.5967403582378576</v>
      </c>
      <c r="BW35">
        <f>VLOOKUP(Table1[[#This Row],[Reference]],metron,11,FALSE)</f>
        <v>1.625948039373891</v>
      </c>
      <c r="BX35">
        <f>VLOOKUP(Table1[[#This Row],[Reference]],metron,12,FALSE)</f>
        <v>0.97079231886396644</v>
      </c>
      <c r="BY35" s="6">
        <f>VLOOKUP(Table1[[#This Row],[Reference]],metron,13,FALSE)</f>
        <v>0.71433182698515174</v>
      </c>
      <c r="BZ35" s="6">
        <f>VLOOKUP(Table1[[#This Row],[Reference]],metron,14,FALSE)</f>
        <v>0.43011620400258233</v>
      </c>
      <c r="CA35" s="6">
        <f>VLOOKUP(Table1[[#This Row],[Reference]],metron,15,FALSE)</f>
        <v>13.39951055368614</v>
      </c>
      <c r="CB35" s="6">
        <f>VLOOKUP(Table1[[#This Row],[Reference]],metron,16,FALSE)</f>
        <v>9.4252064851636579</v>
      </c>
      <c r="CC35" s="6">
        <f>VLOOKUP(Table1[[#This Row],[Reference]],metron,17,FALSE)</f>
        <v>5.7628422023992618</v>
      </c>
      <c r="CD35" s="6">
        <f>VLOOKUP(Table1[[#This Row],[Reference]],metron,18,FALSE)</f>
        <v>3.9375576745616732</v>
      </c>
      <c r="CE35" s="6">
        <f>VLOOKUP(Table1[[#This Row],[Reference]],metron,19,FALSE)</f>
        <v>7.636668351286878</v>
      </c>
      <c r="CF35" s="6">
        <f>VLOOKUP(Table1[[#This Row],[Reference]],metron,20,FALSE)</f>
        <v>5.4876488106019847</v>
      </c>
      <c r="CG35" s="6">
        <f>VLOOKUP(Table1[[#This Row],[Reference]],metron,21,FALSE)</f>
        <v>12.460420531849101</v>
      </c>
      <c r="CH35" s="6">
        <f>VLOOKUP(Table1[[#This Row],[Reference]],metron,22,FALSE)</f>
        <v>13.44897959183673</v>
      </c>
      <c r="CI35" s="6">
        <f>VLOOKUP(Table1[[#This Row],[Reference]],metron,23,FALSE)</f>
        <v>1.462202380952381</v>
      </c>
      <c r="CJ35" s="6">
        <f>VLOOKUP(Table1[[#This Row],[Reference]],metron,24,FALSE)</f>
        <v>2.01547619047619</v>
      </c>
      <c r="CK35" s="6">
        <f>VLOOKUP(Table1[[#This Row],[Reference]],metron,25,FALSE)</f>
        <v>7.7380952380952384E-2</v>
      </c>
      <c r="CL35" s="6">
        <f>VLOOKUP(Table1[[#This Row],[Reference]],metron,26,FALSE)</f>
        <v>0.13754093480202439</v>
      </c>
    </row>
    <row r="36" spans="1:90" hidden="1" x14ac:dyDescent="0.45">
      <c r="A36" t="s">
        <v>696</v>
      </c>
      <c r="B36">
        <v>1629064800</v>
      </c>
      <c r="C36" s="23" t="s">
        <v>181</v>
      </c>
      <c r="D36" t="s">
        <v>65</v>
      </c>
      <c r="E36" t="s">
        <v>66</v>
      </c>
      <c r="F36" t="s">
        <v>97</v>
      </c>
      <c r="G36" t="s">
        <v>68</v>
      </c>
      <c r="H36" t="s">
        <v>74</v>
      </c>
      <c r="I36">
        <f>MROUND(Table1[[#This Row],[ProbH]]*100,2)/100</f>
        <v>0.34</v>
      </c>
      <c r="J36">
        <f>1/Table1[[#This Row],[odds_ft_home_team_win]]-Table1[[#This Row],[Margin]]</f>
        <v>0.33624076777739609</v>
      </c>
      <c r="K36">
        <f>1/Table1[[#This Row],[odds_ft_draw]]-Table1[[#This Row],[Margin]]</f>
        <v>0.28900614050154583</v>
      </c>
      <c r="L36">
        <f>1/Table1[[#This Row],[odds_ft_away_team_win]]-Table1[[#This Row],[Margin]]</f>
        <v>0.37475309172105803</v>
      </c>
      <c r="M36">
        <v>4</v>
      </c>
      <c r="N36">
        <v>3</v>
      </c>
      <c r="O36">
        <v>1</v>
      </c>
      <c r="P36">
        <v>1.55</v>
      </c>
      <c r="Q36">
        <v>1.53</v>
      </c>
      <c r="R36" t="str" cm="1">
        <f t="array" ref="R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Z36">
        <v>77</v>
      </c>
      <c r="AA36">
        <v>1</v>
      </c>
      <c r="AB36">
        <v>4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10</v>
      </c>
      <c r="AL36">
        <v>11</v>
      </c>
      <c r="AM36">
        <v>4</v>
      </c>
      <c r="AN36">
        <v>5</v>
      </c>
      <c r="AO36">
        <v>6</v>
      </c>
      <c r="AP36">
        <v>6</v>
      </c>
      <c r="AQ36">
        <v>13</v>
      </c>
      <c r="AR36">
        <v>12</v>
      </c>
      <c r="AS36">
        <v>56</v>
      </c>
      <c r="AT36">
        <v>44</v>
      </c>
      <c r="AU36">
        <v>1.23</v>
      </c>
      <c r="AV36">
        <v>1.29</v>
      </c>
      <c r="AW36">
        <v>1</v>
      </c>
      <c r="AX36">
        <v>0</v>
      </c>
      <c r="AY36">
        <v>50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50</v>
      </c>
      <c r="BF36">
        <v>50</v>
      </c>
      <c r="BG36">
        <v>14</v>
      </c>
      <c r="BH36">
        <v>4</v>
      </c>
      <c r="BI36">
        <v>2.84</v>
      </c>
      <c r="BJ36">
        <v>3.28</v>
      </c>
      <c r="BK36">
        <v>2.56</v>
      </c>
      <c r="BL36">
        <f>(1/Table1[[#This Row],[odds_ft_home_team_win]]+1/Table1[[#This Row],[odds_ft_draw]]+1/Table1[[#This Row],[odds_ft_away_team_win]]-1)/3</f>
        <v>1.5871908278941953E-2</v>
      </c>
      <c r="BM36">
        <v>1.42</v>
      </c>
      <c r="BN36">
        <v>2.2200000000000002</v>
      </c>
      <c r="BO36">
        <v>4.25</v>
      </c>
      <c r="BP36">
        <v>8.5</v>
      </c>
      <c r="BQ36">
        <v>2.1</v>
      </c>
      <c r="BR36">
        <v>1.71</v>
      </c>
      <c r="BS36" t="s">
        <v>136</v>
      </c>
      <c r="BT36">
        <f>VLOOKUP(Table1[[#This Row],[Reference]],metron,8,FALSE)</f>
        <v>1.3382439854569812</v>
      </c>
      <c r="BU36">
        <f>VLOOKUP(Table1[[#This Row],[Reference]],metron,9,FALSE)</f>
        <v>1.3740319615582339</v>
      </c>
      <c r="BV36">
        <f>VLOOKUP(Table1[[#This Row],[Reference]],metron,10,FALSE)</f>
        <v>2.5229727551184897</v>
      </c>
      <c r="BW36">
        <f>VLOOKUP(Table1[[#This Row],[Reference]],metron,11,FALSE)</f>
        <v>1.228921489601805</v>
      </c>
      <c r="BX36">
        <f>VLOOKUP(Table1[[#This Row],[Reference]],metron,12,FALSE)</f>
        <v>1.2940512655166849</v>
      </c>
      <c r="BY36" s="6">
        <f>VLOOKUP(Table1[[#This Row],[Reference]],metron,13,FALSE)</f>
        <v>0.53240890035472432</v>
      </c>
      <c r="BZ36" s="6">
        <f>VLOOKUP(Table1[[#This Row],[Reference]],metron,14,FALSE)</f>
        <v>0.56514027732989358</v>
      </c>
      <c r="CA36" s="6">
        <f>VLOOKUP(Table1[[#This Row],[Reference]],metron,15,FALSE)</f>
        <v>11.417888124439131</v>
      </c>
      <c r="CB36" s="6">
        <f>VLOOKUP(Table1[[#This Row],[Reference]],metron,16,FALSE)</f>
        <v>10.76308704756207</v>
      </c>
      <c r="CC36" s="6">
        <f>VLOOKUP(Table1[[#This Row],[Reference]],metron,17,FALSE)</f>
        <v>4.8317672021824798</v>
      </c>
      <c r="CD36" s="6">
        <f>VLOOKUP(Table1[[#This Row],[Reference]],metron,18,FALSE)</f>
        <v>4.6698999696877843</v>
      </c>
      <c r="CE36" s="6">
        <f>VLOOKUP(Table1[[#This Row],[Reference]],metron,19,FALSE)</f>
        <v>6.5861209222566508</v>
      </c>
      <c r="CF36" s="6">
        <f>VLOOKUP(Table1[[#This Row],[Reference]],metron,20,FALSE)</f>
        <v>6.093187077874286</v>
      </c>
      <c r="CG36" s="6">
        <f>VLOOKUP(Table1[[#This Row],[Reference]],metron,21,FALSE)</f>
        <v>12.685679611650491</v>
      </c>
      <c r="CH36" s="6">
        <f>VLOOKUP(Table1[[#This Row],[Reference]],metron,22,FALSE)</f>
        <v>13.02639563106796</v>
      </c>
      <c r="CI36" s="6">
        <f>VLOOKUP(Table1[[#This Row],[Reference]],metron,23,FALSE)</f>
        <v>1.6481211768132831</v>
      </c>
      <c r="CJ36" s="6">
        <f>VLOOKUP(Table1[[#This Row],[Reference]],metron,24,FALSE)</f>
        <v>1.8572676958928049</v>
      </c>
      <c r="CK36" s="6">
        <f>VLOOKUP(Table1[[#This Row],[Reference]],metron,25,FALSE)</f>
        <v>9.641712787649287E-2</v>
      </c>
      <c r="CL36" s="6">
        <f>VLOOKUP(Table1[[#This Row],[Reference]],metron,26,FALSE)</f>
        <v>0.11302068161957469</v>
      </c>
    </row>
    <row r="37" spans="1:90" hidden="1" x14ac:dyDescent="0.45">
      <c r="A37" t="s">
        <v>696</v>
      </c>
      <c r="B37">
        <v>1629072360</v>
      </c>
      <c r="C37" s="23" t="s">
        <v>182</v>
      </c>
      <c r="D37" t="s">
        <v>65</v>
      </c>
      <c r="E37" t="s">
        <v>66</v>
      </c>
      <c r="F37" t="s">
        <v>73</v>
      </c>
      <c r="G37" t="s">
        <v>90</v>
      </c>
      <c r="H37" t="s">
        <v>98</v>
      </c>
      <c r="I37">
        <f>MROUND(Table1[[#This Row],[ProbH]]*100,2)/100</f>
        <v>0.46</v>
      </c>
      <c r="J37">
        <f>1/Table1[[#This Row],[odds_ft_home_team_win]]-Table1[[#This Row],[Margin]]</f>
        <v>0.46091961355533351</v>
      </c>
      <c r="K37">
        <f>1/Table1[[#This Row],[odds_ft_draw]]-Table1[[#This Row],[Margin]]</f>
        <v>0.29569538066784329</v>
      </c>
      <c r="L37">
        <f>1/Table1[[#This Row],[odds_ft_away_team_win]]-Table1[[#This Row],[Margin]]</f>
        <v>0.24338500577682318</v>
      </c>
      <c r="M37">
        <v>4</v>
      </c>
      <c r="N37">
        <v>1</v>
      </c>
      <c r="O37">
        <v>3</v>
      </c>
      <c r="P37">
        <v>1.58</v>
      </c>
      <c r="Q37">
        <v>1.32</v>
      </c>
      <c r="R37" t="str" cm="1">
        <f t="array" ref="R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AA37">
        <v>4</v>
      </c>
      <c r="AB37">
        <v>3</v>
      </c>
      <c r="AC37">
        <v>1</v>
      </c>
      <c r="AD37">
        <v>0</v>
      </c>
      <c r="AE37">
        <v>3</v>
      </c>
      <c r="AF37">
        <v>0</v>
      </c>
      <c r="AG37">
        <v>1</v>
      </c>
      <c r="AH37">
        <v>0</v>
      </c>
      <c r="AI37">
        <v>1</v>
      </c>
      <c r="AJ37">
        <v>2</v>
      </c>
      <c r="AK37">
        <v>10</v>
      </c>
      <c r="AL37">
        <v>18</v>
      </c>
      <c r="AM37">
        <v>0</v>
      </c>
      <c r="AN37">
        <v>7</v>
      </c>
      <c r="AO37">
        <v>10</v>
      </c>
      <c r="AP37">
        <v>11</v>
      </c>
      <c r="AQ37">
        <v>14</v>
      </c>
      <c r="AR37">
        <v>17</v>
      </c>
      <c r="AS37">
        <v>53</v>
      </c>
      <c r="AT37">
        <v>47</v>
      </c>
      <c r="AU37">
        <v>1.04</v>
      </c>
      <c r="AV37">
        <v>1.88</v>
      </c>
      <c r="AW37">
        <v>2</v>
      </c>
      <c r="AX37">
        <v>50</v>
      </c>
      <c r="AY37">
        <v>100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100</v>
      </c>
      <c r="BF37">
        <v>100</v>
      </c>
      <c r="BG37">
        <v>13</v>
      </c>
      <c r="BH37">
        <v>5</v>
      </c>
      <c r="BI37">
        <v>2.0499999999999998</v>
      </c>
      <c r="BJ37">
        <v>3.1</v>
      </c>
      <c r="BK37">
        <v>3.7</v>
      </c>
      <c r="BL37">
        <f>(1/Table1[[#This Row],[odds_ft_home_team_win]]+1/Table1[[#This Row],[odds_ft_draw]]+1/Table1[[#This Row],[odds_ft_away_team_win]]-1)/3</f>
        <v>2.6885264493447043E-2</v>
      </c>
      <c r="BM37">
        <v>1.38</v>
      </c>
      <c r="BN37">
        <v>2.0499999999999998</v>
      </c>
      <c r="BO37">
        <v>3.45</v>
      </c>
      <c r="BP37">
        <v>6.75</v>
      </c>
      <c r="BQ37">
        <v>1.91</v>
      </c>
      <c r="BR37">
        <v>1.87</v>
      </c>
      <c r="BS37" t="s">
        <v>142</v>
      </c>
      <c r="BT37">
        <f>VLOOKUP(Table1[[#This Row],[Reference]],metron,8,FALSE)</f>
        <v>1.6955772349985931</v>
      </c>
      <c r="BU37">
        <f>VLOOKUP(Table1[[#This Row],[Reference]],metron,9,FALSE)</f>
        <v>1.0239029519551039</v>
      </c>
      <c r="BV37">
        <f>VLOOKUP(Table1[[#This Row],[Reference]],metron,10,FALSE)</f>
        <v>2.5405629139072849</v>
      </c>
      <c r="BW37">
        <f>VLOOKUP(Table1[[#This Row],[Reference]],metron,11,FALSE)</f>
        <v>1.4888836329233679</v>
      </c>
      <c r="BX37">
        <f>VLOOKUP(Table1[[#This Row],[Reference]],metron,12,FALSE)</f>
        <v>1.0516792809839171</v>
      </c>
      <c r="BY37" s="6">
        <f>VLOOKUP(Table1[[#This Row],[Reference]],metron,13,FALSE)</f>
        <v>0.64581362346263005</v>
      </c>
      <c r="BZ37" s="6">
        <f>VLOOKUP(Table1[[#This Row],[Reference]],metron,14,FALSE)</f>
        <v>0.45364238410596031</v>
      </c>
      <c r="CA37" s="6">
        <f>VLOOKUP(Table1[[#This Row],[Reference]],metron,15,FALSE)</f>
        <v>12.686892177589851</v>
      </c>
      <c r="CB37" s="6">
        <f>VLOOKUP(Table1[[#This Row],[Reference]],metron,16,FALSE)</f>
        <v>9.8059196617336148</v>
      </c>
      <c r="CC37" s="6">
        <f>VLOOKUP(Table1[[#This Row],[Reference]],metron,17,FALSE)</f>
        <v>5.3198121263877027</v>
      </c>
      <c r="CD37" s="6">
        <f>VLOOKUP(Table1[[#This Row],[Reference]],metron,18,FALSE)</f>
        <v>4.0954312553373189</v>
      </c>
      <c r="CE37" s="6">
        <f>VLOOKUP(Table1[[#This Row],[Reference]],metron,19,FALSE)</f>
        <v>7.3670800512021479</v>
      </c>
      <c r="CF37" s="6">
        <f>VLOOKUP(Table1[[#This Row],[Reference]],metron,20,FALSE)</f>
        <v>5.710488406396296</v>
      </c>
      <c r="CG37" s="6">
        <f>VLOOKUP(Table1[[#This Row],[Reference]],metron,21,FALSE)</f>
        <v>13.0488908033599</v>
      </c>
      <c r="CH37" s="6">
        <f>VLOOKUP(Table1[[#This Row],[Reference]],metron,22,FALSE)</f>
        <v>13.714839543398661</v>
      </c>
      <c r="CI37" s="6">
        <f>VLOOKUP(Table1[[#This Row],[Reference]],metron,23,FALSE)</f>
        <v>1.567523459812322</v>
      </c>
      <c r="CJ37" s="6">
        <f>VLOOKUP(Table1[[#This Row],[Reference]],metron,24,FALSE)</f>
        <v>1.951040391676867</v>
      </c>
      <c r="CK37" s="6">
        <f>VLOOKUP(Table1[[#This Row],[Reference]],metron,25,FALSE)</f>
        <v>8.3027335781313744E-2</v>
      </c>
      <c r="CL37" s="6">
        <f>VLOOKUP(Table1[[#This Row],[Reference]],metron,26,FALSE)</f>
        <v>0.13117095063239501</v>
      </c>
    </row>
    <row r="38" spans="1:90" hidden="1" x14ac:dyDescent="0.45">
      <c r="A38" t="s">
        <v>696</v>
      </c>
      <c r="B38">
        <v>1629237600</v>
      </c>
      <c r="C38" s="23" t="s">
        <v>183</v>
      </c>
      <c r="D38" t="s">
        <v>65</v>
      </c>
      <c r="E38" t="s">
        <v>66</v>
      </c>
      <c r="F38" t="s">
        <v>79</v>
      </c>
      <c r="G38" t="s">
        <v>113</v>
      </c>
      <c r="H38" t="s">
        <v>184</v>
      </c>
      <c r="I38">
        <f>MROUND(Table1[[#This Row],[ProbH]]*100,2)/100</f>
        <v>0.57999999999999996</v>
      </c>
      <c r="J38">
        <f>1/Table1[[#This Row],[odds_ft_home_team_win]]-Table1[[#This Row],[Margin]]</f>
        <v>0.57947900053163215</v>
      </c>
      <c r="K38">
        <f>1/Table1[[#This Row],[odds_ft_draw]]-Table1[[#This Row],[Margin]]</f>
        <v>0.23657628920786813</v>
      </c>
      <c r="L38">
        <f>1/Table1[[#This Row],[odds_ft_away_team_win]]-Table1[[#This Row],[Margin]]</f>
        <v>0.18394471026049972</v>
      </c>
      <c r="M38">
        <v>5</v>
      </c>
      <c r="N38">
        <v>3</v>
      </c>
      <c r="O38">
        <v>1.5</v>
      </c>
      <c r="P38">
        <v>1.17</v>
      </c>
      <c r="Q38">
        <v>0.72</v>
      </c>
      <c r="R38" t="str" cm="1">
        <f t="array" ref="R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">
        <v>2</v>
      </c>
      <c r="T38">
        <v>2</v>
      </c>
      <c r="U38">
        <v>4</v>
      </c>
      <c r="V38">
        <v>4</v>
      </c>
      <c r="W38">
        <v>2</v>
      </c>
      <c r="X38">
        <v>2</v>
      </c>
      <c r="Y38" t="s">
        <v>185</v>
      </c>
      <c r="Z38" t="s">
        <v>186</v>
      </c>
      <c r="AA38">
        <v>9</v>
      </c>
      <c r="AB38">
        <v>3</v>
      </c>
      <c r="AC38">
        <v>1</v>
      </c>
      <c r="AD38">
        <v>0</v>
      </c>
      <c r="AE38">
        <v>2</v>
      </c>
      <c r="AF38">
        <v>0</v>
      </c>
      <c r="AG38">
        <v>1</v>
      </c>
      <c r="AH38">
        <v>0</v>
      </c>
      <c r="AI38">
        <v>0</v>
      </c>
      <c r="AJ38">
        <v>2</v>
      </c>
      <c r="AK38">
        <v>4</v>
      </c>
      <c r="AL38">
        <v>4</v>
      </c>
      <c r="AM38">
        <v>4</v>
      </c>
      <c r="AN38">
        <v>0</v>
      </c>
      <c r="AO38">
        <v>0</v>
      </c>
      <c r="AP38">
        <v>4</v>
      </c>
      <c r="AQ38">
        <v>14</v>
      </c>
      <c r="AR38">
        <v>13</v>
      </c>
      <c r="AS38">
        <v>65</v>
      </c>
      <c r="AT38">
        <v>35</v>
      </c>
      <c r="AU38">
        <v>0.9</v>
      </c>
      <c r="AV38">
        <v>0.4</v>
      </c>
      <c r="AW38">
        <v>3.25</v>
      </c>
      <c r="AX38">
        <v>50</v>
      </c>
      <c r="AY38">
        <v>100</v>
      </c>
      <c r="AZ38">
        <v>75</v>
      </c>
      <c r="BA38">
        <v>50</v>
      </c>
      <c r="BB38">
        <v>0</v>
      </c>
      <c r="BC38">
        <v>50</v>
      </c>
      <c r="BD38">
        <v>100</v>
      </c>
      <c r="BE38">
        <v>75</v>
      </c>
      <c r="BF38">
        <v>100</v>
      </c>
      <c r="BG38">
        <v>9</v>
      </c>
      <c r="BH38">
        <v>3.5</v>
      </c>
      <c r="BI38">
        <v>1.65</v>
      </c>
      <c r="BJ38">
        <v>3.8</v>
      </c>
      <c r="BK38">
        <v>4.75</v>
      </c>
      <c r="BL38">
        <f>(1/Table1[[#This Row],[odds_ft_home_team_win]]+1/Table1[[#This Row],[odds_ft_draw]]+1/Table1[[#This Row],[odds_ft_away_team_win]]-1)/3</f>
        <v>2.6581605528973967E-2</v>
      </c>
      <c r="BM38">
        <v>1.29</v>
      </c>
      <c r="BN38">
        <v>1.8</v>
      </c>
      <c r="BO38">
        <v>2.95</v>
      </c>
      <c r="BP38">
        <v>5.5</v>
      </c>
      <c r="BQ38">
        <v>1.87</v>
      </c>
      <c r="BR38">
        <v>1.91</v>
      </c>
      <c r="BS38" t="s">
        <v>140</v>
      </c>
      <c r="BT38">
        <f>VLOOKUP(Table1[[#This Row],[Reference]],metron,8,FALSE)</f>
        <v>2.0230889143600308</v>
      </c>
      <c r="BU38">
        <f>VLOOKUP(Table1[[#This Row],[Reference]],metron,9,FALSE)</f>
        <v>0.72731480520165426</v>
      </c>
      <c r="BV38">
        <f>VLOOKUP(Table1[[#This Row],[Reference]],metron,10,FALSE)</f>
        <v>2.6362999299229148</v>
      </c>
      <c r="BW38">
        <f>VLOOKUP(Table1[[#This Row],[Reference]],metron,11,FALSE)</f>
        <v>1.7619715019855171</v>
      </c>
      <c r="BX38">
        <f>VLOOKUP(Table1[[#This Row],[Reference]],metron,12,FALSE)</f>
        <v>0.87432842793739785</v>
      </c>
      <c r="BY38" s="6">
        <f>VLOOKUP(Table1[[#This Row],[Reference]],metron,13,FALSE)</f>
        <v>0.78411214953271025</v>
      </c>
      <c r="BZ38" s="6">
        <f>VLOOKUP(Table1[[#This Row],[Reference]],metron,14,FALSE)</f>
        <v>0.38060747663551397</v>
      </c>
      <c r="CA38" s="6">
        <f>VLOOKUP(Table1[[#This Row],[Reference]],metron,15,FALSE)</f>
        <v>14.215499378367181</v>
      </c>
      <c r="CB38" s="6">
        <f>VLOOKUP(Table1[[#This Row],[Reference]],metron,16,FALSE)</f>
        <v>8.9523612261806136</v>
      </c>
      <c r="CC38" s="6">
        <f>VLOOKUP(Table1[[#This Row],[Reference]],metron,17,FALSE)</f>
        <v>6.3083121289228163</v>
      </c>
      <c r="CD38" s="6">
        <f>VLOOKUP(Table1[[#This Row],[Reference]],metron,18,FALSE)</f>
        <v>3.7757524374735061</v>
      </c>
      <c r="CE38" s="6">
        <f>VLOOKUP(Table1[[#This Row],[Reference]],metron,19,FALSE)</f>
        <v>7.9071872494443642</v>
      </c>
      <c r="CF38" s="6">
        <f>VLOOKUP(Table1[[#This Row],[Reference]],metron,20,FALSE)</f>
        <v>5.1766087887071075</v>
      </c>
      <c r="CG38" s="6">
        <f>VLOOKUP(Table1[[#This Row],[Reference]],metron,21,FALSE)</f>
        <v>12.634239592183521</v>
      </c>
      <c r="CH38" s="6">
        <f>VLOOKUP(Table1[[#This Row],[Reference]],metron,22,FALSE)</f>
        <v>13.597706032285471</v>
      </c>
      <c r="CI38" s="6">
        <f>VLOOKUP(Table1[[#This Row],[Reference]],metron,23,FALSE)</f>
        <v>1.365400161681487</v>
      </c>
      <c r="CJ38" s="6">
        <f>VLOOKUP(Table1[[#This Row],[Reference]],metron,24,FALSE)</f>
        <v>1.963621665319321</v>
      </c>
      <c r="CK38" s="6">
        <f>VLOOKUP(Table1[[#This Row],[Reference]],metron,25,FALSE)</f>
        <v>7.1544058205335492E-2</v>
      </c>
      <c r="CL38" s="6">
        <f>VLOOKUP(Table1[[#This Row],[Reference]],metron,26,FALSE)</f>
        <v>0.1216653193209378</v>
      </c>
    </row>
    <row r="39" spans="1:90" hidden="1" x14ac:dyDescent="0.45">
      <c r="A39" t="s">
        <v>696</v>
      </c>
      <c r="B39">
        <v>1629244800</v>
      </c>
      <c r="C39" s="23" t="s">
        <v>187</v>
      </c>
      <c r="D39" t="s">
        <v>65</v>
      </c>
      <c r="E39" t="s">
        <v>66</v>
      </c>
      <c r="F39" t="s">
        <v>107</v>
      </c>
      <c r="G39" t="s">
        <v>67</v>
      </c>
      <c r="H39" t="s">
        <v>114</v>
      </c>
      <c r="I39">
        <f>MROUND(Table1[[#This Row],[ProbH]]*100,2)/100</f>
        <v>0.54</v>
      </c>
      <c r="J39">
        <f>1/Table1[[#This Row],[odds_ft_home_team_win]]-Table1[[#This Row],[Margin]]</f>
        <v>0.53801491193015516</v>
      </c>
      <c r="K39">
        <f>1/Table1[[#This Row],[odds_ft_draw]]-Table1[[#This Row],[Margin]]</f>
        <v>0.27155062320429296</v>
      </c>
      <c r="L39">
        <f>1/Table1[[#This Row],[odds_ft_away_team_win]]-Table1[[#This Row],[Margin]]</f>
        <v>0.19043446486555191</v>
      </c>
      <c r="M39">
        <v>5</v>
      </c>
      <c r="N39">
        <v>1</v>
      </c>
      <c r="O39">
        <v>1</v>
      </c>
      <c r="P39">
        <v>2</v>
      </c>
      <c r="Q39">
        <v>0.65</v>
      </c>
      <c r="R39" t="str" cm="1">
        <f t="array" ref="R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">
        <v>3</v>
      </c>
      <c r="T39">
        <v>0</v>
      </c>
      <c r="U39">
        <v>3</v>
      </c>
      <c r="V39">
        <v>1</v>
      </c>
      <c r="W39">
        <v>1</v>
      </c>
      <c r="X39">
        <v>0</v>
      </c>
      <c r="Y39" t="s">
        <v>188</v>
      </c>
      <c r="AA39">
        <v>2</v>
      </c>
      <c r="AB39">
        <v>6</v>
      </c>
      <c r="AC39">
        <v>1</v>
      </c>
      <c r="AD39">
        <v>0</v>
      </c>
      <c r="AE39">
        <v>4</v>
      </c>
      <c r="AF39">
        <v>1</v>
      </c>
      <c r="AG39">
        <v>1</v>
      </c>
      <c r="AH39">
        <v>0</v>
      </c>
      <c r="AI39">
        <v>3</v>
      </c>
      <c r="AJ39">
        <v>2</v>
      </c>
      <c r="AK39">
        <v>7</v>
      </c>
      <c r="AL39">
        <v>6</v>
      </c>
      <c r="AM39">
        <v>4</v>
      </c>
      <c r="AN39">
        <v>2</v>
      </c>
      <c r="AO39">
        <v>3</v>
      </c>
      <c r="AP39">
        <v>4</v>
      </c>
      <c r="AQ39">
        <v>16</v>
      </c>
      <c r="AR39">
        <v>12</v>
      </c>
      <c r="AS39">
        <v>57</v>
      </c>
      <c r="AT39">
        <v>43</v>
      </c>
      <c r="AU39">
        <v>0.85</v>
      </c>
      <c r="AV39">
        <v>0.66</v>
      </c>
      <c r="AW39">
        <v>1.5</v>
      </c>
      <c r="AX39">
        <v>75</v>
      </c>
      <c r="AY39">
        <v>75</v>
      </c>
      <c r="AZ39">
        <v>0</v>
      </c>
      <c r="BA39">
        <v>0</v>
      </c>
      <c r="BB39">
        <v>0</v>
      </c>
      <c r="BC39">
        <v>0</v>
      </c>
      <c r="BD39">
        <v>75</v>
      </c>
      <c r="BE39">
        <v>0</v>
      </c>
      <c r="BF39">
        <v>75</v>
      </c>
      <c r="BG39">
        <v>10</v>
      </c>
      <c r="BH39">
        <v>5.5</v>
      </c>
      <c r="BI39">
        <v>1.77</v>
      </c>
      <c r="BJ39">
        <v>3.35</v>
      </c>
      <c r="BK39">
        <v>4.5999999999999996</v>
      </c>
      <c r="BL39">
        <f>(1/Table1[[#This Row],[odds_ft_home_team_win]]+1/Table1[[#This Row],[odds_ft_draw]]+1/Table1[[#This Row],[odds_ft_away_team_win]]-1)/3</f>
        <v>2.6956839482274193E-2</v>
      </c>
      <c r="BM39">
        <v>1.44</v>
      </c>
      <c r="BN39">
        <v>2.25</v>
      </c>
      <c r="BO39">
        <v>3.9</v>
      </c>
      <c r="BP39">
        <v>7.5</v>
      </c>
      <c r="BQ39">
        <v>2.15</v>
      </c>
      <c r="BR39">
        <v>1.69</v>
      </c>
      <c r="BS39" t="s">
        <v>161</v>
      </c>
      <c r="BT39">
        <f>VLOOKUP(Table1[[#This Row],[Reference]],metron,8,FALSE)</f>
        <v>1.915666026436746</v>
      </c>
      <c r="BU39">
        <f>VLOOKUP(Table1[[#This Row],[Reference]],metron,9,FALSE)</f>
        <v>0.82283834599204153</v>
      </c>
      <c r="BV39">
        <f>VLOOKUP(Table1[[#This Row],[Reference]],metron,10,FALSE)</f>
        <v>2.6359702267612941</v>
      </c>
      <c r="BW39">
        <f>VLOOKUP(Table1[[#This Row],[Reference]],metron,11,FALSE)</f>
        <v>1.684957590444867</v>
      </c>
      <c r="BX39">
        <f>VLOOKUP(Table1[[#This Row],[Reference]],metron,12,FALSE)</f>
        <v>0.95101263631642718</v>
      </c>
      <c r="BY39" s="6">
        <f>VLOOKUP(Table1[[#This Row],[Reference]],metron,13,FALSE)</f>
        <v>0.72650164445213783</v>
      </c>
      <c r="BZ39" s="6">
        <f>VLOOKUP(Table1[[#This Row],[Reference]],metron,14,FALSE)</f>
        <v>0.42097974727367138</v>
      </c>
      <c r="CA39" s="6">
        <f>VLOOKUP(Table1[[#This Row],[Reference]],metron,15,FALSE)</f>
        <v>13.338806970509379</v>
      </c>
      <c r="CB39" s="6">
        <f>VLOOKUP(Table1[[#This Row],[Reference]],metron,16,FALSE)</f>
        <v>9.2530160857908843</v>
      </c>
      <c r="CC39" s="6">
        <f>VLOOKUP(Table1[[#This Row],[Reference]],metron,17,FALSE)</f>
        <v>5.9915081521739131</v>
      </c>
      <c r="CD39" s="6">
        <f>VLOOKUP(Table1[[#This Row],[Reference]],metron,18,FALSE)</f>
        <v>3.9772418478260869</v>
      </c>
      <c r="CE39" s="6">
        <f>VLOOKUP(Table1[[#This Row],[Reference]],metron,19,FALSE)</f>
        <v>7.3472988183354664</v>
      </c>
      <c r="CF39" s="6">
        <f>VLOOKUP(Table1[[#This Row],[Reference]],metron,20,FALSE)</f>
        <v>5.2757742379647974</v>
      </c>
      <c r="CG39" s="6">
        <f>VLOOKUP(Table1[[#This Row],[Reference]],metron,21,FALSE)</f>
        <v>12.59428182437032</v>
      </c>
      <c r="CH39" s="6">
        <f>VLOOKUP(Table1[[#This Row],[Reference]],metron,22,FALSE)</f>
        <v>13.577944179714089</v>
      </c>
      <c r="CI39" s="6">
        <f>VLOOKUP(Table1[[#This Row],[Reference]],metron,23,FALSE)</f>
        <v>1.4276913099870301</v>
      </c>
      <c r="CJ39" s="6">
        <f>VLOOKUP(Table1[[#This Row],[Reference]],metron,24,FALSE)</f>
        <v>1.940985732814527</v>
      </c>
      <c r="CK39" s="6">
        <f>VLOOKUP(Table1[[#This Row],[Reference]],metron,25,FALSE)</f>
        <v>8.0739299610894946E-2</v>
      </c>
      <c r="CL39" s="6">
        <f>VLOOKUP(Table1[[#This Row],[Reference]],metron,26,FALSE)</f>
        <v>0.12743190661478601</v>
      </c>
    </row>
    <row r="40" spans="1:90" hidden="1" x14ac:dyDescent="0.45">
      <c r="A40" t="s">
        <v>696</v>
      </c>
      <c r="B40">
        <v>1629252000</v>
      </c>
      <c r="C40" s="23" t="s">
        <v>189</v>
      </c>
      <c r="D40" t="s">
        <v>65</v>
      </c>
      <c r="E40" t="s">
        <v>66</v>
      </c>
      <c r="F40" t="s">
        <v>72</v>
      </c>
      <c r="G40" t="s">
        <v>96</v>
      </c>
      <c r="H40" t="s">
        <v>92</v>
      </c>
      <c r="I40">
        <f>MROUND(Table1[[#This Row],[ProbH]]*100,2)/100</f>
        <v>0.52</v>
      </c>
      <c r="J40">
        <f>1/Table1[[#This Row],[odds_ft_home_team_win]]-Table1[[#This Row],[Margin]]</f>
        <v>0.52948570494811797</v>
      </c>
      <c r="K40">
        <f>1/Table1[[#This Row],[odds_ft_draw]]-Table1[[#This Row],[Margin]]</f>
        <v>0.25562029023763289</v>
      </c>
      <c r="L40">
        <f>1/Table1[[#This Row],[odds_ft_away_team_win]]-Table1[[#This Row],[Margin]]</f>
        <v>0.21489400481424914</v>
      </c>
      <c r="M40">
        <v>5</v>
      </c>
      <c r="N40">
        <v>0</v>
      </c>
      <c r="O40">
        <v>0</v>
      </c>
      <c r="P40">
        <v>1.24</v>
      </c>
      <c r="Q40">
        <v>1.1000000000000001</v>
      </c>
      <c r="R40" t="str" cm="1">
        <f t="array" ref="R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">
        <v>3</v>
      </c>
      <c r="T40">
        <v>0</v>
      </c>
      <c r="U40">
        <v>3</v>
      </c>
      <c r="V40">
        <v>1</v>
      </c>
      <c r="W40">
        <v>1</v>
      </c>
      <c r="X40">
        <v>0</v>
      </c>
      <c r="Y40" t="s">
        <v>190</v>
      </c>
      <c r="AA40">
        <v>3</v>
      </c>
      <c r="AB40">
        <v>8</v>
      </c>
      <c r="AC40">
        <v>0</v>
      </c>
      <c r="AD40">
        <v>0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17</v>
      </c>
      <c r="AL40">
        <v>13</v>
      </c>
      <c r="AM40">
        <v>8</v>
      </c>
      <c r="AN40">
        <v>4</v>
      </c>
      <c r="AO40">
        <v>9</v>
      </c>
      <c r="AP40">
        <v>9</v>
      </c>
      <c r="AQ40">
        <v>7</v>
      </c>
      <c r="AR40">
        <v>3</v>
      </c>
      <c r="AS40">
        <v>34</v>
      </c>
      <c r="AT40">
        <v>66</v>
      </c>
      <c r="AU40">
        <v>1.9</v>
      </c>
      <c r="AV40">
        <v>1.31</v>
      </c>
      <c r="AW40">
        <v>2.5</v>
      </c>
      <c r="AX40">
        <v>25</v>
      </c>
      <c r="AY40">
        <v>100</v>
      </c>
      <c r="AZ40">
        <v>50</v>
      </c>
      <c r="BA40">
        <v>0</v>
      </c>
      <c r="BB40">
        <v>0</v>
      </c>
      <c r="BC40">
        <v>50</v>
      </c>
      <c r="BD40">
        <v>100</v>
      </c>
      <c r="BE40">
        <v>0</v>
      </c>
      <c r="BF40">
        <v>100</v>
      </c>
      <c r="BG40">
        <v>8</v>
      </c>
      <c r="BH40">
        <v>4</v>
      </c>
      <c r="BI40">
        <v>1.8</v>
      </c>
      <c r="BJ40">
        <v>3.55</v>
      </c>
      <c r="BK40">
        <v>4.1500000000000004</v>
      </c>
      <c r="BL40">
        <f>(1/Table1[[#This Row],[odds_ft_home_team_win]]+1/Table1[[#This Row],[odds_ft_draw]]+1/Table1[[#This Row],[odds_ft_away_team_win]]-1)/3</f>
        <v>2.6069850607437568E-2</v>
      </c>
      <c r="BM40">
        <v>1.33</v>
      </c>
      <c r="BN40">
        <v>1.91</v>
      </c>
      <c r="BO40">
        <v>3.1</v>
      </c>
      <c r="BP40">
        <v>6</v>
      </c>
      <c r="BQ40">
        <v>1.87</v>
      </c>
      <c r="BR40">
        <v>1.91</v>
      </c>
      <c r="BS40" t="s">
        <v>76</v>
      </c>
      <c r="BT40">
        <f>VLOOKUP(Table1[[#This Row],[Reference]],metron,8,FALSE)</f>
        <v>1.8614830167843088</v>
      </c>
      <c r="BU40">
        <f>VLOOKUP(Table1[[#This Row],[Reference]],metron,9,FALSE)</f>
        <v>0.87079851622593896</v>
      </c>
      <c r="BV40">
        <f>VLOOKUP(Table1[[#This Row],[Reference]],metron,10,FALSE)</f>
        <v>2.5967403582378576</v>
      </c>
      <c r="BW40">
        <f>VLOOKUP(Table1[[#This Row],[Reference]],metron,11,FALSE)</f>
        <v>1.625948039373891</v>
      </c>
      <c r="BX40">
        <f>VLOOKUP(Table1[[#This Row],[Reference]],metron,12,FALSE)</f>
        <v>0.97079231886396644</v>
      </c>
      <c r="BY40" s="6">
        <f>VLOOKUP(Table1[[#This Row],[Reference]],metron,13,FALSE)</f>
        <v>0.71433182698515174</v>
      </c>
      <c r="BZ40" s="6">
        <f>VLOOKUP(Table1[[#This Row],[Reference]],metron,14,FALSE)</f>
        <v>0.43011620400258233</v>
      </c>
      <c r="CA40" s="6">
        <f>VLOOKUP(Table1[[#This Row],[Reference]],metron,15,FALSE)</f>
        <v>13.39951055368614</v>
      </c>
      <c r="CB40" s="6">
        <f>VLOOKUP(Table1[[#This Row],[Reference]],metron,16,FALSE)</f>
        <v>9.4252064851636579</v>
      </c>
      <c r="CC40" s="6">
        <f>VLOOKUP(Table1[[#This Row],[Reference]],metron,17,FALSE)</f>
        <v>5.7628422023992618</v>
      </c>
      <c r="CD40" s="6">
        <f>VLOOKUP(Table1[[#This Row],[Reference]],metron,18,FALSE)</f>
        <v>3.9375576745616732</v>
      </c>
      <c r="CE40" s="6">
        <f>VLOOKUP(Table1[[#This Row],[Reference]],metron,19,FALSE)</f>
        <v>7.636668351286878</v>
      </c>
      <c r="CF40" s="6">
        <f>VLOOKUP(Table1[[#This Row],[Reference]],metron,20,FALSE)</f>
        <v>5.4876488106019847</v>
      </c>
      <c r="CG40" s="6">
        <f>VLOOKUP(Table1[[#This Row],[Reference]],metron,21,FALSE)</f>
        <v>12.460420531849101</v>
      </c>
      <c r="CH40" s="6">
        <f>VLOOKUP(Table1[[#This Row],[Reference]],metron,22,FALSE)</f>
        <v>13.44897959183673</v>
      </c>
      <c r="CI40" s="6">
        <f>VLOOKUP(Table1[[#This Row],[Reference]],metron,23,FALSE)</f>
        <v>1.462202380952381</v>
      </c>
      <c r="CJ40" s="6">
        <f>VLOOKUP(Table1[[#This Row],[Reference]],metron,24,FALSE)</f>
        <v>2.01547619047619</v>
      </c>
      <c r="CK40" s="6">
        <f>VLOOKUP(Table1[[#This Row],[Reference]],metron,25,FALSE)</f>
        <v>7.7380952380952384E-2</v>
      </c>
      <c r="CL40" s="6">
        <f>VLOOKUP(Table1[[#This Row],[Reference]],metron,26,FALSE)</f>
        <v>0.13754093480202439</v>
      </c>
    </row>
    <row r="41" spans="1:90" hidden="1" x14ac:dyDescent="0.45">
      <c r="A41" t="s">
        <v>696</v>
      </c>
      <c r="B41">
        <v>1629252360</v>
      </c>
      <c r="C41" s="23" t="s">
        <v>191</v>
      </c>
      <c r="D41" t="s">
        <v>65</v>
      </c>
      <c r="E41" t="s">
        <v>66</v>
      </c>
      <c r="F41" t="s">
        <v>106</v>
      </c>
      <c r="G41" t="s">
        <v>102</v>
      </c>
      <c r="H41" t="s">
        <v>130</v>
      </c>
      <c r="I41">
        <f>MROUND(Table1[[#This Row],[ProbH]]*100,2)/100</f>
        <v>0.42</v>
      </c>
      <c r="J41">
        <f>1/Table1[[#This Row],[odds_ft_home_team_win]]-Table1[[#This Row],[Margin]]</f>
        <v>0.41451990632318503</v>
      </c>
      <c r="K41">
        <f>1/Table1[[#This Row],[odds_ft_draw]]-Table1[[#This Row],[Margin]]</f>
        <v>0.29794431433775703</v>
      </c>
      <c r="L41">
        <f>1/Table1[[#This Row],[odds_ft_away_team_win]]-Table1[[#This Row],[Margin]]</f>
        <v>0.28753577933905805</v>
      </c>
      <c r="M41">
        <v>5</v>
      </c>
      <c r="N41">
        <v>0</v>
      </c>
      <c r="O41">
        <v>0.5</v>
      </c>
      <c r="P41">
        <v>1.35</v>
      </c>
      <c r="Q41">
        <v>1.42</v>
      </c>
      <c r="R41" t="str" cm="1">
        <f t="array" ref="R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">
        <v>1</v>
      </c>
      <c r="T41">
        <v>1</v>
      </c>
      <c r="U41">
        <v>2</v>
      </c>
      <c r="V41">
        <v>1</v>
      </c>
      <c r="W41">
        <v>1</v>
      </c>
      <c r="X41">
        <v>0</v>
      </c>
      <c r="Y41">
        <v>4</v>
      </c>
      <c r="Z41">
        <v>71</v>
      </c>
      <c r="AA41">
        <v>10</v>
      </c>
      <c r="AB41">
        <v>1</v>
      </c>
      <c r="AC41">
        <v>1</v>
      </c>
      <c r="AD41">
        <v>0</v>
      </c>
      <c r="AE41">
        <v>3</v>
      </c>
      <c r="AF41">
        <v>0</v>
      </c>
      <c r="AG41">
        <v>0</v>
      </c>
      <c r="AH41">
        <v>1</v>
      </c>
      <c r="AI41">
        <v>0</v>
      </c>
      <c r="AJ41">
        <v>3</v>
      </c>
      <c r="AK41">
        <v>23</v>
      </c>
      <c r="AL41">
        <v>10</v>
      </c>
      <c r="AM41">
        <v>7</v>
      </c>
      <c r="AN41">
        <v>3</v>
      </c>
      <c r="AO41">
        <v>16</v>
      </c>
      <c r="AP41">
        <v>7</v>
      </c>
      <c r="AQ41">
        <v>15</v>
      </c>
      <c r="AR41">
        <v>19</v>
      </c>
      <c r="AS41">
        <v>51</v>
      </c>
      <c r="AT41">
        <v>49</v>
      </c>
      <c r="AU41">
        <v>2.2999999999999998</v>
      </c>
      <c r="AV41">
        <v>1.05</v>
      </c>
      <c r="AW41">
        <v>2.25</v>
      </c>
      <c r="AX41">
        <v>50</v>
      </c>
      <c r="AY41">
        <v>100</v>
      </c>
      <c r="AZ41">
        <v>25</v>
      </c>
      <c r="BA41">
        <v>0</v>
      </c>
      <c r="BB41">
        <v>0</v>
      </c>
      <c r="BC41">
        <v>0</v>
      </c>
      <c r="BD41">
        <v>75</v>
      </c>
      <c r="BE41">
        <v>50</v>
      </c>
      <c r="BF41">
        <v>100</v>
      </c>
      <c r="BG41">
        <v>9.5</v>
      </c>
      <c r="BH41">
        <v>6</v>
      </c>
      <c r="BI41">
        <v>2.25</v>
      </c>
      <c r="BJ41">
        <v>3.05</v>
      </c>
      <c r="BK41">
        <v>3.15</v>
      </c>
      <c r="BL41">
        <f>(1/Table1[[#This Row],[odds_ft_home_team_win]]+1/Table1[[#This Row],[odds_ft_draw]]+1/Table1[[#This Row],[odds_ft_away_team_win]]-1)/3</f>
        <v>2.9924538121259392E-2</v>
      </c>
      <c r="BM41">
        <v>1.4</v>
      </c>
      <c r="BN41">
        <v>2.1</v>
      </c>
      <c r="BO41">
        <v>3.45</v>
      </c>
      <c r="BP41">
        <v>6.75</v>
      </c>
      <c r="BQ41">
        <v>1.87</v>
      </c>
      <c r="BR41">
        <v>1.91</v>
      </c>
      <c r="BS41" t="s">
        <v>110</v>
      </c>
      <c r="BT41">
        <f>VLOOKUP(Table1[[#This Row],[Reference]],metron,8,FALSE)</f>
        <v>1.5780106027030405</v>
      </c>
      <c r="BU41">
        <f>VLOOKUP(Table1[[#This Row],[Reference]],metron,9,FALSE)</f>
        <v>1.1353025412447635</v>
      </c>
      <c r="BV41">
        <f>VLOOKUP(Table1[[#This Row],[Reference]],metron,10,FALSE)</f>
        <v>2.4884649511978703</v>
      </c>
      <c r="BW41">
        <f>VLOOKUP(Table1[[#This Row],[Reference]],metron,11,FALSE)</f>
        <v>1.396960958296362</v>
      </c>
      <c r="BX41">
        <f>VLOOKUP(Table1[[#This Row],[Reference]],metron,12,FALSE)</f>
        <v>1.091503992901508</v>
      </c>
      <c r="BY41" s="6">
        <f>VLOOKUP(Table1[[#This Row],[Reference]],metron,13,FALSE)</f>
        <v>0.60765391014975045</v>
      </c>
      <c r="BZ41" s="6">
        <f>VLOOKUP(Table1[[#This Row],[Reference]],metron,14,FALSE)</f>
        <v>0.47276760953965608</v>
      </c>
      <c r="CA41" s="6">
        <f>VLOOKUP(Table1[[#This Row],[Reference]],metron,15,FALSE)</f>
        <v>12.29504785684561</v>
      </c>
      <c r="CB41" s="6">
        <f>VLOOKUP(Table1[[#This Row],[Reference]],metron,16,FALSE)</f>
        <v>10.047232625884311</v>
      </c>
      <c r="CC41" s="6">
        <f>VLOOKUP(Table1[[#This Row],[Reference]],metron,17,FALSE)</f>
        <v>5.2917192097519967</v>
      </c>
      <c r="CD41" s="6">
        <f>VLOOKUP(Table1[[#This Row],[Reference]],metron,18,FALSE)</f>
        <v>4.2580916351408158</v>
      </c>
      <c r="CE41" s="6">
        <f>VLOOKUP(Table1[[#This Row],[Reference]],metron,19,FALSE)</f>
        <v>7.0033286470936131</v>
      </c>
      <c r="CF41" s="6">
        <f>VLOOKUP(Table1[[#This Row],[Reference]],metron,20,FALSE)</f>
        <v>5.789140990743495</v>
      </c>
      <c r="CG41" s="6">
        <f>VLOOKUP(Table1[[#This Row],[Reference]],metron,21,FALSE)</f>
        <v>12.77041895895049</v>
      </c>
      <c r="CH41" s="6">
        <f>VLOOKUP(Table1[[#This Row],[Reference]],metron,22,FALSE)</f>
        <v>13.411129919593741</v>
      </c>
      <c r="CI41" s="6">
        <f>VLOOKUP(Table1[[#This Row],[Reference]],metron,23,FALSE)</f>
        <v>1.556141062018646</v>
      </c>
      <c r="CJ41" s="6">
        <f>VLOOKUP(Table1[[#This Row],[Reference]],metron,24,FALSE)</f>
        <v>1.9114308877178761</v>
      </c>
      <c r="CK41" s="6">
        <f>VLOOKUP(Table1[[#This Row],[Reference]],metron,25,FALSE)</f>
        <v>8.4920956627482766E-2</v>
      </c>
      <c r="CL41" s="6">
        <f>VLOOKUP(Table1[[#This Row],[Reference]],metron,26,FALSE)</f>
        <v>0.1323469801378192</v>
      </c>
    </row>
    <row r="42" spans="1:90" hidden="1" x14ac:dyDescent="0.45">
      <c r="A42" t="s">
        <v>696</v>
      </c>
      <c r="B42">
        <v>1629331200</v>
      </c>
      <c r="C42" s="23" t="s">
        <v>192</v>
      </c>
      <c r="D42" t="s">
        <v>65</v>
      </c>
      <c r="E42" t="s">
        <v>66</v>
      </c>
      <c r="F42" t="s">
        <v>112</v>
      </c>
      <c r="G42" t="s">
        <v>101</v>
      </c>
      <c r="H42" t="s">
        <v>74</v>
      </c>
      <c r="I42">
        <f>MROUND(Table1[[#This Row],[ProbH]]*100,2)/100</f>
        <v>0.42</v>
      </c>
      <c r="J42">
        <f>1/Table1[[#This Row],[odds_ft_home_team_win]]-Table1[[#This Row],[Margin]]</f>
        <v>0.41953864534509694</v>
      </c>
      <c r="K42">
        <f>1/Table1[[#This Row],[odds_ft_draw]]-Table1[[#This Row],[Margin]]</f>
        <v>0.29767484606194283</v>
      </c>
      <c r="L42">
        <f>1/Table1[[#This Row],[odds_ft_away_team_win]]-Table1[[#This Row],[Margin]]</f>
        <v>0.28278650859296023</v>
      </c>
      <c r="M42">
        <v>5</v>
      </c>
      <c r="N42">
        <v>1.5</v>
      </c>
      <c r="O42">
        <v>1</v>
      </c>
      <c r="P42">
        <v>1.25</v>
      </c>
      <c r="Q42">
        <v>1.05</v>
      </c>
      <c r="R42" t="str" cm="1">
        <f t="array" ref="R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">
        <v>1</v>
      </c>
      <c r="T42">
        <v>1</v>
      </c>
      <c r="U42">
        <v>2</v>
      </c>
      <c r="V42">
        <v>0</v>
      </c>
      <c r="W42">
        <v>0</v>
      </c>
      <c r="X42">
        <v>0</v>
      </c>
      <c r="Y42">
        <v>67</v>
      </c>
      <c r="Z42" t="s">
        <v>193</v>
      </c>
      <c r="AA42">
        <v>2</v>
      </c>
      <c r="AB42">
        <v>10</v>
      </c>
      <c r="AC42">
        <v>2</v>
      </c>
      <c r="AD42">
        <v>1</v>
      </c>
      <c r="AE42">
        <v>2</v>
      </c>
      <c r="AF42">
        <v>0</v>
      </c>
      <c r="AG42">
        <v>0</v>
      </c>
      <c r="AH42">
        <v>3</v>
      </c>
      <c r="AI42">
        <v>2</v>
      </c>
      <c r="AJ42">
        <v>0</v>
      </c>
      <c r="AK42">
        <v>8</v>
      </c>
      <c r="AL42">
        <v>15</v>
      </c>
      <c r="AM42">
        <v>5</v>
      </c>
      <c r="AN42">
        <v>6</v>
      </c>
      <c r="AO42">
        <v>3</v>
      </c>
      <c r="AP42">
        <v>9</v>
      </c>
      <c r="AQ42">
        <v>14</v>
      </c>
      <c r="AR42">
        <v>10</v>
      </c>
      <c r="AS42">
        <v>54</v>
      </c>
      <c r="AT42">
        <v>46</v>
      </c>
      <c r="AU42">
        <v>1.03</v>
      </c>
      <c r="AV42">
        <v>1.65</v>
      </c>
      <c r="AW42">
        <v>2.5</v>
      </c>
      <c r="AX42">
        <v>50</v>
      </c>
      <c r="AY42">
        <v>100</v>
      </c>
      <c r="AZ42">
        <v>25</v>
      </c>
      <c r="BA42">
        <v>25</v>
      </c>
      <c r="BB42">
        <v>0</v>
      </c>
      <c r="BC42">
        <v>75</v>
      </c>
      <c r="BD42">
        <v>100</v>
      </c>
      <c r="BE42">
        <v>0</v>
      </c>
      <c r="BF42">
        <v>50</v>
      </c>
      <c r="BG42">
        <v>6</v>
      </c>
      <c r="BH42">
        <v>7.5</v>
      </c>
      <c r="BI42">
        <v>2.25</v>
      </c>
      <c r="BJ42">
        <v>3.1</v>
      </c>
      <c r="BK42">
        <v>3.25</v>
      </c>
      <c r="BL42">
        <f>(1/Table1[[#This Row],[odds_ft_home_team_win]]+1/Table1[[#This Row],[odds_ft_draw]]+1/Table1[[#This Row],[odds_ft_away_team_win]]-1)/3</f>
        <v>2.4905799099347464E-2</v>
      </c>
      <c r="BM42">
        <v>1.47</v>
      </c>
      <c r="BN42">
        <v>2.25</v>
      </c>
      <c r="BO42">
        <v>3.95</v>
      </c>
      <c r="BP42">
        <v>7.75</v>
      </c>
      <c r="BQ42">
        <v>2</v>
      </c>
      <c r="BR42">
        <v>1.77</v>
      </c>
      <c r="BS42" t="s">
        <v>116</v>
      </c>
      <c r="BT42">
        <f>VLOOKUP(Table1[[#This Row],[Reference]],metron,8,FALSE)</f>
        <v>1.5780106027030405</v>
      </c>
      <c r="BU42">
        <f>VLOOKUP(Table1[[#This Row],[Reference]],metron,9,FALSE)</f>
        <v>1.1353025412447635</v>
      </c>
      <c r="BV42">
        <f>VLOOKUP(Table1[[#This Row],[Reference]],metron,10,FALSE)</f>
        <v>2.4884649511978703</v>
      </c>
      <c r="BW42">
        <f>VLOOKUP(Table1[[#This Row],[Reference]],metron,11,FALSE)</f>
        <v>1.396960958296362</v>
      </c>
      <c r="BX42">
        <f>VLOOKUP(Table1[[#This Row],[Reference]],metron,12,FALSE)</f>
        <v>1.091503992901508</v>
      </c>
      <c r="BY42" s="6">
        <f>VLOOKUP(Table1[[#This Row],[Reference]],metron,13,FALSE)</f>
        <v>0.60765391014975045</v>
      </c>
      <c r="BZ42" s="6">
        <f>VLOOKUP(Table1[[#This Row],[Reference]],metron,14,FALSE)</f>
        <v>0.47276760953965608</v>
      </c>
      <c r="CA42" s="6">
        <f>VLOOKUP(Table1[[#This Row],[Reference]],metron,15,FALSE)</f>
        <v>12.29504785684561</v>
      </c>
      <c r="CB42" s="6">
        <f>VLOOKUP(Table1[[#This Row],[Reference]],metron,16,FALSE)</f>
        <v>10.047232625884311</v>
      </c>
      <c r="CC42" s="6">
        <f>VLOOKUP(Table1[[#This Row],[Reference]],metron,17,FALSE)</f>
        <v>5.2917192097519967</v>
      </c>
      <c r="CD42" s="6">
        <f>VLOOKUP(Table1[[#This Row],[Reference]],metron,18,FALSE)</f>
        <v>4.2580916351408158</v>
      </c>
      <c r="CE42" s="6">
        <f>VLOOKUP(Table1[[#This Row],[Reference]],metron,19,FALSE)</f>
        <v>7.0033286470936131</v>
      </c>
      <c r="CF42" s="6">
        <f>VLOOKUP(Table1[[#This Row],[Reference]],metron,20,FALSE)</f>
        <v>5.789140990743495</v>
      </c>
      <c r="CG42" s="6">
        <f>VLOOKUP(Table1[[#This Row],[Reference]],metron,21,FALSE)</f>
        <v>12.77041895895049</v>
      </c>
      <c r="CH42" s="6">
        <f>VLOOKUP(Table1[[#This Row],[Reference]],metron,22,FALSE)</f>
        <v>13.411129919593741</v>
      </c>
      <c r="CI42" s="6">
        <f>VLOOKUP(Table1[[#This Row],[Reference]],metron,23,FALSE)</f>
        <v>1.556141062018646</v>
      </c>
      <c r="CJ42" s="6">
        <f>VLOOKUP(Table1[[#This Row],[Reference]],metron,24,FALSE)</f>
        <v>1.9114308877178761</v>
      </c>
      <c r="CK42" s="6">
        <f>VLOOKUP(Table1[[#This Row],[Reference]],metron,25,FALSE)</f>
        <v>8.4920956627482766E-2</v>
      </c>
      <c r="CL42" s="6">
        <f>VLOOKUP(Table1[[#This Row],[Reference]],metron,26,FALSE)</f>
        <v>0.1323469801378192</v>
      </c>
    </row>
    <row r="43" spans="1:90" hidden="1" x14ac:dyDescent="0.45">
      <c r="A43" t="s">
        <v>696</v>
      </c>
      <c r="B43">
        <v>1629331200</v>
      </c>
      <c r="C43" s="23" t="s">
        <v>192</v>
      </c>
      <c r="D43" t="s">
        <v>65</v>
      </c>
      <c r="E43" t="s">
        <v>66</v>
      </c>
      <c r="F43" t="s">
        <v>73</v>
      </c>
      <c r="G43" t="s">
        <v>97</v>
      </c>
      <c r="H43" t="s">
        <v>122</v>
      </c>
      <c r="I43">
        <f>MROUND(Table1[[#This Row],[ProbH]]*100,2)/100</f>
        <v>0.38</v>
      </c>
      <c r="J43">
        <f>1/Table1[[#This Row],[odds_ft_home_team_win]]-Table1[[#This Row],[Margin]]</f>
        <v>0.37938853702400499</v>
      </c>
      <c r="K43">
        <f>1/Table1[[#This Row],[odds_ft_draw]]-Table1[[#This Row],[Margin]]</f>
        <v>0.31605285792477916</v>
      </c>
      <c r="L43">
        <f>1/Table1[[#This Row],[odds_ft_away_team_win]]-Table1[[#This Row],[Margin]]</f>
        <v>0.3045586050512159</v>
      </c>
      <c r="M43">
        <v>5</v>
      </c>
      <c r="N43">
        <v>1</v>
      </c>
      <c r="O43">
        <v>2</v>
      </c>
      <c r="P43">
        <v>1.58</v>
      </c>
      <c r="Q43">
        <v>1.68</v>
      </c>
      <c r="R43" t="str" cm="1">
        <f t="array" ref="R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3">
        <v>1</v>
      </c>
      <c r="T43">
        <v>1</v>
      </c>
      <c r="U43">
        <v>2</v>
      </c>
      <c r="V43">
        <v>1</v>
      </c>
      <c r="W43">
        <v>0</v>
      </c>
      <c r="X43">
        <v>1</v>
      </c>
      <c r="Y43">
        <v>69</v>
      </c>
      <c r="Z43">
        <v>25</v>
      </c>
      <c r="AA43">
        <v>4</v>
      </c>
      <c r="AB43">
        <v>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15</v>
      </c>
      <c r="AL43">
        <v>12</v>
      </c>
      <c r="AM43">
        <v>6</v>
      </c>
      <c r="AN43">
        <v>4</v>
      </c>
      <c r="AO43">
        <v>9</v>
      </c>
      <c r="AP43">
        <v>8</v>
      </c>
      <c r="AQ43">
        <v>11</v>
      </c>
      <c r="AR43">
        <v>12</v>
      </c>
      <c r="AS43">
        <v>58</v>
      </c>
      <c r="AT43">
        <v>42</v>
      </c>
      <c r="AU43">
        <v>1.61</v>
      </c>
      <c r="AV43">
        <v>1.26</v>
      </c>
      <c r="AW43">
        <v>0.75</v>
      </c>
      <c r="AX43">
        <v>25</v>
      </c>
      <c r="AY43">
        <v>25</v>
      </c>
      <c r="AZ43">
        <v>0</v>
      </c>
      <c r="BA43">
        <v>0</v>
      </c>
      <c r="BB43">
        <v>0</v>
      </c>
      <c r="BC43">
        <v>0</v>
      </c>
      <c r="BD43">
        <v>25</v>
      </c>
      <c r="BE43">
        <v>25</v>
      </c>
      <c r="BF43">
        <v>25</v>
      </c>
      <c r="BG43">
        <v>11</v>
      </c>
      <c r="BH43">
        <v>2.5</v>
      </c>
      <c r="BI43">
        <v>2.4500000000000002</v>
      </c>
      <c r="BJ43">
        <v>2.9</v>
      </c>
      <c r="BK43">
        <v>3</v>
      </c>
      <c r="BL43">
        <f>(1/Table1[[#This Row],[odds_ft_home_team_win]]+1/Table1[[#This Row],[odds_ft_draw]]+1/Table1[[#This Row],[odds_ft_away_team_win]]-1)/3</f>
        <v>2.877472828211743E-2</v>
      </c>
      <c r="BM43">
        <v>1.49</v>
      </c>
      <c r="BN43">
        <v>2.2999999999999998</v>
      </c>
      <c r="BO43">
        <v>3.95</v>
      </c>
      <c r="BP43">
        <v>7.75</v>
      </c>
      <c r="BQ43">
        <v>2.0499999999999998</v>
      </c>
      <c r="BR43">
        <v>1.77</v>
      </c>
      <c r="BS43" t="s">
        <v>142</v>
      </c>
      <c r="BT43">
        <f>VLOOKUP(Table1[[#This Row],[Reference]],metron,8,FALSE)</f>
        <v>1.464160929441638</v>
      </c>
      <c r="BU43">
        <f>VLOOKUP(Table1[[#This Row],[Reference]],metron,9,FALSE)</f>
        <v>1.2477119808919459</v>
      </c>
      <c r="BV43">
        <f>VLOOKUP(Table1[[#This Row],[Reference]],metron,10,FALSE)</f>
        <v>2.4900895140664963</v>
      </c>
      <c r="BW43">
        <f>VLOOKUP(Table1[[#This Row],[Reference]],metron,11,FALSE)</f>
        <v>1.330562659846547</v>
      </c>
      <c r="BX43">
        <f>VLOOKUP(Table1[[#This Row],[Reference]],metron,12,FALSE)</f>
        <v>1.1595268542199491</v>
      </c>
      <c r="BY43" s="6">
        <f>VLOOKUP(Table1[[#This Row],[Reference]],metron,13,FALSE)</f>
        <v>0.59053607588191415</v>
      </c>
      <c r="BZ43" s="6">
        <f>VLOOKUP(Table1[[#This Row],[Reference]],metron,14,FALSE)</f>
        <v>0.50069274219332838</v>
      </c>
      <c r="CA43" s="6">
        <f>VLOOKUP(Table1[[#This Row],[Reference]],metron,15,FALSE)</f>
        <v>11.79715236686391</v>
      </c>
      <c r="CB43" s="6">
        <f>VLOOKUP(Table1[[#This Row],[Reference]],metron,16,FALSE)</f>
        <v>10.317122781065089</v>
      </c>
      <c r="CC43" s="6">
        <f>VLOOKUP(Table1[[#This Row],[Reference]],metron,17,FALSE)</f>
        <v>5.0637025966747622</v>
      </c>
      <c r="CD43" s="6">
        <f>VLOOKUP(Table1[[#This Row],[Reference]],metron,18,FALSE)</f>
        <v>4.4674014571268454</v>
      </c>
      <c r="CE43" s="6">
        <f>VLOOKUP(Table1[[#This Row],[Reference]],metron,19,FALSE)</f>
        <v>6.7334497701891483</v>
      </c>
      <c r="CF43" s="6">
        <f>VLOOKUP(Table1[[#This Row],[Reference]],metron,20,FALSE)</f>
        <v>5.849721323938244</v>
      </c>
      <c r="CG43" s="6">
        <f>VLOOKUP(Table1[[#This Row],[Reference]],metron,21,FALSE)</f>
        <v>12.89644194756554</v>
      </c>
      <c r="CH43" s="6">
        <f>VLOOKUP(Table1[[#This Row],[Reference]],metron,22,FALSE)</f>
        <v>13.3434456928839</v>
      </c>
      <c r="CI43" s="6">
        <f>VLOOKUP(Table1[[#This Row],[Reference]],metron,23,FALSE)</f>
        <v>1.6144382124117971</v>
      </c>
      <c r="CJ43" s="6">
        <f>VLOOKUP(Table1[[#This Row],[Reference]],metron,24,FALSE)</f>
        <v>1.9032024606477289</v>
      </c>
      <c r="CK43" s="6">
        <f>VLOOKUP(Table1[[#This Row],[Reference]],metron,25,FALSE)</f>
        <v>9.372172969060974E-2</v>
      </c>
      <c r="CL43" s="6">
        <f>VLOOKUP(Table1[[#This Row],[Reference]],metron,26,FALSE)</f>
        <v>0.11669983716301791</v>
      </c>
    </row>
    <row r="44" spans="1:90" hidden="1" x14ac:dyDescent="0.45">
      <c r="A44" t="s">
        <v>696</v>
      </c>
      <c r="B44">
        <v>1629338400</v>
      </c>
      <c r="C44" s="23" t="s">
        <v>194</v>
      </c>
      <c r="D44" t="s">
        <v>65</v>
      </c>
      <c r="E44" t="s">
        <v>66</v>
      </c>
      <c r="F44" t="s">
        <v>90</v>
      </c>
      <c r="G44" t="s">
        <v>85</v>
      </c>
      <c r="H44" t="s">
        <v>133</v>
      </c>
      <c r="I44">
        <f>MROUND(Table1[[#This Row],[ProbH]]*100,2)/100</f>
        <v>0.38</v>
      </c>
      <c r="J44">
        <f>1/Table1[[#This Row],[odds_ft_home_team_win]]-Table1[[#This Row],[Margin]]</f>
        <v>0.37942128418318888</v>
      </c>
      <c r="K44">
        <f>1/Table1[[#This Row],[odds_ft_draw]]-Table1[[#This Row],[Margin]]</f>
        <v>0.27895032656937419</v>
      </c>
      <c r="L44">
        <f>1/Table1[[#This Row],[odds_ft_away_team_win]]-Table1[[#This Row],[Margin]]</f>
        <v>0.34162838924743683</v>
      </c>
      <c r="M44">
        <v>5</v>
      </c>
      <c r="N44">
        <v>0.5</v>
      </c>
      <c r="O44">
        <v>1.5</v>
      </c>
      <c r="P44">
        <v>1.47</v>
      </c>
      <c r="Q44">
        <v>1.4</v>
      </c>
      <c r="R44" t="str" cm="1">
        <f t="array" ref="R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">
        <v>0</v>
      </c>
      <c r="T44">
        <v>3</v>
      </c>
      <c r="U44">
        <v>3</v>
      </c>
      <c r="V44">
        <v>1</v>
      </c>
      <c r="W44">
        <v>0</v>
      </c>
      <c r="X44">
        <v>1</v>
      </c>
      <c r="Z44" t="s">
        <v>195</v>
      </c>
      <c r="AA44">
        <v>12</v>
      </c>
      <c r="AB44">
        <v>5</v>
      </c>
      <c r="AC44">
        <v>4</v>
      </c>
      <c r="AD44">
        <v>0</v>
      </c>
      <c r="AE44">
        <v>2</v>
      </c>
      <c r="AF44">
        <v>1</v>
      </c>
      <c r="AG44">
        <v>0</v>
      </c>
      <c r="AH44">
        <v>4</v>
      </c>
      <c r="AI44">
        <v>0</v>
      </c>
      <c r="AJ44">
        <v>3</v>
      </c>
      <c r="AK44">
        <v>19</v>
      </c>
      <c r="AL44">
        <v>15</v>
      </c>
      <c r="AM44">
        <v>4</v>
      </c>
      <c r="AN44">
        <v>5</v>
      </c>
      <c r="AO44">
        <v>15</v>
      </c>
      <c r="AP44">
        <v>10</v>
      </c>
      <c r="AQ44">
        <v>14</v>
      </c>
      <c r="AR44">
        <v>13</v>
      </c>
      <c r="AS44">
        <v>51</v>
      </c>
      <c r="AT44">
        <v>49</v>
      </c>
      <c r="AU44">
        <v>1.88</v>
      </c>
      <c r="AV44">
        <v>1.5</v>
      </c>
      <c r="AW44">
        <v>3</v>
      </c>
      <c r="AX44">
        <v>50</v>
      </c>
      <c r="AY44">
        <v>75</v>
      </c>
      <c r="AZ44">
        <v>75</v>
      </c>
      <c r="BA44">
        <v>50</v>
      </c>
      <c r="BB44">
        <v>0</v>
      </c>
      <c r="BC44">
        <v>25</v>
      </c>
      <c r="BD44">
        <v>75</v>
      </c>
      <c r="BE44">
        <v>75</v>
      </c>
      <c r="BF44">
        <v>75</v>
      </c>
      <c r="BG44">
        <v>11</v>
      </c>
      <c r="BH44">
        <v>1</v>
      </c>
      <c r="BI44">
        <v>2.4500000000000002</v>
      </c>
      <c r="BJ44">
        <v>3.25</v>
      </c>
      <c r="BK44">
        <v>2.7</v>
      </c>
      <c r="BL44">
        <f>(1/Table1[[#This Row],[odds_ft_home_team_win]]+1/Table1[[#This Row],[odds_ft_draw]]+1/Table1[[#This Row],[odds_ft_away_team_win]]-1)/3</f>
        <v>2.8741981122933542E-2</v>
      </c>
      <c r="BM44">
        <v>1.36</v>
      </c>
      <c r="BN44">
        <v>2</v>
      </c>
      <c r="BO44">
        <v>3.2</v>
      </c>
      <c r="BP44">
        <v>6</v>
      </c>
      <c r="BQ44">
        <v>1.83</v>
      </c>
      <c r="BR44">
        <v>1.95</v>
      </c>
      <c r="BS44" t="s">
        <v>94</v>
      </c>
      <c r="BT44">
        <f>VLOOKUP(Table1[[#This Row],[Reference]],metron,8,FALSE)</f>
        <v>1.464160929441638</v>
      </c>
      <c r="BU44">
        <f>VLOOKUP(Table1[[#This Row],[Reference]],metron,9,FALSE)</f>
        <v>1.2477119808919459</v>
      </c>
      <c r="BV44">
        <f>VLOOKUP(Table1[[#This Row],[Reference]],metron,10,FALSE)</f>
        <v>2.4900895140664963</v>
      </c>
      <c r="BW44">
        <f>VLOOKUP(Table1[[#This Row],[Reference]],metron,11,FALSE)</f>
        <v>1.330562659846547</v>
      </c>
      <c r="BX44">
        <f>VLOOKUP(Table1[[#This Row],[Reference]],metron,12,FALSE)</f>
        <v>1.1595268542199491</v>
      </c>
      <c r="BY44" s="6">
        <f>VLOOKUP(Table1[[#This Row],[Reference]],metron,13,FALSE)</f>
        <v>0.59053607588191415</v>
      </c>
      <c r="BZ44" s="6">
        <f>VLOOKUP(Table1[[#This Row],[Reference]],metron,14,FALSE)</f>
        <v>0.50069274219332838</v>
      </c>
      <c r="CA44" s="6">
        <f>VLOOKUP(Table1[[#This Row],[Reference]],metron,15,FALSE)</f>
        <v>11.79715236686391</v>
      </c>
      <c r="CB44" s="6">
        <f>VLOOKUP(Table1[[#This Row],[Reference]],metron,16,FALSE)</f>
        <v>10.317122781065089</v>
      </c>
      <c r="CC44" s="6">
        <f>VLOOKUP(Table1[[#This Row],[Reference]],metron,17,FALSE)</f>
        <v>5.0637025966747622</v>
      </c>
      <c r="CD44" s="6">
        <f>VLOOKUP(Table1[[#This Row],[Reference]],metron,18,FALSE)</f>
        <v>4.4674014571268454</v>
      </c>
      <c r="CE44" s="6">
        <f>VLOOKUP(Table1[[#This Row],[Reference]],metron,19,FALSE)</f>
        <v>6.7334497701891483</v>
      </c>
      <c r="CF44" s="6">
        <f>VLOOKUP(Table1[[#This Row],[Reference]],metron,20,FALSE)</f>
        <v>5.849721323938244</v>
      </c>
      <c r="CG44" s="6">
        <f>VLOOKUP(Table1[[#This Row],[Reference]],metron,21,FALSE)</f>
        <v>12.89644194756554</v>
      </c>
      <c r="CH44" s="6">
        <f>VLOOKUP(Table1[[#This Row],[Reference]],metron,22,FALSE)</f>
        <v>13.3434456928839</v>
      </c>
      <c r="CI44" s="6">
        <f>VLOOKUP(Table1[[#This Row],[Reference]],metron,23,FALSE)</f>
        <v>1.6144382124117971</v>
      </c>
      <c r="CJ44" s="6">
        <f>VLOOKUP(Table1[[#This Row],[Reference]],metron,24,FALSE)</f>
        <v>1.9032024606477289</v>
      </c>
      <c r="CK44" s="6">
        <f>VLOOKUP(Table1[[#This Row],[Reference]],metron,25,FALSE)</f>
        <v>9.372172969060974E-2</v>
      </c>
      <c r="CL44" s="6">
        <f>VLOOKUP(Table1[[#This Row],[Reference]],metron,26,FALSE)</f>
        <v>0.11669983716301791</v>
      </c>
    </row>
    <row r="45" spans="1:90" hidden="1" x14ac:dyDescent="0.45">
      <c r="A45" t="s">
        <v>696</v>
      </c>
      <c r="B45">
        <v>1629338400</v>
      </c>
      <c r="C45" s="23" t="s">
        <v>194</v>
      </c>
      <c r="D45" t="s">
        <v>65</v>
      </c>
      <c r="E45" t="s">
        <v>66</v>
      </c>
      <c r="F45" t="s">
        <v>78</v>
      </c>
      <c r="G45" t="s">
        <v>68</v>
      </c>
      <c r="H45" t="s">
        <v>98</v>
      </c>
      <c r="I45">
        <f>MROUND(Table1[[#This Row],[ProbH]]*100,2)/100</f>
        <v>0.24</v>
      </c>
      <c r="J45">
        <f>1/Table1[[#This Row],[odds_ft_home_team_win]]-Table1[[#This Row],[Margin]]</f>
        <v>0.23138666888666884</v>
      </c>
      <c r="K45">
        <f>1/Table1[[#This Row],[odds_ft_draw]]-Table1[[#This Row],[Margin]]</f>
        <v>0.28414640914640915</v>
      </c>
      <c r="L45">
        <f>1/Table1[[#This Row],[odds_ft_away_team_win]]-Table1[[#This Row],[Margin]]</f>
        <v>0.48446692196692204</v>
      </c>
      <c r="M45">
        <v>5</v>
      </c>
      <c r="N45">
        <v>0.5</v>
      </c>
      <c r="O45">
        <v>2</v>
      </c>
      <c r="P45">
        <v>0.88</v>
      </c>
      <c r="Q45">
        <v>1.53</v>
      </c>
      <c r="R45" t="str" cm="1">
        <f t="array" ref="R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">
        <v>1</v>
      </c>
      <c r="T45">
        <v>2</v>
      </c>
      <c r="U45">
        <v>3</v>
      </c>
      <c r="V45">
        <v>2</v>
      </c>
      <c r="W45">
        <v>1</v>
      </c>
      <c r="X45">
        <v>1</v>
      </c>
      <c r="Y45">
        <v>31</v>
      </c>
      <c r="Z45" t="s">
        <v>196</v>
      </c>
      <c r="AA45">
        <v>1</v>
      </c>
      <c r="AB45">
        <v>5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10</v>
      </c>
      <c r="AL45">
        <v>18</v>
      </c>
      <c r="AM45">
        <v>6</v>
      </c>
      <c r="AN45">
        <v>8</v>
      </c>
      <c r="AO45">
        <v>4</v>
      </c>
      <c r="AP45">
        <v>10</v>
      </c>
      <c r="AQ45">
        <v>15</v>
      </c>
      <c r="AR45">
        <v>11</v>
      </c>
      <c r="AS45">
        <v>52</v>
      </c>
      <c r="AT45">
        <v>48</v>
      </c>
      <c r="AU45">
        <v>1.26</v>
      </c>
      <c r="AV45">
        <v>2.0299999999999998</v>
      </c>
      <c r="AW45">
        <v>1.75</v>
      </c>
      <c r="AX45">
        <v>50</v>
      </c>
      <c r="AY45">
        <v>50</v>
      </c>
      <c r="AZ45">
        <v>25</v>
      </c>
      <c r="BA45">
        <v>25</v>
      </c>
      <c r="BB45">
        <v>0</v>
      </c>
      <c r="BC45">
        <v>50</v>
      </c>
      <c r="BD45">
        <v>50</v>
      </c>
      <c r="BE45">
        <v>25</v>
      </c>
      <c r="BF45">
        <v>50</v>
      </c>
      <c r="BG45">
        <v>12</v>
      </c>
      <c r="BH45">
        <v>3.5</v>
      </c>
      <c r="BI45">
        <v>3.85</v>
      </c>
      <c r="BJ45">
        <v>3.2</v>
      </c>
      <c r="BK45">
        <v>1.95</v>
      </c>
      <c r="BL45">
        <f>(1/Table1[[#This Row],[odds_ft_home_team_win]]+1/Table1[[#This Row],[odds_ft_draw]]+1/Table1[[#This Row],[odds_ft_away_team_win]]-1)/3</f>
        <v>2.8353590853590866E-2</v>
      </c>
      <c r="BM45">
        <v>1.45</v>
      </c>
      <c r="BN45">
        <v>2.25</v>
      </c>
      <c r="BO45">
        <v>3.9</v>
      </c>
      <c r="BP45">
        <v>7.75</v>
      </c>
      <c r="BQ45">
        <v>2.1</v>
      </c>
      <c r="BR45">
        <v>1.71</v>
      </c>
      <c r="BS45" t="s">
        <v>82</v>
      </c>
      <c r="BT45">
        <f>VLOOKUP(Table1[[#This Row],[Reference]],metron,8,FALSE)</f>
        <v>1.0221684690062811</v>
      </c>
      <c r="BU45">
        <f>VLOOKUP(Table1[[#This Row],[Reference]],metron,9,FALSE)</f>
        <v>1.7036119427882386</v>
      </c>
      <c r="BV45">
        <f>VLOOKUP(Table1[[#This Row],[Reference]],metron,10,FALSE)</f>
        <v>2.6014437689969609</v>
      </c>
      <c r="BW45">
        <f>VLOOKUP(Table1[[#This Row],[Reference]],metron,11,FALSE)</f>
        <v>1.067249240121581</v>
      </c>
      <c r="BX45">
        <f>VLOOKUP(Table1[[#This Row],[Reference]],metron,12,FALSE)</f>
        <v>1.53419452887538</v>
      </c>
      <c r="BY45" s="6">
        <f>VLOOKUP(Table1[[#This Row],[Reference]],metron,13,FALSE)</f>
        <v>0.45589353612167299</v>
      </c>
      <c r="BZ45" s="6">
        <f>VLOOKUP(Table1[[#This Row],[Reference]],metron,14,FALSE)</f>
        <v>0.65133079847908748</v>
      </c>
      <c r="CA45" s="6">
        <f>VLOOKUP(Table1[[#This Row],[Reference]],metron,15,FALSE)</f>
        <v>10.75886524822695</v>
      </c>
      <c r="CB45" s="6">
        <f>VLOOKUP(Table1[[#This Row],[Reference]],metron,16,FALSE)</f>
        <v>12.46679561573179</v>
      </c>
      <c r="CC45" s="6">
        <f>VLOOKUP(Table1[[#This Row],[Reference]],metron,17,FALSE)</f>
        <v>4.1157347204161248</v>
      </c>
      <c r="CD45" s="6">
        <f>VLOOKUP(Table1[[#This Row],[Reference]],metron,18,FALSE)</f>
        <v>5.1072821846553964</v>
      </c>
      <c r="CE45" s="6">
        <f>VLOOKUP(Table1[[#This Row],[Reference]],metron,19,FALSE)</f>
        <v>6.6431305278108255</v>
      </c>
      <c r="CF45" s="6">
        <f>VLOOKUP(Table1[[#This Row],[Reference]],metron,20,FALSE)</f>
        <v>7.3595134310763939</v>
      </c>
      <c r="CG45" s="6">
        <f>VLOOKUP(Table1[[#This Row],[Reference]],metron,21,FALSE)</f>
        <v>13.11140235910878</v>
      </c>
      <c r="CH45" s="6">
        <f>VLOOKUP(Table1[[#This Row],[Reference]],metron,22,FALSE)</f>
        <v>12.93184796854522</v>
      </c>
      <c r="CI45" s="6">
        <f>VLOOKUP(Table1[[#This Row],[Reference]],metron,23,FALSE)</f>
        <v>1.8341677096370459</v>
      </c>
      <c r="CJ45" s="6">
        <f>VLOOKUP(Table1[[#This Row],[Reference]],metron,24,FALSE)</f>
        <v>1.7903629536921151</v>
      </c>
      <c r="CK45" s="6">
        <f>VLOOKUP(Table1[[#This Row],[Reference]],metron,25,FALSE)</f>
        <v>0.1095118898623279</v>
      </c>
      <c r="CL45" s="6">
        <f>VLOOKUP(Table1[[#This Row],[Reference]],metron,26,FALSE)</f>
        <v>9.3241551939924908E-2</v>
      </c>
    </row>
    <row r="46" spans="1:90" hidden="1" x14ac:dyDescent="0.45">
      <c r="A46" t="s">
        <v>696</v>
      </c>
      <c r="B46">
        <v>1629511200</v>
      </c>
      <c r="C46" s="23" t="s">
        <v>197</v>
      </c>
      <c r="D46" t="s">
        <v>65</v>
      </c>
      <c r="E46" t="s">
        <v>66</v>
      </c>
      <c r="F46" t="s">
        <v>113</v>
      </c>
      <c r="G46" t="s">
        <v>107</v>
      </c>
      <c r="H46" t="s">
        <v>92</v>
      </c>
      <c r="I46">
        <f>MROUND(Table1[[#This Row],[ProbH]]*100,2)/100</f>
        <v>0.3</v>
      </c>
      <c r="J46">
        <f>1/Table1[[#This Row],[odds_ft_home_team_win]]-Table1[[#This Row],[Margin]]</f>
        <v>0.30737704918032782</v>
      </c>
      <c r="K46">
        <f>1/Table1[[#This Row],[odds_ft_draw]]-Table1[[#This Row],[Margin]]</f>
        <v>0.30191256830601093</v>
      </c>
      <c r="L46">
        <f>1/Table1[[#This Row],[odds_ft_away_team_win]]-Table1[[#This Row],[Margin]]</f>
        <v>0.39071038251366119</v>
      </c>
      <c r="M46">
        <v>6</v>
      </c>
      <c r="N46">
        <v>2</v>
      </c>
      <c r="O46">
        <v>1.33</v>
      </c>
      <c r="P46">
        <v>1.71</v>
      </c>
      <c r="Q46">
        <v>1.48</v>
      </c>
      <c r="R46" t="str" cm="1">
        <f t="array" ref="R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6">
        <v>0</v>
      </c>
      <c r="T46">
        <v>3</v>
      </c>
      <c r="U46">
        <v>3</v>
      </c>
      <c r="V46">
        <v>0</v>
      </c>
      <c r="W46">
        <v>0</v>
      </c>
      <c r="X46">
        <v>0</v>
      </c>
      <c r="Z46" t="s">
        <v>198</v>
      </c>
      <c r="AA46">
        <v>3</v>
      </c>
      <c r="AB46">
        <v>2</v>
      </c>
      <c r="AC46">
        <v>1</v>
      </c>
      <c r="AD46">
        <v>2</v>
      </c>
      <c r="AE46">
        <v>1</v>
      </c>
      <c r="AF46">
        <v>0</v>
      </c>
      <c r="AG46">
        <v>1</v>
      </c>
      <c r="AH46">
        <v>2</v>
      </c>
      <c r="AI46">
        <v>0</v>
      </c>
      <c r="AJ46">
        <v>1</v>
      </c>
      <c r="AK46">
        <v>4</v>
      </c>
      <c r="AL46">
        <v>8</v>
      </c>
      <c r="AM46">
        <v>0</v>
      </c>
      <c r="AN46">
        <v>4</v>
      </c>
      <c r="AO46">
        <v>4</v>
      </c>
      <c r="AP46">
        <v>4</v>
      </c>
      <c r="AQ46">
        <v>6</v>
      </c>
      <c r="AR46">
        <v>11</v>
      </c>
      <c r="AS46">
        <v>42</v>
      </c>
      <c r="AT46">
        <v>58</v>
      </c>
      <c r="AU46">
        <v>0.43</v>
      </c>
      <c r="AV46">
        <v>1.29</v>
      </c>
      <c r="AW46">
        <v>2.75</v>
      </c>
      <c r="AX46">
        <v>100</v>
      </c>
      <c r="AY46">
        <v>100</v>
      </c>
      <c r="AZ46">
        <v>59</v>
      </c>
      <c r="BA46">
        <v>17</v>
      </c>
      <c r="BB46">
        <v>0</v>
      </c>
      <c r="BC46">
        <v>67</v>
      </c>
      <c r="BD46">
        <v>100</v>
      </c>
      <c r="BE46">
        <v>34</v>
      </c>
      <c r="BF46">
        <v>75</v>
      </c>
      <c r="BG46">
        <v>7</v>
      </c>
      <c r="BH46">
        <v>4</v>
      </c>
      <c r="BI46">
        <v>3</v>
      </c>
      <c r="BJ46">
        <v>3.05</v>
      </c>
      <c r="BK46">
        <v>2.4</v>
      </c>
      <c r="BL46">
        <f>(1/Table1[[#This Row],[odds_ft_home_team_win]]+1/Table1[[#This Row],[odds_ft_draw]]+1/Table1[[#This Row],[odds_ft_away_team_win]]-1)/3</f>
        <v>2.5956284153005511E-2</v>
      </c>
      <c r="BM46">
        <v>1.43</v>
      </c>
      <c r="BN46">
        <v>2.2000000000000002</v>
      </c>
      <c r="BO46">
        <v>3.7</v>
      </c>
      <c r="BP46">
        <v>7</v>
      </c>
      <c r="BQ46">
        <v>1.95</v>
      </c>
      <c r="BR46">
        <v>1.83</v>
      </c>
      <c r="BS46" t="s">
        <v>120</v>
      </c>
      <c r="BT46">
        <f>VLOOKUP(Table1[[#This Row],[Reference]],metron,8,FALSE)</f>
        <v>1.2142445227270171</v>
      </c>
      <c r="BU46">
        <f>VLOOKUP(Table1[[#This Row],[Reference]],metron,9,FALSE)</f>
        <v>1.4993969533036628</v>
      </c>
      <c r="BV46">
        <f>VLOOKUP(Table1[[#This Row],[Reference]],metron,10,FALSE)</f>
        <v>2.5726407816919519</v>
      </c>
      <c r="BW46">
        <f>VLOOKUP(Table1[[#This Row],[Reference]],metron,11,FALSE)</f>
        <v>1.1805091283106199</v>
      </c>
      <c r="BX46">
        <f>VLOOKUP(Table1[[#This Row],[Reference]],metron,12,FALSE)</f>
        <v>1.3921316533813319</v>
      </c>
      <c r="BY46" s="6">
        <f>VLOOKUP(Table1[[#This Row],[Reference]],metron,13,FALSE)</f>
        <v>0.5209673269873939</v>
      </c>
      <c r="BZ46" s="6">
        <f>VLOOKUP(Table1[[#This Row],[Reference]],metron,14,FALSE)</f>
        <v>0.61847182917417032</v>
      </c>
      <c r="CA46" s="6">
        <f>VLOOKUP(Table1[[#This Row],[Reference]],metron,15,FALSE)</f>
        <v>11.149200710479571</v>
      </c>
      <c r="CB46" s="6">
        <f>VLOOKUP(Table1[[#This Row],[Reference]],metron,16,FALSE)</f>
        <v>11.444049733570161</v>
      </c>
      <c r="CC46" s="6">
        <f>VLOOKUP(Table1[[#This Row],[Reference]],metron,17,FALSE)</f>
        <v>4.5257270693512304</v>
      </c>
      <c r="CD46" s="6">
        <f>VLOOKUP(Table1[[#This Row],[Reference]],metron,18,FALSE)</f>
        <v>4.8465324384787474</v>
      </c>
      <c r="CE46" s="6">
        <f>VLOOKUP(Table1[[#This Row],[Reference]],metron,19,FALSE)</f>
        <v>6.6234736411283404</v>
      </c>
      <c r="CF46" s="6">
        <f>VLOOKUP(Table1[[#This Row],[Reference]],metron,20,FALSE)</f>
        <v>6.5975172950914134</v>
      </c>
      <c r="CG46" s="6">
        <f>VLOOKUP(Table1[[#This Row],[Reference]],metron,21,FALSE)</f>
        <v>12.90081154192967</v>
      </c>
      <c r="CH46" s="6">
        <f>VLOOKUP(Table1[[#This Row],[Reference]],metron,22,FALSE)</f>
        <v>13.00360685302074</v>
      </c>
      <c r="CI46" s="6">
        <f>VLOOKUP(Table1[[#This Row],[Reference]],metron,23,FALSE)</f>
        <v>1.7502145922746779</v>
      </c>
      <c r="CJ46" s="6">
        <f>VLOOKUP(Table1[[#This Row],[Reference]],metron,24,FALSE)</f>
        <v>1.831402831402831</v>
      </c>
      <c r="CK46" s="6">
        <f>VLOOKUP(Table1[[#This Row],[Reference]],metron,25,FALSE)</f>
        <v>9.6525096525096526E-2</v>
      </c>
      <c r="CL46" s="6">
        <f>VLOOKUP(Table1[[#This Row],[Reference]],metron,26,FALSE)</f>
        <v>0.1244101244101244</v>
      </c>
    </row>
    <row r="47" spans="1:90" hidden="1" x14ac:dyDescent="0.45">
      <c r="A47" t="s">
        <v>696</v>
      </c>
      <c r="B47">
        <v>1629583200</v>
      </c>
      <c r="C47" s="23" t="s">
        <v>199</v>
      </c>
      <c r="D47" t="s">
        <v>65</v>
      </c>
      <c r="E47" t="s">
        <v>66</v>
      </c>
      <c r="F47" t="s">
        <v>97</v>
      </c>
      <c r="G47" t="s">
        <v>79</v>
      </c>
      <c r="H47" t="s">
        <v>69</v>
      </c>
      <c r="I47">
        <f>MROUND(Table1[[#This Row],[ProbH]]*100,2)/100</f>
        <v>0.52</v>
      </c>
      <c r="J47">
        <f>1/Table1[[#This Row],[odds_ft_home_team_win]]-Table1[[#This Row],[Margin]]</f>
        <v>0.52814510817246796</v>
      </c>
      <c r="K47">
        <f>1/Table1[[#This Row],[odds_ft_draw]]-Table1[[#This Row],[Margin]]</f>
        <v>0.26670719967573592</v>
      </c>
      <c r="L47">
        <f>1/Table1[[#This Row],[odds_ft_away_team_win]]-Table1[[#This Row],[Margin]]</f>
        <v>0.2051476921517961</v>
      </c>
      <c r="M47">
        <v>6</v>
      </c>
      <c r="N47">
        <v>1.5</v>
      </c>
      <c r="O47">
        <v>2</v>
      </c>
      <c r="P47">
        <v>1.55</v>
      </c>
      <c r="Q47">
        <v>1.29</v>
      </c>
      <c r="R47" t="str" cm="1">
        <f t="array" ref="R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AA47">
        <v>8</v>
      </c>
      <c r="AB47">
        <v>2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14</v>
      </c>
      <c r="AL47">
        <v>15</v>
      </c>
      <c r="AM47">
        <v>4</v>
      </c>
      <c r="AN47">
        <v>2</v>
      </c>
      <c r="AO47">
        <v>10</v>
      </c>
      <c r="AP47">
        <v>13</v>
      </c>
      <c r="AQ47">
        <v>10</v>
      </c>
      <c r="AR47">
        <v>7</v>
      </c>
      <c r="AS47">
        <v>58</v>
      </c>
      <c r="AT47">
        <v>42</v>
      </c>
      <c r="AU47">
        <v>1.65</v>
      </c>
      <c r="AV47">
        <v>1.35</v>
      </c>
      <c r="AW47">
        <v>2.42</v>
      </c>
      <c r="AX47">
        <v>17</v>
      </c>
      <c r="AY47">
        <v>75</v>
      </c>
      <c r="AZ47">
        <v>34</v>
      </c>
      <c r="BA47">
        <v>34</v>
      </c>
      <c r="BB47">
        <v>0</v>
      </c>
      <c r="BC47">
        <v>34</v>
      </c>
      <c r="BD47">
        <v>50</v>
      </c>
      <c r="BE47">
        <v>42</v>
      </c>
      <c r="BF47">
        <v>100</v>
      </c>
      <c r="BG47">
        <v>8.5</v>
      </c>
      <c r="BH47">
        <v>4.17</v>
      </c>
      <c r="BI47">
        <v>1.8</v>
      </c>
      <c r="BJ47">
        <v>3.4</v>
      </c>
      <c r="BK47">
        <v>4.3</v>
      </c>
      <c r="BL47">
        <f>(1/Table1[[#This Row],[odds_ft_home_team_win]]+1/Table1[[#This Row],[odds_ft_draw]]+1/Table1[[#This Row],[odds_ft_away_team_win]]-1)/3</f>
        <v>2.7410447383087622E-2</v>
      </c>
      <c r="BM47">
        <v>1.36</v>
      </c>
      <c r="BN47">
        <v>2.0499999999999998</v>
      </c>
      <c r="BO47">
        <v>3.4</v>
      </c>
      <c r="BP47">
        <v>6.5</v>
      </c>
      <c r="BQ47">
        <v>1.95</v>
      </c>
      <c r="BR47">
        <v>1.83</v>
      </c>
      <c r="BS47" t="s">
        <v>136</v>
      </c>
      <c r="BT47">
        <f>VLOOKUP(Table1[[#This Row],[Reference]],metron,8,FALSE)</f>
        <v>1.8614830167843088</v>
      </c>
      <c r="BU47">
        <f>VLOOKUP(Table1[[#This Row],[Reference]],metron,9,FALSE)</f>
        <v>0.87079851622593896</v>
      </c>
      <c r="BV47">
        <f>VLOOKUP(Table1[[#This Row],[Reference]],metron,10,FALSE)</f>
        <v>2.5967403582378576</v>
      </c>
      <c r="BW47">
        <f>VLOOKUP(Table1[[#This Row],[Reference]],metron,11,FALSE)</f>
        <v>1.625948039373891</v>
      </c>
      <c r="BX47">
        <f>VLOOKUP(Table1[[#This Row],[Reference]],metron,12,FALSE)</f>
        <v>0.97079231886396644</v>
      </c>
      <c r="BY47" s="6">
        <f>VLOOKUP(Table1[[#This Row],[Reference]],metron,13,FALSE)</f>
        <v>0.71433182698515174</v>
      </c>
      <c r="BZ47" s="6">
        <f>VLOOKUP(Table1[[#This Row],[Reference]],metron,14,FALSE)</f>
        <v>0.43011620400258233</v>
      </c>
      <c r="CA47" s="6">
        <f>VLOOKUP(Table1[[#This Row],[Reference]],metron,15,FALSE)</f>
        <v>13.39951055368614</v>
      </c>
      <c r="CB47" s="6">
        <f>VLOOKUP(Table1[[#This Row],[Reference]],metron,16,FALSE)</f>
        <v>9.4252064851636579</v>
      </c>
      <c r="CC47" s="6">
        <f>VLOOKUP(Table1[[#This Row],[Reference]],metron,17,FALSE)</f>
        <v>5.7628422023992618</v>
      </c>
      <c r="CD47" s="6">
        <f>VLOOKUP(Table1[[#This Row],[Reference]],metron,18,FALSE)</f>
        <v>3.9375576745616732</v>
      </c>
      <c r="CE47" s="6">
        <f>VLOOKUP(Table1[[#This Row],[Reference]],metron,19,FALSE)</f>
        <v>7.636668351286878</v>
      </c>
      <c r="CF47" s="6">
        <f>VLOOKUP(Table1[[#This Row],[Reference]],metron,20,FALSE)</f>
        <v>5.4876488106019847</v>
      </c>
      <c r="CG47" s="6">
        <f>VLOOKUP(Table1[[#This Row],[Reference]],metron,21,FALSE)</f>
        <v>12.460420531849101</v>
      </c>
      <c r="CH47" s="6">
        <f>VLOOKUP(Table1[[#This Row],[Reference]],metron,22,FALSE)</f>
        <v>13.44897959183673</v>
      </c>
      <c r="CI47" s="6">
        <f>VLOOKUP(Table1[[#This Row],[Reference]],metron,23,FALSE)</f>
        <v>1.462202380952381</v>
      </c>
      <c r="CJ47" s="6">
        <f>VLOOKUP(Table1[[#This Row],[Reference]],metron,24,FALSE)</f>
        <v>2.01547619047619</v>
      </c>
      <c r="CK47" s="6">
        <f>VLOOKUP(Table1[[#This Row],[Reference]],metron,25,FALSE)</f>
        <v>7.7380952380952384E-2</v>
      </c>
      <c r="CL47" s="6">
        <f>VLOOKUP(Table1[[#This Row],[Reference]],metron,26,FALSE)</f>
        <v>0.13754093480202439</v>
      </c>
    </row>
    <row r="48" spans="1:90" hidden="1" x14ac:dyDescent="0.45">
      <c r="A48" t="s">
        <v>696</v>
      </c>
      <c r="B48">
        <v>1629590400</v>
      </c>
      <c r="C48" s="23" t="s">
        <v>200</v>
      </c>
      <c r="D48" t="s">
        <v>65</v>
      </c>
      <c r="E48" t="s">
        <v>66</v>
      </c>
      <c r="F48" t="s">
        <v>85</v>
      </c>
      <c r="G48" t="s">
        <v>73</v>
      </c>
      <c r="H48" t="s">
        <v>130</v>
      </c>
      <c r="I48">
        <f>MROUND(Table1[[#This Row],[ProbH]]*100,2)/100</f>
        <v>0.48</v>
      </c>
      <c r="J48">
        <f>1/Table1[[#This Row],[odds_ft_home_team_win]]-Table1[[#This Row],[Margin]]</f>
        <v>0.47338935574229696</v>
      </c>
      <c r="K48">
        <f>1/Table1[[#This Row],[odds_ft_draw]]-Table1[[#This Row],[Margin]]</f>
        <v>0.25910364145658266</v>
      </c>
      <c r="L48">
        <f>1/Table1[[#This Row],[odds_ft_away_team_win]]-Table1[[#This Row],[Margin]]</f>
        <v>0.2675070028011205</v>
      </c>
      <c r="M48">
        <v>6</v>
      </c>
      <c r="N48">
        <v>3</v>
      </c>
      <c r="O48">
        <v>2</v>
      </c>
      <c r="P48">
        <v>1.55</v>
      </c>
      <c r="Q48">
        <v>1.1100000000000001</v>
      </c>
      <c r="R48" t="str" cm="1">
        <f t="array" ref="R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8">
        <v>1</v>
      </c>
      <c r="T48">
        <v>1</v>
      </c>
      <c r="U48">
        <v>2</v>
      </c>
      <c r="V48">
        <v>1</v>
      </c>
      <c r="W48">
        <v>0</v>
      </c>
      <c r="X48">
        <v>1</v>
      </c>
      <c r="Y48" t="s">
        <v>201</v>
      </c>
      <c r="Z48">
        <v>44</v>
      </c>
      <c r="AA48">
        <v>5</v>
      </c>
      <c r="AB48">
        <v>6</v>
      </c>
      <c r="AC48">
        <v>4</v>
      </c>
      <c r="AD48">
        <v>0</v>
      </c>
      <c r="AE48">
        <v>2</v>
      </c>
      <c r="AF48">
        <v>0</v>
      </c>
      <c r="AG48">
        <v>1</v>
      </c>
      <c r="AH48">
        <v>3</v>
      </c>
      <c r="AI48">
        <v>1</v>
      </c>
      <c r="AJ48">
        <v>1</v>
      </c>
      <c r="AK48">
        <v>20</v>
      </c>
      <c r="AL48">
        <v>13</v>
      </c>
      <c r="AM48">
        <v>7</v>
      </c>
      <c r="AN48">
        <v>4</v>
      </c>
      <c r="AO48">
        <v>13</v>
      </c>
      <c r="AP48">
        <v>9</v>
      </c>
      <c r="AQ48">
        <v>17</v>
      </c>
      <c r="AR48">
        <v>16</v>
      </c>
      <c r="AS48">
        <v>62</v>
      </c>
      <c r="AT48">
        <v>38</v>
      </c>
      <c r="AU48">
        <v>2.12</v>
      </c>
      <c r="AV48">
        <v>1.39</v>
      </c>
      <c r="AW48">
        <v>2.75</v>
      </c>
      <c r="AX48">
        <v>50</v>
      </c>
      <c r="AY48">
        <v>100</v>
      </c>
      <c r="AZ48">
        <v>75</v>
      </c>
      <c r="BA48">
        <v>0</v>
      </c>
      <c r="BB48">
        <v>0</v>
      </c>
      <c r="BC48">
        <v>25</v>
      </c>
      <c r="BD48">
        <v>100</v>
      </c>
      <c r="BE48">
        <v>50</v>
      </c>
      <c r="BF48">
        <v>100</v>
      </c>
      <c r="BG48">
        <v>11</v>
      </c>
      <c r="BH48">
        <v>3.5</v>
      </c>
      <c r="BI48">
        <v>2</v>
      </c>
      <c r="BJ48">
        <v>3.5</v>
      </c>
      <c r="BK48">
        <v>3.4</v>
      </c>
      <c r="BL48">
        <f>(1/Table1[[#This Row],[odds_ft_home_team_win]]+1/Table1[[#This Row],[odds_ft_draw]]+1/Table1[[#This Row],[odds_ft_away_team_win]]-1)/3</f>
        <v>2.661064425770306E-2</v>
      </c>
      <c r="BM48">
        <v>1.3</v>
      </c>
      <c r="BN48">
        <v>1.8</v>
      </c>
      <c r="BO48">
        <v>2.95</v>
      </c>
      <c r="BP48">
        <v>5.25</v>
      </c>
      <c r="BQ48">
        <v>1.74</v>
      </c>
      <c r="BR48">
        <v>2.0499999999999998</v>
      </c>
      <c r="BS48" t="s">
        <v>128</v>
      </c>
      <c r="BT48">
        <f>VLOOKUP(Table1[[#This Row],[Reference]],metron,8,FALSE)</f>
        <v>1.743992017160418</v>
      </c>
      <c r="BU48">
        <f>VLOOKUP(Table1[[#This Row],[Reference]],metron,9,FALSE)</f>
        <v>0.97803937284245479</v>
      </c>
      <c r="BV48">
        <f>VLOOKUP(Table1[[#This Row],[Reference]],metron,10,FALSE)</f>
        <v>2.5271929824561399</v>
      </c>
      <c r="BW48">
        <f>VLOOKUP(Table1[[#This Row],[Reference]],metron,11,FALSE)</f>
        <v>1.510877192982456</v>
      </c>
      <c r="BX48">
        <f>VLOOKUP(Table1[[#This Row],[Reference]],metron,12,FALSE)</f>
        <v>1.0163157894736841</v>
      </c>
      <c r="BY48" s="6">
        <f>VLOOKUP(Table1[[#This Row],[Reference]],metron,13,FALSE)</f>
        <v>0.67350877192982461</v>
      </c>
      <c r="BZ48" s="6">
        <f>VLOOKUP(Table1[[#This Row],[Reference]],metron,14,FALSE)</f>
        <v>0.4442105263157895</v>
      </c>
      <c r="CA48" s="6">
        <f>VLOOKUP(Table1[[#This Row],[Reference]],metron,15,FALSE)</f>
        <v>12.80980392156863</v>
      </c>
      <c r="CB48" s="6">
        <f>VLOOKUP(Table1[[#This Row],[Reference]],metron,16,FALSE)</f>
        <v>9.6872549019607845</v>
      </c>
      <c r="CC48" s="6">
        <f>VLOOKUP(Table1[[#This Row],[Reference]],metron,17,FALSE)</f>
        <v>5.6491169610129957</v>
      </c>
      <c r="CD48" s="6">
        <f>VLOOKUP(Table1[[#This Row],[Reference]],metron,18,FALSE)</f>
        <v>4.1379540153282237</v>
      </c>
      <c r="CE48" s="6">
        <f>VLOOKUP(Table1[[#This Row],[Reference]],metron,19,FALSE)</f>
        <v>7.1606869605556343</v>
      </c>
      <c r="CF48" s="6">
        <f>VLOOKUP(Table1[[#This Row],[Reference]],metron,20,FALSE)</f>
        <v>5.5493008866325608</v>
      </c>
      <c r="CG48" s="6">
        <f>VLOOKUP(Table1[[#This Row],[Reference]],metron,21,FALSE)</f>
        <v>12.9029029029029</v>
      </c>
      <c r="CH48" s="6">
        <f>VLOOKUP(Table1[[#This Row],[Reference]],metron,22,FALSE)</f>
        <v>13.75508842175509</v>
      </c>
      <c r="CI48" s="6">
        <f>VLOOKUP(Table1[[#This Row],[Reference]],metron,23,FALSE)</f>
        <v>1.5287356321839081</v>
      </c>
      <c r="CJ48" s="6">
        <f>VLOOKUP(Table1[[#This Row],[Reference]],metron,24,FALSE)</f>
        <v>1.9664750957854411</v>
      </c>
      <c r="CK48" s="6">
        <f>VLOOKUP(Table1[[#This Row],[Reference]],metron,25,FALSE)</f>
        <v>8.8441890166028103E-2</v>
      </c>
      <c r="CL48" s="6">
        <f>VLOOKUP(Table1[[#This Row],[Reference]],metron,26,FALSE)</f>
        <v>0.13409961685823751</v>
      </c>
    </row>
    <row r="49" spans="1:90" hidden="1" x14ac:dyDescent="0.45">
      <c r="A49" t="s">
        <v>696</v>
      </c>
      <c r="B49">
        <v>1629597600</v>
      </c>
      <c r="C49" s="23" t="s">
        <v>202</v>
      </c>
      <c r="D49" t="s">
        <v>65</v>
      </c>
      <c r="E49" t="s">
        <v>66</v>
      </c>
      <c r="F49" t="s">
        <v>91</v>
      </c>
      <c r="G49" t="s">
        <v>112</v>
      </c>
      <c r="H49" t="s">
        <v>103</v>
      </c>
      <c r="I49">
        <f>MROUND(Table1[[#This Row],[ProbH]]*100,2)/100</f>
        <v>0.26</v>
      </c>
      <c r="J49">
        <f>1/Table1[[#This Row],[odds_ft_home_team_win]]-Table1[[#This Row],[Margin]]</f>
        <v>0.25864379522916103</v>
      </c>
      <c r="K49">
        <f>1/Table1[[#This Row],[odds_ft_draw]]-Table1[[#This Row],[Margin]]</f>
        <v>0.28062181720718304</v>
      </c>
      <c r="L49">
        <f>1/Table1[[#This Row],[odds_ft_away_team_win]]-Table1[[#This Row],[Margin]]</f>
        <v>0.46073438756365587</v>
      </c>
      <c r="M49">
        <v>6</v>
      </c>
      <c r="N49">
        <v>0.5</v>
      </c>
      <c r="O49">
        <v>2</v>
      </c>
      <c r="P49">
        <v>1.1100000000000001</v>
      </c>
      <c r="Q49">
        <v>1.5</v>
      </c>
      <c r="R49" t="str" cm="1">
        <f t="array" ref="R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AA49">
        <v>4</v>
      </c>
      <c r="AB49">
        <v>2</v>
      </c>
      <c r="AC49">
        <v>4</v>
      </c>
      <c r="AD49">
        <v>0</v>
      </c>
      <c r="AE49">
        <v>2</v>
      </c>
      <c r="AF49">
        <v>0</v>
      </c>
      <c r="AG49">
        <v>1</v>
      </c>
      <c r="AH49">
        <v>3</v>
      </c>
      <c r="AI49">
        <v>2</v>
      </c>
      <c r="AJ49">
        <v>0</v>
      </c>
      <c r="AK49">
        <v>14</v>
      </c>
      <c r="AL49">
        <v>7</v>
      </c>
      <c r="AM49">
        <v>3</v>
      </c>
      <c r="AN49">
        <v>4</v>
      </c>
      <c r="AO49">
        <v>11</v>
      </c>
      <c r="AP49">
        <v>3</v>
      </c>
      <c r="AQ49">
        <v>17</v>
      </c>
      <c r="AR49">
        <v>9</v>
      </c>
      <c r="AS49">
        <v>49</v>
      </c>
      <c r="AT49">
        <v>51</v>
      </c>
      <c r="AU49">
        <v>1.37</v>
      </c>
      <c r="AV49">
        <v>0.97</v>
      </c>
      <c r="AW49">
        <v>2.25</v>
      </c>
      <c r="AX49">
        <v>75</v>
      </c>
      <c r="AY49">
        <v>100</v>
      </c>
      <c r="AZ49">
        <v>25</v>
      </c>
      <c r="BA49">
        <v>0</v>
      </c>
      <c r="BB49">
        <v>0</v>
      </c>
      <c r="BC49">
        <v>25</v>
      </c>
      <c r="BD49">
        <v>75</v>
      </c>
      <c r="BE49">
        <v>25</v>
      </c>
      <c r="BF49">
        <v>100</v>
      </c>
      <c r="BG49">
        <v>9.5</v>
      </c>
      <c r="BH49">
        <v>5.5</v>
      </c>
      <c r="BI49">
        <v>3.5</v>
      </c>
      <c r="BJ49">
        <v>3.25</v>
      </c>
      <c r="BK49">
        <v>2.0499999999999998</v>
      </c>
      <c r="BL49">
        <f>(1/Table1[[#This Row],[odds_ft_home_team_win]]+1/Table1[[#This Row],[odds_ft_draw]]+1/Table1[[#This Row],[odds_ft_away_team_win]]-1)/3</f>
        <v>2.7070490485124665E-2</v>
      </c>
      <c r="BM49">
        <v>1.39</v>
      </c>
      <c r="BN49">
        <v>2.1</v>
      </c>
      <c r="BO49">
        <v>3.5</v>
      </c>
      <c r="BP49">
        <v>6.75</v>
      </c>
      <c r="BQ49">
        <v>1.95</v>
      </c>
      <c r="BR49">
        <v>1.83</v>
      </c>
      <c r="BS49" t="s">
        <v>144</v>
      </c>
      <c r="BT49">
        <f>VLOOKUP(Table1[[#This Row],[Reference]],metron,8,FALSE)</f>
        <v>1.0905313574236399</v>
      </c>
      <c r="BU49">
        <f>VLOOKUP(Table1[[#This Row],[Reference]],metron,9,FALSE)</f>
        <v>1.6289415604939639</v>
      </c>
      <c r="BV49">
        <f>VLOOKUP(Table1[[#This Row],[Reference]],metron,10,FALSE)</f>
        <v>2.569449507838133</v>
      </c>
      <c r="BW49">
        <f>VLOOKUP(Table1[[#This Row],[Reference]],metron,11,FALSE)</f>
        <v>1.0936930368209989</v>
      </c>
      <c r="BX49">
        <f>VLOOKUP(Table1[[#This Row],[Reference]],metron,12,FALSE)</f>
        <v>1.475756471017134</v>
      </c>
      <c r="BY49" s="6">
        <f>VLOOKUP(Table1[[#This Row],[Reference]],metron,13,FALSE)</f>
        <v>0.50018228217280347</v>
      </c>
      <c r="BZ49" s="6">
        <f>VLOOKUP(Table1[[#This Row],[Reference]],metron,14,FALSE)</f>
        <v>0.65220561429092239</v>
      </c>
      <c r="CA49" s="6">
        <f>VLOOKUP(Table1[[#This Row],[Reference]],metron,15,FALSE)</f>
        <v>10.905576679340941</v>
      </c>
      <c r="CB49" s="6">
        <f>VLOOKUP(Table1[[#This Row],[Reference]],metron,16,FALSE)</f>
        <v>12.06463878326996</v>
      </c>
      <c r="CC49" s="6">
        <f>VLOOKUP(Table1[[#This Row],[Reference]],metron,17,FALSE)</f>
        <v>4.2920127795527154</v>
      </c>
      <c r="CD49" s="6">
        <f>VLOOKUP(Table1[[#This Row],[Reference]],metron,18,FALSE)</f>
        <v>5.0095846645367406</v>
      </c>
      <c r="CE49" s="6">
        <f>VLOOKUP(Table1[[#This Row],[Reference]],metron,19,FALSE)</f>
        <v>6.6135638997882253</v>
      </c>
      <c r="CF49" s="6">
        <f>VLOOKUP(Table1[[#This Row],[Reference]],metron,20,FALSE)</f>
        <v>7.055054118733219</v>
      </c>
      <c r="CG49" s="6">
        <f>VLOOKUP(Table1[[#This Row],[Reference]],metron,21,FALSE)</f>
        <v>12.94865211810013</v>
      </c>
      <c r="CH49" s="6">
        <f>VLOOKUP(Table1[[#This Row],[Reference]],metron,22,FALSE)</f>
        <v>13.189345314505781</v>
      </c>
      <c r="CI49" s="6">
        <f>VLOOKUP(Table1[[#This Row],[Reference]],metron,23,FALSE)</f>
        <v>1.771446078431373</v>
      </c>
      <c r="CJ49" s="6">
        <f>VLOOKUP(Table1[[#This Row],[Reference]],metron,24,FALSE)</f>
        <v>1.809436274509804</v>
      </c>
      <c r="CK49" s="6">
        <f>VLOOKUP(Table1[[#This Row],[Reference]],metron,25,FALSE)</f>
        <v>0.1060049019607843</v>
      </c>
      <c r="CL49" s="6">
        <f>VLOOKUP(Table1[[#This Row],[Reference]],metron,26,FALSE)</f>
        <v>9.6813725490196081E-2</v>
      </c>
    </row>
    <row r="50" spans="1:90" hidden="1" x14ac:dyDescent="0.45">
      <c r="A50" t="s">
        <v>696</v>
      </c>
      <c r="B50">
        <v>1629599760</v>
      </c>
      <c r="C50" s="23" t="s">
        <v>203</v>
      </c>
      <c r="D50" t="s">
        <v>65</v>
      </c>
      <c r="E50" t="s">
        <v>66</v>
      </c>
      <c r="F50" t="s">
        <v>101</v>
      </c>
      <c r="G50" t="s">
        <v>90</v>
      </c>
      <c r="H50" t="s">
        <v>114</v>
      </c>
      <c r="I50">
        <f>MROUND(Table1[[#This Row],[ProbH]]*100,2)/100</f>
        <v>0.57999999999999996</v>
      </c>
      <c r="J50">
        <f>1/Table1[[#This Row],[odds_ft_home_team_win]]-Table1[[#This Row],[Margin]]</f>
        <v>0.5812890812890813</v>
      </c>
      <c r="K50">
        <f>1/Table1[[#This Row],[odds_ft_draw]]-Table1[[#This Row],[Margin]]</f>
        <v>0.25300625300625301</v>
      </c>
      <c r="L50">
        <f>1/Table1[[#This Row],[odds_ft_away_team_win]]-Table1[[#This Row],[Margin]]</f>
        <v>0.16570466570466569</v>
      </c>
      <c r="M50">
        <v>6</v>
      </c>
      <c r="N50">
        <v>2.33</v>
      </c>
      <c r="O50">
        <v>2</v>
      </c>
      <c r="P50">
        <v>1.79</v>
      </c>
      <c r="Q50">
        <v>1.32</v>
      </c>
      <c r="R50" t="str" cm="1">
        <f t="array" ref="R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AA50">
        <v>4</v>
      </c>
      <c r="AB50">
        <v>4</v>
      </c>
      <c r="AC50">
        <v>1</v>
      </c>
      <c r="AD50">
        <v>1</v>
      </c>
      <c r="AE50">
        <v>3</v>
      </c>
      <c r="AF50">
        <v>0</v>
      </c>
      <c r="AG50">
        <v>0</v>
      </c>
      <c r="AH50">
        <v>2</v>
      </c>
      <c r="AI50">
        <v>2</v>
      </c>
      <c r="AJ50">
        <v>1</v>
      </c>
      <c r="AK50">
        <v>9</v>
      </c>
      <c r="AL50">
        <v>12</v>
      </c>
      <c r="AM50">
        <v>0</v>
      </c>
      <c r="AN50">
        <v>5</v>
      </c>
      <c r="AO50">
        <v>9</v>
      </c>
      <c r="AP50">
        <v>7</v>
      </c>
      <c r="AQ50">
        <v>14</v>
      </c>
      <c r="AR50">
        <v>17</v>
      </c>
      <c r="AS50">
        <v>49</v>
      </c>
      <c r="AT50">
        <v>51</v>
      </c>
      <c r="AU50">
        <v>0.91</v>
      </c>
      <c r="AV50">
        <v>1.34</v>
      </c>
      <c r="AW50">
        <v>1.84</v>
      </c>
      <c r="AX50">
        <v>34</v>
      </c>
      <c r="AY50">
        <v>75</v>
      </c>
      <c r="AZ50">
        <v>17</v>
      </c>
      <c r="BA50">
        <v>17</v>
      </c>
      <c r="BB50">
        <v>0</v>
      </c>
      <c r="BC50">
        <v>0</v>
      </c>
      <c r="BD50">
        <v>34</v>
      </c>
      <c r="BE50">
        <v>59</v>
      </c>
      <c r="BF50">
        <v>75</v>
      </c>
      <c r="BG50">
        <v>8.83</v>
      </c>
      <c r="BH50">
        <v>4.67</v>
      </c>
      <c r="BI50">
        <v>1.65</v>
      </c>
      <c r="BJ50">
        <v>3.6</v>
      </c>
      <c r="BK50">
        <v>5.25</v>
      </c>
      <c r="BL50">
        <f>(1/Table1[[#This Row],[odds_ft_home_team_win]]+1/Table1[[#This Row],[odds_ft_draw]]+1/Table1[[#This Row],[odds_ft_away_team_win]]-1)/3</f>
        <v>2.4771524771524778E-2</v>
      </c>
      <c r="BM50">
        <v>1.32</v>
      </c>
      <c r="BN50">
        <v>1.91</v>
      </c>
      <c r="BO50">
        <v>3.1</v>
      </c>
      <c r="BP50">
        <v>6</v>
      </c>
      <c r="BQ50">
        <v>1.91</v>
      </c>
      <c r="BR50">
        <v>1.87</v>
      </c>
      <c r="BS50" t="s">
        <v>104</v>
      </c>
      <c r="BT50">
        <f>VLOOKUP(Table1[[#This Row],[Reference]],metron,8,FALSE)</f>
        <v>2.0230889143600308</v>
      </c>
      <c r="BU50">
        <f>VLOOKUP(Table1[[#This Row],[Reference]],metron,9,FALSE)</f>
        <v>0.72731480520165426</v>
      </c>
      <c r="BV50">
        <f>VLOOKUP(Table1[[#This Row],[Reference]],metron,10,FALSE)</f>
        <v>2.6362999299229148</v>
      </c>
      <c r="BW50">
        <f>VLOOKUP(Table1[[#This Row],[Reference]],metron,11,FALSE)</f>
        <v>1.7619715019855171</v>
      </c>
      <c r="BX50">
        <f>VLOOKUP(Table1[[#This Row],[Reference]],metron,12,FALSE)</f>
        <v>0.87432842793739785</v>
      </c>
      <c r="BY50" s="6">
        <f>VLOOKUP(Table1[[#This Row],[Reference]],metron,13,FALSE)</f>
        <v>0.78411214953271025</v>
      </c>
      <c r="BZ50" s="6">
        <f>VLOOKUP(Table1[[#This Row],[Reference]],metron,14,FALSE)</f>
        <v>0.38060747663551397</v>
      </c>
      <c r="CA50" s="6">
        <f>VLOOKUP(Table1[[#This Row],[Reference]],metron,15,FALSE)</f>
        <v>14.215499378367181</v>
      </c>
      <c r="CB50" s="6">
        <f>VLOOKUP(Table1[[#This Row],[Reference]],metron,16,FALSE)</f>
        <v>8.9523612261806136</v>
      </c>
      <c r="CC50" s="6">
        <f>VLOOKUP(Table1[[#This Row],[Reference]],metron,17,FALSE)</f>
        <v>6.3083121289228163</v>
      </c>
      <c r="CD50" s="6">
        <f>VLOOKUP(Table1[[#This Row],[Reference]],metron,18,FALSE)</f>
        <v>3.7757524374735061</v>
      </c>
      <c r="CE50" s="6">
        <f>VLOOKUP(Table1[[#This Row],[Reference]],metron,19,FALSE)</f>
        <v>7.9071872494443642</v>
      </c>
      <c r="CF50" s="6">
        <f>VLOOKUP(Table1[[#This Row],[Reference]],metron,20,FALSE)</f>
        <v>5.1766087887071075</v>
      </c>
      <c r="CG50" s="6">
        <f>VLOOKUP(Table1[[#This Row],[Reference]],metron,21,FALSE)</f>
        <v>12.634239592183521</v>
      </c>
      <c r="CH50" s="6">
        <f>VLOOKUP(Table1[[#This Row],[Reference]],metron,22,FALSE)</f>
        <v>13.597706032285471</v>
      </c>
      <c r="CI50" s="6">
        <f>VLOOKUP(Table1[[#This Row],[Reference]],metron,23,FALSE)</f>
        <v>1.365400161681487</v>
      </c>
      <c r="CJ50" s="6">
        <f>VLOOKUP(Table1[[#This Row],[Reference]],metron,24,FALSE)</f>
        <v>1.963621665319321</v>
      </c>
      <c r="CK50" s="6">
        <f>VLOOKUP(Table1[[#This Row],[Reference]],metron,25,FALSE)</f>
        <v>7.1544058205335492E-2</v>
      </c>
      <c r="CL50" s="6">
        <f>VLOOKUP(Table1[[#This Row],[Reference]],metron,26,FALSE)</f>
        <v>0.1216653193209378</v>
      </c>
    </row>
    <row r="51" spans="1:90" hidden="1" x14ac:dyDescent="0.45">
      <c r="A51" t="s">
        <v>696</v>
      </c>
      <c r="B51">
        <v>1629651600</v>
      </c>
      <c r="C51" s="23" t="s">
        <v>204</v>
      </c>
      <c r="D51" t="s">
        <v>65</v>
      </c>
      <c r="E51" t="s">
        <v>66</v>
      </c>
      <c r="F51" t="s">
        <v>96</v>
      </c>
      <c r="G51" t="s">
        <v>102</v>
      </c>
      <c r="H51" t="s">
        <v>175</v>
      </c>
      <c r="I51">
        <f>MROUND(Table1[[#This Row],[ProbH]]*100,2)/100</f>
        <v>0.32</v>
      </c>
      <c r="J51">
        <f>1/Table1[[#This Row],[odds_ft_home_team_win]]-Table1[[#This Row],[Margin]]</f>
        <v>0.32280701754385971</v>
      </c>
      <c r="K51">
        <f>1/Table1[[#This Row],[odds_ft_draw]]-Table1[[#This Row],[Margin]]</f>
        <v>0.3052631578947369</v>
      </c>
      <c r="L51">
        <f>1/Table1[[#This Row],[odds_ft_away_team_win]]-Table1[[#This Row],[Margin]]</f>
        <v>0.37192982456140361</v>
      </c>
      <c r="M51">
        <v>6</v>
      </c>
      <c r="N51">
        <v>0.67</v>
      </c>
      <c r="O51">
        <v>0.67</v>
      </c>
      <c r="P51">
        <v>1.58</v>
      </c>
      <c r="Q51">
        <v>1.42</v>
      </c>
      <c r="R51" t="str" cm="1">
        <f t="array" ref="R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">
        <v>2</v>
      </c>
      <c r="T51">
        <v>0</v>
      </c>
      <c r="U51">
        <v>2</v>
      </c>
      <c r="V51">
        <v>0</v>
      </c>
      <c r="W51">
        <v>0</v>
      </c>
      <c r="X51">
        <v>0</v>
      </c>
      <c r="Y51" t="s">
        <v>205</v>
      </c>
      <c r="AA51">
        <v>8</v>
      </c>
      <c r="AB51">
        <v>4</v>
      </c>
      <c r="AC51">
        <v>2</v>
      </c>
      <c r="AD51">
        <v>0</v>
      </c>
      <c r="AE51">
        <v>1</v>
      </c>
      <c r="AF51">
        <v>0</v>
      </c>
      <c r="AG51">
        <v>2</v>
      </c>
      <c r="AH51">
        <v>0</v>
      </c>
      <c r="AI51">
        <v>0</v>
      </c>
      <c r="AJ51">
        <v>1</v>
      </c>
      <c r="AK51">
        <v>24</v>
      </c>
      <c r="AL51">
        <v>15</v>
      </c>
      <c r="AM51">
        <v>8</v>
      </c>
      <c r="AN51">
        <v>3</v>
      </c>
      <c r="AO51">
        <v>16</v>
      </c>
      <c r="AP51">
        <v>12</v>
      </c>
      <c r="AQ51">
        <v>13</v>
      </c>
      <c r="AR51">
        <v>13</v>
      </c>
      <c r="AS51">
        <v>49</v>
      </c>
      <c r="AT51">
        <v>51</v>
      </c>
      <c r="AU51">
        <v>2.48</v>
      </c>
      <c r="AV51">
        <v>1.31</v>
      </c>
      <c r="AW51">
        <v>1.67</v>
      </c>
      <c r="AX51">
        <v>50</v>
      </c>
      <c r="AY51">
        <v>67</v>
      </c>
      <c r="AZ51">
        <v>17</v>
      </c>
      <c r="BA51">
        <v>17</v>
      </c>
      <c r="BB51">
        <v>0</v>
      </c>
      <c r="BC51">
        <v>17</v>
      </c>
      <c r="BD51">
        <v>50</v>
      </c>
      <c r="BE51">
        <v>17</v>
      </c>
      <c r="BF51">
        <v>67</v>
      </c>
      <c r="BG51">
        <v>6.33</v>
      </c>
      <c r="BH51">
        <v>6.34</v>
      </c>
      <c r="BI51">
        <v>2.85</v>
      </c>
      <c r="BJ51">
        <v>3</v>
      </c>
      <c r="BK51">
        <v>2.5</v>
      </c>
      <c r="BL51">
        <f>(1/Table1[[#This Row],[odds_ft_home_team_win]]+1/Table1[[#This Row],[odds_ft_draw]]+1/Table1[[#This Row],[odds_ft_away_team_win]]-1)/3</f>
        <v>2.8070175438596429E-2</v>
      </c>
      <c r="BM51">
        <v>1.43</v>
      </c>
      <c r="BN51">
        <v>2.15</v>
      </c>
      <c r="BO51">
        <v>3.65</v>
      </c>
      <c r="BP51">
        <v>7</v>
      </c>
      <c r="BQ51">
        <v>1.95</v>
      </c>
      <c r="BR51">
        <v>1.83</v>
      </c>
      <c r="BS51" t="s">
        <v>99</v>
      </c>
      <c r="BT51">
        <f>VLOOKUP(Table1[[#This Row],[Reference]],metron,8,FALSE)</f>
        <v>1.274681051426811</v>
      </c>
      <c r="BU51">
        <f>VLOOKUP(Table1[[#This Row],[Reference]],metron,9,FALSE)</f>
        <v>1.4392482240810365</v>
      </c>
      <c r="BV51">
        <f>VLOOKUP(Table1[[#This Row],[Reference]],metron,10,FALSE)</f>
        <v>2.5313454284174597</v>
      </c>
      <c r="BW51">
        <f>VLOOKUP(Table1[[#This Row],[Reference]],metron,11,FALSE)</f>
        <v>1.210167055864918</v>
      </c>
      <c r="BX51">
        <f>VLOOKUP(Table1[[#This Row],[Reference]],metron,12,FALSE)</f>
        <v>1.3211783725525419</v>
      </c>
      <c r="BY51" s="6">
        <f>VLOOKUP(Table1[[#This Row],[Reference]],metron,13,FALSE)</f>
        <v>0.53135669362084459</v>
      </c>
      <c r="BZ51" s="6">
        <f>VLOOKUP(Table1[[#This Row],[Reference]],metron,14,FALSE)</f>
        <v>0.55633423180592989</v>
      </c>
      <c r="CA51" s="6">
        <f>VLOOKUP(Table1[[#This Row],[Reference]],metron,15,FALSE)</f>
        <v>11.21109010712035</v>
      </c>
      <c r="CB51" s="6">
        <f>VLOOKUP(Table1[[#This Row],[Reference]],metron,16,FALSE)</f>
        <v>11.01700787401575</v>
      </c>
      <c r="CC51" s="6">
        <f>VLOOKUP(Table1[[#This Row],[Reference]],metron,17,FALSE)</f>
        <v>4.6792332268370611</v>
      </c>
      <c r="CD51" s="6">
        <f>VLOOKUP(Table1[[#This Row],[Reference]],metron,18,FALSE)</f>
        <v>4.7080804854679013</v>
      </c>
      <c r="CE51" s="6">
        <f>VLOOKUP(Table1[[#This Row],[Reference]],metron,19,FALSE)</f>
        <v>6.5318568802832893</v>
      </c>
      <c r="CF51" s="6">
        <f>VLOOKUP(Table1[[#This Row],[Reference]],metron,20,FALSE)</f>
        <v>6.3089273885478487</v>
      </c>
      <c r="CG51" s="6">
        <f>VLOOKUP(Table1[[#This Row],[Reference]],metron,21,FALSE)</f>
        <v>12.72547770700637</v>
      </c>
      <c r="CH51" s="6">
        <f>VLOOKUP(Table1[[#This Row],[Reference]],metron,22,FALSE)</f>
        <v>13.06847133757962</v>
      </c>
      <c r="CI51" s="6">
        <f>VLOOKUP(Table1[[#This Row],[Reference]],metron,23,FALSE)</f>
        <v>1.6902356902356901</v>
      </c>
      <c r="CJ51" s="6">
        <f>VLOOKUP(Table1[[#This Row],[Reference]],metron,24,FALSE)</f>
        <v>1.8050198959289869</v>
      </c>
      <c r="CK51" s="6">
        <f>VLOOKUP(Table1[[#This Row],[Reference]],metron,25,FALSE)</f>
        <v>0.105907560453015</v>
      </c>
      <c r="CL51" s="6">
        <f>VLOOKUP(Table1[[#This Row],[Reference]],metron,26,FALSE)</f>
        <v>0.1141720232629324</v>
      </c>
    </row>
    <row r="52" spans="1:90" hidden="1" x14ac:dyDescent="0.45">
      <c r="A52" t="s">
        <v>696</v>
      </c>
      <c r="B52">
        <v>1629669600</v>
      </c>
      <c r="C52" s="23" t="s">
        <v>206</v>
      </c>
      <c r="D52" t="s">
        <v>65</v>
      </c>
      <c r="E52" t="s">
        <v>66</v>
      </c>
      <c r="F52" t="s">
        <v>68</v>
      </c>
      <c r="G52" t="s">
        <v>106</v>
      </c>
      <c r="H52" t="s">
        <v>80</v>
      </c>
      <c r="I52">
        <f>MROUND(Table1[[#This Row],[ProbH]]*100,2)/100</f>
        <v>0.64</v>
      </c>
      <c r="J52">
        <f>1/Table1[[#This Row],[odds_ft_home_team_win]]-Table1[[#This Row],[Margin]]</f>
        <v>0.63208746503941005</v>
      </c>
      <c r="K52">
        <f>1/Table1[[#This Row],[odds_ft_draw]]-Table1[[#This Row],[Margin]]</f>
        <v>0.22857869310958551</v>
      </c>
      <c r="L52">
        <f>1/Table1[[#This Row],[odds_ft_away_team_win]]-Table1[[#This Row],[Margin]]</f>
        <v>0.13933384185100428</v>
      </c>
      <c r="M52">
        <v>6</v>
      </c>
      <c r="N52">
        <v>3</v>
      </c>
      <c r="O52">
        <v>0.5</v>
      </c>
      <c r="P52">
        <v>1.9</v>
      </c>
      <c r="Q52">
        <v>0.53</v>
      </c>
      <c r="R52" t="str" cm="1">
        <f t="array" ref="R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">
        <v>2</v>
      </c>
      <c r="T52">
        <v>0</v>
      </c>
      <c r="U52">
        <v>2</v>
      </c>
      <c r="V52">
        <v>0</v>
      </c>
      <c r="W52">
        <v>0</v>
      </c>
      <c r="X52">
        <v>0</v>
      </c>
      <c r="Y52" t="s">
        <v>207</v>
      </c>
      <c r="AA52">
        <v>3</v>
      </c>
      <c r="AB52">
        <v>2</v>
      </c>
      <c r="AC52">
        <v>0</v>
      </c>
      <c r="AD52">
        <v>0</v>
      </c>
      <c r="AE52">
        <v>3</v>
      </c>
      <c r="AF52">
        <v>1</v>
      </c>
      <c r="AG52">
        <v>0</v>
      </c>
      <c r="AH52">
        <v>0</v>
      </c>
      <c r="AI52">
        <v>2</v>
      </c>
      <c r="AJ52">
        <v>2</v>
      </c>
      <c r="AK52">
        <v>16</v>
      </c>
      <c r="AL52">
        <v>6</v>
      </c>
      <c r="AM52">
        <v>7</v>
      </c>
      <c r="AN52">
        <v>2</v>
      </c>
      <c r="AO52">
        <v>9</v>
      </c>
      <c r="AP52">
        <v>4</v>
      </c>
      <c r="AQ52">
        <v>7</v>
      </c>
      <c r="AR52">
        <v>12</v>
      </c>
      <c r="AS52">
        <v>63</v>
      </c>
      <c r="AT52">
        <v>37</v>
      </c>
      <c r="AU52">
        <v>1.98</v>
      </c>
      <c r="AV52">
        <v>0.91</v>
      </c>
      <c r="AW52">
        <v>2.5</v>
      </c>
      <c r="AX52">
        <v>75</v>
      </c>
      <c r="AY52">
        <v>100</v>
      </c>
      <c r="AZ52">
        <v>50</v>
      </c>
      <c r="BA52">
        <v>0</v>
      </c>
      <c r="BB52">
        <v>0</v>
      </c>
      <c r="BC52">
        <v>25</v>
      </c>
      <c r="BD52">
        <v>100</v>
      </c>
      <c r="BE52">
        <v>50</v>
      </c>
      <c r="BF52">
        <v>75</v>
      </c>
      <c r="BG52">
        <v>7</v>
      </c>
      <c r="BH52">
        <v>2.5</v>
      </c>
      <c r="BI52">
        <v>1.5</v>
      </c>
      <c r="BJ52">
        <v>3.8</v>
      </c>
      <c r="BK52">
        <v>5.75</v>
      </c>
      <c r="BL52">
        <f>(1/Table1[[#This Row],[odds_ft_home_team_win]]+1/Table1[[#This Row],[odds_ft_draw]]+1/Table1[[#This Row],[odds_ft_away_team_win]]-1)/3</f>
        <v>3.4579201627256584E-2</v>
      </c>
      <c r="BM52">
        <v>1.32</v>
      </c>
      <c r="BN52">
        <v>1.8</v>
      </c>
      <c r="BO52">
        <v>3.1</v>
      </c>
      <c r="BP52">
        <v>5.75</v>
      </c>
      <c r="BQ52">
        <v>2</v>
      </c>
      <c r="BR52">
        <v>1.77</v>
      </c>
      <c r="BS52" t="s">
        <v>116</v>
      </c>
      <c r="BT52">
        <f>VLOOKUP(Table1[[#This Row],[Reference]],metron,8,FALSE)</f>
        <v>2.1745910991837163</v>
      </c>
      <c r="BU52">
        <f>VLOOKUP(Table1[[#This Row],[Reference]],metron,9,FALSE)</f>
        <v>0.59796358565236019</v>
      </c>
      <c r="BV52">
        <f>VLOOKUP(Table1[[#This Row],[Reference]],metron,10,FALSE)</f>
        <v>2.8343749999999996</v>
      </c>
      <c r="BW52">
        <f>VLOOKUP(Table1[[#This Row],[Reference]],metron,11,FALSE)</f>
        <v>1.980803571428571</v>
      </c>
      <c r="BX52">
        <f>VLOOKUP(Table1[[#This Row],[Reference]],metron,12,FALSE)</f>
        <v>0.85357142857142854</v>
      </c>
      <c r="BY52" s="6">
        <f>VLOOKUP(Table1[[#This Row],[Reference]],metron,13,FALSE)</f>
        <v>0.8683035714285714</v>
      </c>
      <c r="BZ52" s="6">
        <f>VLOOKUP(Table1[[#This Row],[Reference]],metron,14,FALSE)</f>
        <v>0.36607142857142849</v>
      </c>
      <c r="CA52" s="6">
        <f>VLOOKUP(Table1[[#This Row],[Reference]],metron,15,FALSE)</f>
        <v>15.03980099502488</v>
      </c>
      <c r="CB52" s="6">
        <f>VLOOKUP(Table1[[#This Row],[Reference]],metron,16,FALSE)</f>
        <v>8.6326699834162515</v>
      </c>
      <c r="CC52" s="6">
        <f>VLOOKUP(Table1[[#This Row],[Reference]],metron,17,FALSE)</f>
        <v>6.5189234650967203</v>
      </c>
      <c r="CD52" s="6">
        <f>VLOOKUP(Table1[[#This Row],[Reference]],metron,18,FALSE)</f>
        <v>3.4507989907485279</v>
      </c>
      <c r="CE52" s="6">
        <f>VLOOKUP(Table1[[#This Row],[Reference]],metron,19,FALSE)</f>
        <v>8.5208775299281605</v>
      </c>
      <c r="CF52" s="6">
        <f>VLOOKUP(Table1[[#This Row],[Reference]],metron,20,FALSE)</f>
        <v>5.181870992667724</v>
      </c>
      <c r="CG52" s="6">
        <f>VLOOKUP(Table1[[#This Row],[Reference]],metron,21,FALSE)</f>
        <v>12.48566610455312</v>
      </c>
      <c r="CH52" s="6">
        <f>VLOOKUP(Table1[[#This Row],[Reference]],metron,22,FALSE)</f>
        <v>13.573355817875211</v>
      </c>
      <c r="CI52" s="6">
        <f>VLOOKUP(Table1[[#This Row],[Reference]],metron,23,FALSE)</f>
        <v>1.395273023634882</v>
      </c>
      <c r="CJ52" s="6">
        <f>VLOOKUP(Table1[[#This Row],[Reference]],metron,24,FALSE)</f>
        <v>2.0586797066014668</v>
      </c>
      <c r="CK52" s="6">
        <f>VLOOKUP(Table1[[#This Row],[Reference]],metron,25,FALSE)</f>
        <v>6.8459657701711488E-2</v>
      </c>
      <c r="CL52" s="6">
        <f>VLOOKUP(Table1[[#This Row],[Reference]],metron,26,FALSE)</f>
        <v>0.12713936430317849</v>
      </c>
    </row>
    <row r="53" spans="1:90" hidden="1" x14ac:dyDescent="0.45">
      <c r="A53" t="s">
        <v>696</v>
      </c>
      <c r="B53">
        <v>1629676800</v>
      </c>
      <c r="C53" s="23" t="s">
        <v>208</v>
      </c>
      <c r="D53" t="s">
        <v>65</v>
      </c>
      <c r="E53" t="s">
        <v>66</v>
      </c>
      <c r="F53" t="s">
        <v>72</v>
      </c>
      <c r="G53" t="s">
        <v>78</v>
      </c>
      <c r="H53" t="s">
        <v>66</v>
      </c>
      <c r="I53">
        <f>MROUND(Table1[[#This Row],[ProbH]]*100,2)/100</f>
        <v>0.52</v>
      </c>
      <c r="J53">
        <f>1/Table1[[#This Row],[odds_ft_home_team_win]]-Table1[[#This Row],[Margin]]</f>
        <v>0.52948570494811797</v>
      </c>
      <c r="K53">
        <f>1/Table1[[#This Row],[odds_ft_draw]]-Table1[[#This Row],[Margin]]</f>
        <v>0.25562029023763289</v>
      </c>
      <c r="L53">
        <f>1/Table1[[#This Row],[odds_ft_away_team_win]]-Table1[[#This Row],[Margin]]</f>
        <v>0.21489400481424914</v>
      </c>
      <c r="M53">
        <v>6</v>
      </c>
      <c r="N53">
        <v>1</v>
      </c>
      <c r="O53">
        <v>0.5</v>
      </c>
      <c r="P53">
        <v>1.24</v>
      </c>
      <c r="Q53">
        <v>0.71</v>
      </c>
      <c r="R53" t="str" cm="1">
        <f t="array" ref="R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84</v>
      </c>
      <c r="AA53">
        <v>2</v>
      </c>
      <c r="AB53">
        <v>3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10</v>
      </c>
      <c r="AL53">
        <v>13</v>
      </c>
      <c r="AM53">
        <v>6</v>
      </c>
      <c r="AN53">
        <v>3</v>
      </c>
      <c r="AO53">
        <v>4</v>
      </c>
      <c r="AP53">
        <v>10</v>
      </c>
      <c r="AQ53">
        <v>14</v>
      </c>
      <c r="AR53">
        <v>7</v>
      </c>
      <c r="AS53">
        <v>36</v>
      </c>
      <c r="AT53">
        <v>64</v>
      </c>
      <c r="AU53">
        <v>1.3</v>
      </c>
      <c r="AV53">
        <v>1.22</v>
      </c>
      <c r="AW53">
        <v>3</v>
      </c>
      <c r="AX53">
        <v>42</v>
      </c>
      <c r="AY53">
        <v>100</v>
      </c>
      <c r="AZ53">
        <v>75</v>
      </c>
      <c r="BA53">
        <v>25</v>
      </c>
      <c r="BB53">
        <v>0</v>
      </c>
      <c r="BC53">
        <v>59</v>
      </c>
      <c r="BD53">
        <v>75</v>
      </c>
      <c r="BE53">
        <v>67</v>
      </c>
      <c r="BF53">
        <v>100</v>
      </c>
      <c r="BG53">
        <v>7.33</v>
      </c>
      <c r="BH53">
        <v>2.67</v>
      </c>
      <c r="BI53">
        <v>1.8</v>
      </c>
      <c r="BJ53">
        <v>3.55</v>
      </c>
      <c r="BK53">
        <v>4.1500000000000004</v>
      </c>
      <c r="BL53">
        <f>(1/Table1[[#This Row],[odds_ft_home_team_win]]+1/Table1[[#This Row],[odds_ft_draw]]+1/Table1[[#This Row],[odds_ft_away_team_win]]-1)/3</f>
        <v>2.6069850607437568E-2</v>
      </c>
      <c r="BM53">
        <v>1.37</v>
      </c>
      <c r="BN53">
        <v>2</v>
      </c>
      <c r="BO53">
        <v>3.4</v>
      </c>
      <c r="BP53">
        <v>6.5</v>
      </c>
      <c r="BQ53">
        <v>1.95</v>
      </c>
      <c r="BR53">
        <v>1.8</v>
      </c>
      <c r="BS53" t="s">
        <v>76</v>
      </c>
      <c r="BT53">
        <f>VLOOKUP(Table1[[#This Row],[Reference]],metron,8,FALSE)</f>
        <v>1.8614830167843088</v>
      </c>
      <c r="BU53">
        <f>VLOOKUP(Table1[[#This Row],[Reference]],metron,9,FALSE)</f>
        <v>0.87079851622593896</v>
      </c>
      <c r="BV53">
        <f>VLOOKUP(Table1[[#This Row],[Reference]],metron,10,FALSE)</f>
        <v>2.5967403582378576</v>
      </c>
      <c r="BW53">
        <f>VLOOKUP(Table1[[#This Row],[Reference]],metron,11,FALSE)</f>
        <v>1.625948039373891</v>
      </c>
      <c r="BX53">
        <f>VLOOKUP(Table1[[#This Row],[Reference]],metron,12,FALSE)</f>
        <v>0.97079231886396644</v>
      </c>
      <c r="BY53" s="6">
        <f>VLOOKUP(Table1[[#This Row],[Reference]],metron,13,FALSE)</f>
        <v>0.71433182698515174</v>
      </c>
      <c r="BZ53" s="6">
        <f>VLOOKUP(Table1[[#This Row],[Reference]],metron,14,FALSE)</f>
        <v>0.43011620400258233</v>
      </c>
      <c r="CA53" s="6">
        <f>VLOOKUP(Table1[[#This Row],[Reference]],metron,15,FALSE)</f>
        <v>13.39951055368614</v>
      </c>
      <c r="CB53" s="6">
        <f>VLOOKUP(Table1[[#This Row],[Reference]],metron,16,FALSE)</f>
        <v>9.4252064851636579</v>
      </c>
      <c r="CC53" s="6">
        <f>VLOOKUP(Table1[[#This Row],[Reference]],metron,17,FALSE)</f>
        <v>5.7628422023992618</v>
      </c>
      <c r="CD53" s="6">
        <f>VLOOKUP(Table1[[#This Row],[Reference]],metron,18,FALSE)</f>
        <v>3.9375576745616732</v>
      </c>
      <c r="CE53" s="6">
        <f>VLOOKUP(Table1[[#This Row],[Reference]],metron,19,FALSE)</f>
        <v>7.636668351286878</v>
      </c>
      <c r="CF53" s="6">
        <f>VLOOKUP(Table1[[#This Row],[Reference]],metron,20,FALSE)</f>
        <v>5.4876488106019847</v>
      </c>
      <c r="CG53" s="6">
        <f>VLOOKUP(Table1[[#This Row],[Reference]],metron,21,FALSE)</f>
        <v>12.460420531849101</v>
      </c>
      <c r="CH53" s="6">
        <f>VLOOKUP(Table1[[#This Row],[Reference]],metron,22,FALSE)</f>
        <v>13.44897959183673</v>
      </c>
      <c r="CI53" s="6">
        <f>VLOOKUP(Table1[[#This Row],[Reference]],metron,23,FALSE)</f>
        <v>1.462202380952381</v>
      </c>
      <c r="CJ53" s="6">
        <f>VLOOKUP(Table1[[#This Row],[Reference]],metron,24,FALSE)</f>
        <v>2.01547619047619</v>
      </c>
      <c r="CK53" s="6">
        <f>VLOOKUP(Table1[[#This Row],[Reference]],metron,25,FALSE)</f>
        <v>7.7380952380952384E-2</v>
      </c>
      <c r="CL53" s="6">
        <f>VLOOKUP(Table1[[#This Row],[Reference]],metron,26,FALSE)</f>
        <v>0.13754093480202439</v>
      </c>
    </row>
    <row r="54" spans="1:90" hidden="1" x14ac:dyDescent="0.45">
      <c r="A54" t="s">
        <v>696</v>
      </c>
      <c r="B54">
        <v>1629684000</v>
      </c>
      <c r="C54" s="23" t="s">
        <v>209</v>
      </c>
      <c r="D54" t="s">
        <v>65</v>
      </c>
      <c r="E54" t="s">
        <v>66</v>
      </c>
      <c r="F54" t="s">
        <v>67</v>
      </c>
      <c r="G54" t="s">
        <v>84</v>
      </c>
      <c r="H54" t="s">
        <v>158</v>
      </c>
      <c r="I54">
        <f>MROUND(Table1[[#This Row],[ProbH]]*100,2)/100</f>
        <v>0.28000000000000003</v>
      </c>
      <c r="J54">
        <f>1/Table1[[#This Row],[odds_ft_home_team_win]]-Table1[[#This Row],[Margin]]</f>
        <v>0.27278789394318276</v>
      </c>
      <c r="K54">
        <f>1/Table1[[#This Row],[odds_ft_draw]]-Table1[[#This Row],[Margin]]</f>
        <v>0.29233823607417003</v>
      </c>
      <c r="L54">
        <f>1/Table1[[#This Row],[odds_ft_away_team_win]]-Table1[[#This Row],[Margin]]</f>
        <v>0.43487386998264715</v>
      </c>
      <c r="M54">
        <v>6</v>
      </c>
      <c r="N54">
        <v>0.5</v>
      </c>
      <c r="O54">
        <v>0</v>
      </c>
      <c r="P54">
        <v>1.24</v>
      </c>
      <c r="Q54">
        <v>1.42</v>
      </c>
      <c r="R54" s="9" t="str" cm="1">
        <f t="array" ref="R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4">
        <v>0</v>
      </c>
      <c r="T54">
        <v>2</v>
      </c>
      <c r="U54">
        <v>2</v>
      </c>
      <c r="V54">
        <v>1</v>
      </c>
      <c r="W54">
        <v>0</v>
      </c>
      <c r="X54">
        <v>1</v>
      </c>
      <c r="Z54" t="s">
        <v>210</v>
      </c>
      <c r="AA54">
        <v>4</v>
      </c>
      <c r="AB54">
        <v>2</v>
      </c>
      <c r="AC54">
        <v>2</v>
      </c>
      <c r="AD54">
        <v>0</v>
      </c>
      <c r="AE54">
        <v>2</v>
      </c>
      <c r="AF54">
        <v>0</v>
      </c>
      <c r="AG54">
        <v>0</v>
      </c>
      <c r="AH54">
        <v>2</v>
      </c>
      <c r="AI54">
        <v>1</v>
      </c>
      <c r="AJ54">
        <v>1</v>
      </c>
      <c r="AK54">
        <v>19</v>
      </c>
      <c r="AL54">
        <v>13</v>
      </c>
      <c r="AM54">
        <v>3</v>
      </c>
      <c r="AN54">
        <v>6</v>
      </c>
      <c r="AO54">
        <v>16</v>
      </c>
      <c r="AP54">
        <v>7</v>
      </c>
      <c r="AQ54">
        <v>10</v>
      </c>
      <c r="AR54">
        <v>13</v>
      </c>
      <c r="AS54">
        <v>57</v>
      </c>
      <c r="AT54">
        <v>43</v>
      </c>
      <c r="AU54">
        <v>1.79</v>
      </c>
      <c r="AV54">
        <v>1.5</v>
      </c>
      <c r="AW54">
        <v>2</v>
      </c>
      <c r="AX54">
        <v>50</v>
      </c>
      <c r="AY54">
        <v>50</v>
      </c>
      <c r="AZ54">
        <v>50</v>
      </c>
      <c r="BA54">
        <v>25</v>
      </c>
      <c r="BB54">
        <v>0</v>
      </c>
      <c r="BC54">
        <v>25</v>
      </c>
      <c r="BD54">
        <v>75</v>
      </c>
      <c r="BE54">
        <v>25</v>
      </c>
      <c r="BF54">
        <v>50</v>
      </c>
      <c r="BG54">
        <v>8</v>
      </c>
      <c r="BH54">
        <v>3</v>
      </c>
      <c r="BI54">
        <v>3.3</v>
      </c>
      <c r="BJ54">
        <v>3.1</v>
      </c>
      <c r="BK54">
        <v>2.15</v>
      </c>
      <c r="BL54">
        <f>(1/Table1[[#This Row],[odds_ft_home_team_win]]+1/Table1[[#This Row],[odds_ft_draw]]+1/Table1[[#This Row],[odds_ft_away_team_win]]-1)/3</f>
        <v>3.0242409087120281E-2</v>
      </c>
      <c r="BM54">
        <v>1.47</v>
      </c>
      <c r="BN54">
        <v>2.25</v>
      </c>
      <c r="BO54">
        <v>3.9</v>
      </c>
      <c r="BP54">
        <v>7.5</v>
      </c>
      <c r="BQ54">
        <v>2.0499999999999998</v>
      </c>
      <c r="BR54">
        <v>1.74</v>
      </c>
      <c r="BS54" t="s">
        <v>70</v>
      </c>
      <c r="BT54">
        <f>VLOOKUP(Table1[[#This Row],[Reference]],metron,8,FALSE)</f>
        <v>1.1529533168233341</v>
      </c>
      <c r="BU54">
        <f>VLOOKUP(Table1[[#This Row],[Reference]],metron,9,FALSE)</f>
        <v>1.5628535554286829</v>
      </c>
      <c r="BV54">
        <f>VLOOKUP(Table1[[#This Row],[Reference]],metron,10,FALSE)</f>
        <v>2.5445607358071678</v>
      </c>
      <c r="BW54">
        <f>VLOOKUP(Table1[[#This Row],[Reference]],metron,11,FALSE)</f>
        <v>1.128766254360926</v>
      </c>
      <c r="BX54">
        <f>VLOOKUP(Table1[[#This Row],[Reference]],metron,12,FALSE)</f>
        <v>1.415794481446242</v>
      </c>
      <c r="BY54" s="6">
        <f>VLOOKUP(Table1[[#This Row],[Reference]],metron,13,FALSE)</f>
        <v>0.49635267998731369</v>
      </c>
      <c r="BZ54" s="6">
        <f>VLOOKUP(Table1[[#This Row],[Reference]],metron,14,FALSE)</f>
        <v>0.61084681255946716</v>
      </c>
      <c r="CA54" s="6">
        <f>VLOOKUP(Table1[[#This Row],[Reference]],metron,15,FALSE)</f>
        <v>11.04442036836403</v>
      </c>
      <c r="CB54" s="6">
        <f>VLOOKUP(Table1[[#This Row],[Reference]],metron,16,FALSE)</f>
        <v>11.38840736728061</v>
      </c>
      <c r="CC54" s="6">
        <f>VLOOKUP(Table1[[#This Row],[Reference]],metron,17,FALSE)</f>
        <v>4.5379574003276897</v>
      </c>
      <c r="CD54" s="6">
        <f>VLOOKUP(Table1[[#This Row],[Reference]],metron,18,FALSE)</f>
        <v>4.8481703986892413</v>
      </c>
      <c r="CE54" s="6">
        <f>VLOOKUP(Table1[[#This Row],[Reference]],metron,19,FALSE)</f>
        <v>6.5064629680363399</v>
      </c>
      <c r="CF54" s="6">
        <f>VLOOKUP(Table1[[#This Row],[Reference]],metron,20,FALSE)</f>
        <v>6.540236968591369</v>
      </c>
      <c r="CG54" s="6">
        <f>VLOOKUP(Table1[[#This Row],[Reference]],metron,21,FALSE)</f>
        <v>13.117582417582421</v>
      </c>
      <c r="CH54" s="6">
        <f>VLOOKUP(Table1[[#This Row],[Reference]],metron,22,FALSE)</f>
        <v>13.28241758241758</v>
      </c>
      <c r="CI54" s="6">
        <f>VLOOKUP(Table1[[#This Row],[Reference]],metron,23,FALSE)</f>
        <v>1.792592592592593</v>
      </c>
      <c r="CJ54" s="6">
        <f>VLOOKUP(Table1[[#This Row],[Reference]],metron,24,FALSE)</f>
        <v>1.806980433632998</v>
      </c>
      <c r="CK54" s="6">
        <f>VLOOKUP(Table1[[#This Row],[Reference]],metron,25,FALSE)</f>
        <v>0.1047065044949762</v>
      </c>
      <c r="CL54" s="6">
        <f>VLOOKUP(Table1[[#This Row],[Reference]],metron,26,FALSE)</f>
        <v>0.1073506081438392</v>
      </c>
    </row>
    <row r="55" spans="1:90" hidden="1" x14ac:dyDescent="0.45">
      <c r="A55" t="s">
        <v>696</v>
      </c>
      <c r="B55">
        <v>1630108800</v>
      </c>
      <c r="C55" s="23" t="s">
        <v>211</v>
      </c>
      <c r="D55" t="s">
        <v>65</v>
      </c>
      <c r="E55" t="s">
        <v>66</v>
      </c>
      <c r="F55" t="s">
        <v>113</v>
      </c>
      <c r="G55" t="s">
        <v>91</v>
      </c>
      <c r="H55" t="s">
        <v>133</v>
      </c>
      <c r="I55">
        <f>MROUND(Table1[[#This Row],[ProbH]]*100,2)/100</f>
        <v>0.4</v>
      </c>
      <c r="J55">
        <f>1/Table1[[#This Row],[odds_ft_home_team_win]]-Table1[[#This Row],[Margin]]</f>
        <v>0.40791062801932371</v>
      </c>
      <c r="K55">
        <f>1/Table1[[#This Row],[odds_ft_draw]]-Table1[[#This Row],[Margin]]</f>
        <v>0.3064613526570048</v>
      </c>
      <c r="L55">
        <f>1/Table1[[#This Row],[odds_ft_away_team_win]]-Table1[[#This Row],[Margin]]</f>
        <v>0.28562801932367149</v>
      </c>
      <c r="M55">
        <v>7</v>
      </c>
      <c r="N55">
        <v>1.33</v>
      </c>
      <c r="O55">
        <v>3</v>
      </c>
      <c r="P55">
        <v>1.71</v>
      </c>
      <c r="Q55">
        <v>1.25</v>
      </c>
      <c r="R55" t="str" cm="1">
        <f t="array" ref="R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5">
        <v>2</v>
      </c>
      <c r="T55">
        <v>2</v>
      </c>
      <c r="U55">
        <v>4</v>
      </c>
      <c r="V55">
        <v>2</v>
      </c>
      <c r="W55">
        <v>1</v>
      </c>
      <c r="X55">
        <v>1</v>
      </c>
      <c r="Y55" t="s">
        <v>212</v>
      </c>
      <c r="Z55" t="s">
        <v>213</v>
      </c>
      <c r="AA55">
        <v>2</v>
      </c>
      <c r="AB55">
        <v>6</v>
      </c>
      <c r="AC55">
        <v>2</v>
      </c>
      <c r="AD55">
        <v>0</v>
      </c>
      <c r="AE55">
        <v>2</v>
      </c>
      <c r="AF55">
        <v>0</v>
      </c>
      <c r="AG55">
        <v>0</v>
      </c>
      <c r="AH55">
        <v>2</v>
      </c>
      <c r="AI55">
        <v>1</v>
      </c>
      <c r="AJ55">
        <v>1</v>
      </c>
      <c r="AK55">
        <v>3</v>
      </c>
      <c r="AL55">
        <v>7</v>
      </c>
      <c r="AM55">
        <v>2</v>
      </c>
      <c r="AN55">
        <v>6</v>
      </c>
      <c r="AO55">
        <v>1</v>
      </c>
      <c r="AP55">
        <v>1</v>
      </c>
      <c r="AQ55">
        <v>13</v>
      </c>
      <c r="AR55">
        <v>17</v>
      </c>
      <c r="AS55">
        <v>49</v>
      </c>
      <c r="AT55">
        <v>51</v>
      </c>
      <c r="AU55">
        <v>0.56000000000000005</v>
      </c>
      <c r="AV55">
        <v>1.1599999999999999</v>
      </c>
      <c r="AW55">
        <v>3.09</v>
      </c>
      <c r="AX55">
        <v>84</v>
      </c>
      <c r="AY55">
        <v>100</v>
      </c>
      <c r="AZ55">
        <v>84</v>
      </c>
      <c r="BA55">
        <v>25</v>
      </c>
      <c r="BB55">
        <v>0</v>
      </c>
      <c r="BC55">
        <v>59</v>
      </c>
      <c r="BD55">
        <v>84</v>
      </c>
      <c r="BE55">
        <v>42</v>
      </c>
      <c r="BF55">
        <v>84</v>
      </c>
      <c r="BG55">
        <v>4.5</v>
      </c>
      <c r="BH55">
        <v>3</v>
      </c>
      <c r="BI55">
        <v>2.2999999999999998</v>
      </c>
      <c r="BJ55">
        <v>3</v>
      </c>
      <c r="BK55">
        <v>3.2</v>
      </c>
      <c r="BL55">
        <f>(1/Table1[[#This Row],[odds_ft_home_team_win]]+1/Table1[[#This Row],[odds_ft_draw]]+1/Table1[[#This Row],[odds_ft_away_team_win]]-1)/3</f>
        <v>2.6871980676328528E-2</v>
      </c>
      <c r="BM55">
        <v>1.5</v>
      </c>
      <c r="BN55">
        <v>2.35</v>
      </c>
      <c r="BO55">
        <v>4.25</v>
      </c>
      <c r="BP55">
        <v>8.25</v>
      </c>
      <c r="BQ55">
        <v>2.1</v>
      </c>
      <c r="BR55">
        <v>1.71</v>
      </c>
      <c r="BS55" t="s">
        <v>120</v>
      </c>
      <c r="BT55">
        <f>VLOOKUP(Table1[[#This Row],[Reference]],metron,8,FALSE)</f>
        <v>1.5181603563290151</v>
      </c>
      <c r="BU55">
        <f>VLOOKUP(Table1[[#This Row],[Reference]],metron,9,FALSE)</f>
        <v>1.1952730370775513</v>
      </c>
      <c r="BV55">
        <f>VLOOKUP(Table1[[#This Row],[Reference]],metron,10,FALSE)</f>
        <v>2.4956155335383219</v>
      </c>
      <c r="BW55">
        <f>VLOOKUP(Table1[[#This Row],[Reference]],metron,11,FALSE)</f>
        <v>1.344038264434575</v>
      </c>
      <c r="BX55">
        <f>VLOOKUP(Table1[[#This Row],[Reference]],metron,12,FALSE)</f>
        <v>1.1515772691037469</v>
      </c>
      <c r="BY55" s="6">
        <f>VLOOKUP(Table1[[#This Row],[Reference]],metron,13,FALSE)</f>
        <v>0.59936225942375587</v>
      </c>
      <c r="BZ55" s="6">
        <f>VLOOKUP(Table1[[#This Row],[Reference]],metron,14,FALSE)</f>
        <v>0.50723152260562576</v>
      </c>
      <c r="CA55" s="6">
        <f>VLOOKUP(Table1[[#This Row],[Reference]],metron,15,FALSE)</f>
        <v>11.99278846153846</v>
      </c>
      <c r="CB55" s="6">
        <f>VLOOKUP(Table1[[#This Row],[Reference]],metron,16,FALSE)</f>
        <v>10.0277534965035</v>
      </c>
      <c r="CC55" s="6">
        <f>VLOOKUP(Table1[[#This Row],[Reference]],metron,17,FALSE)</f>
        <v>5.2857459543338514</v>
      </c>
      <c r="CD55" s="6">
        <f>VLOOKUP(Table1[[#This Row],[Reference]],metron,18,FALSE)</f>
        <v>4.4067834183107957</v>
      </c>
      <c r="CE55" s="6">
        <f>VLOOKUP(Table1[[#This Row],[Reference]],metron,19,FALSE)</f>
        <v>6.7070425072046085</v>
      </c>
      <c r="CF55" s="6">
        <f>VLOOKUP(Table1[[#This Row],[Reference]],metron,20,FALSE)</f>
        <v>5.6209700781927046</v>
      </c>
      <c r="CG55" s="6">
        <f>VLOOKUP(Table1[[#This Row],[Reference]],metron,21,FALSE)</f>
        <v>13.04463690872752</v>
      </c>
      <c r="CH55" s="6">
        <f>VLOOKUP(Table1[[#This Row],[Reference]],metron,22,FALSE)</f>
        <v>13.49811236953142</v>
      </c>
      <c r="CI55" s="6">
        <f>VLOOKUP(Table1[[#This Row],[Reference]],metron,23,FALSE)</f>
        <v>1.5836526181353769</v>
      </c>
      <c r="CJ55" s="6">
        <f>VLOOKUP(Table1[[#This Row],[Reference]],metron,24,FALSE)</f>
        <v>1.8744146445295871</v>
      </c>
      <c r="CK55" s="6">
        <f>VLOOKUP(Table1[[#This Row],[Reference]],metron,25,FALSE)</f>
        <v>8.5994040017028525E-2</v>
      </c>
      <c r="CL55" s="6">
        <f>VLOOKUP(Table1[[#This Row],[Reference]],metron,26,FALSE)</f>
        <v>0.13452532992762881</v>
      </c>
    </row>
    <row r="56" spans="1:90" hidden="1" x14ac:dyDescent="0.45">
      <c r="A56" t="s">
        <v>696</v>
      </c>
      <c r="B56">
        <v>1630116000</v>
      </c>
      <c r="C56" s="23" t="s">
        <v>214</v>
      </c>
      <c r="D56" t="s">
        <v>65</v>
      </c>
      <c r="E56" t="s">
        <v>66</v>
      </c>
      <c r="F56" t="s">
        <v>102</v>
      </c>
      <c r="G56" t="s">
        <v>67</v>
      </c>
      <c r="H56" t="s">
        <v>215</v>
      </c>
      <c r="I56">
        <f>MROUND(Table1[[#This Row],[ProbH]]*100,2)/100</f>
        <v>0.44</v>
      </c>
      <c r="J56">
        <f>1/Table1[[#This Row],[odds_ft_home_team_win]]-Table1[[#This Row],[Margin]]</f>
        <v>0.44937005545819714</v>
      </c>
      <c r="K56">
        <f>1/Table1[[#This Row],[odds_ft_draw]]-Table1[[#This Row],[Margin]]</f>
        <v>0.29576022442901129</v>
      </c>
      <c r="L56">
        <f>1/Table1[[#This Row],[odds_ft_away_team_win]]-Table1[[#This Row],[Margin]]</f>
        <v>0.25486972011279141</v>
      </c>
      <c r="M56">
        <v>7</v>
      </c>
      <c r="N56">
        <v>0.5</v>
      </c>
      <c r="O56">
        <v>0.67</v>
      </c>
      <c r="P56">
        <v>1.38</v>
      </c>
      <c r="Q56">
        <v>0.65</v>
      </c>
      <c r="R56" t="str" cm="1">
        <f t="array" ref="R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56</v>
      </c>
      <c r="AA56">
        <v>6</v>
      </c>
      <c r="AB56">
        <v>4</v>
      </c>
      <c r="AC56">
        <v>1</v>
      </c>
      <c r="AD56">
        <v>0</v>
      </c>
      <c r="AE56">
        <v>3</v>
      </c>
      <c r="AF56">
        <v>1</v>
      </c>
      <c r="AG56">
        <v>1</v>
      </c>
      <c r="AH56">
        <v>0</v>
      </c>
      <c r="AI56">
        <v>2</v>
      </c>
      <c r="AJ56">
        <v>2</v>
      </c>
      <c r="AK56">
        <v>13</v>
      </c>
      <c r="AL56">
        <v>14</v>
      </c>
      <c r="AM56">
        <v>6</v>
      </c>
      <c r="AN56">
        <v>6</v>
      </c>
      <c r="AO56">
        <v>7</v>
      </c>
      <c r="AP56">
        <v>8</v>
      </c>
      <c r="AQ56">
        <v>14</v>
      </c>
      <c r="AR56">
        <v>11</v>
      </c>
      <c r="AS56">
        <v>48</v>
      </c>
      <c r="AT56">
        <v>52</v>
      </c>
      <c r="AU56">
        <v>1.54</v>
      </c>
      <c r="AV56">
        <v>1.6</v>
      </c>
      <c r="AW56">
        <v>1.84</v>
      </c>
      <c r="AX56">
        <v>42</v>
      </c>
      <c r="AY56">
        <v>84</v>
      </c>
      <c r="AZ56">
        <v>17</v>
      </c>
      <c r="BA56">
        <v>0</v>
      </c>
      <c r="BB56">
        <v>0</v>
      </c>
      <c r="BC56">
        <v>0</v>
      </c>
      <c r="BD56">
        <v>59</v>
      </c>
      <c r="BE56">
        <v>42</v>
      </c>
      <c r="BF56">
        <v>84</v>
      </c>
      <c r="BG56">
        <v>12.5</v>
      </c>
      <c r="BH56">
        <v>4.17</v>
      </c>
      <c r="BI56">
        <v>2.1</v>
      </c>
      <c r="BJ56">
        <v>3.1</v>
      </c>
      <c r="BK56">
        <v>3.55</v>
      </c>
      <c r="BL56">
        <f>(1/Table1[[#This Row],[odds_ft_home_team_win]]+1/Table1[[#This Row],[odds_ft_draw]]+1/Table1[[#This Row],[odds_ft_away_team_win]]-1)/3</f>
        <v>2.6820420732279009E-2</v>
      </c>
      <c r="BM56">
        <v>1.45</v>
      </c>
      <c r="BN56">
        <v>2.25</v>
      </c>
      <c r="BO56">
        <v>3.95</v>
      </c>
      <c r="BP56">
        <v>8</v>
      </c>
      <c r="BQ56">
        <v>2.0499999999999998</v>
      </c>
      <c r="BR56">
        <v>1.77</v>
      </c>
      <c r="BS56" t="s">
        <v>124</v>
      </c>
      <c r="BT56">
        <f>VLOOKUP(Table1[[#This Row],[Reference]],metron,8,FALSE)</f>
        <v>1.6395459745305552</v>
      </c>
      <c r="BU56">
        <f>VLOOKUP(Table1[[#This Row],[Reference]],metron,9,FALSE)</f>
        <v>1.0758429359324786</v>
      </c>
      <c r="BV56">
        <f>VLOOKUP(Table1[[#This Row],[Reference]],metron,10,FALSE)</f>
        <v>2.4807646356033461</v>
      </c>
      <c r="BW56">
        <f>VLOOKUP(Table1[[#This Row],[Reference]],metron,11,FALSE)</f>
        <v>1.4140979689366791</v>
      </c>
      <c r="BX56">
        <f>VLOOKUP(Table1[[#This Row],[Reference]],metron,12,FALSE)</f>
        <v>1.0666666666666671</v>
      </c>
      <c r="BY56" s="6">
        <f>VLOOKUP(Table1[[#This Row],[Reference]],metron,13,FALSE)</f>
        <v>0.62712066905615294</v>
      </c>
      <c r="BZ56" s="6">
        <f>VLOOKUP(Table1[[#This Row],[Reference]],metron,14,FALSE)</f>
        <v>0.46009557945041818</v>
      </c>
      <c r="CA56" s="6">
        <f>VLOOKUP(Table1[[#This Row],[Reference]],metron,15,FALSE)</f>
        <v>12.56969280146722</v>
      </c>
      <c r="CB56" s="6">
        <f>VLOOKUP(Table1[[#This Row],[Reference]],metron,16,FALSE)</f>
        <v>9.8695552498853729</v>
      </c>
      <c r="CC56" s="6">
        <f>VLOOKUP(Table1[[#This Row],[Reference]],metron,17,FALSE)</f>
        <v>5.2754256787850897</v>
      </c>
      <c r="CD56" s="6">
        <f>VLOOKUP(Table1[[#This Row],[Reference]],metron,18,FALSE)</f>
        <v>4.1279337321675103</v>
      </c>
      <c r="CE56" s="6">
        <f>VLOOKUP(Table1[[#This Row],[Reference]],metron,19,FALSE)</f>
        <v>7.2942671226821298</v>
      </c>
      <c r="CF56" s="6">
        <f>VLOOKUP(Table1[[#This Row],[Reference]],metron,20,FALSE)</f>
        <v>5.7416215177178627</v>
      </c>
      <c r="CG56" s="6">
        <f>VLOOKUP(Table1[[#This Row],[Reference]],metron,21,FALSE)</f>
        <v>12.897246007868549</v>
      </c>
      <c r="CH56" s="6">
        <f>VLOOKUP(Table1[[#This Row],[Reference]],metron,22,FALSE)</f>
        <v>13.507058551261281</v>
      </c>
      <c r="CI56" s="6">
        <f>VLOOKUP(Table1[[#This Row],[Reference]],metron,23,FALSE)</f>
        <v>1.576522702104098</v>
      </c>
      <c r="CJ56" s="6">
        <f>VLOOKUP(Table1[[#This Row],[Reference]],metron,24,FALSE)</f>
        <v>1.917165005537099</v>
      </c>
      <c r="CK56" s="6">
        <f>VLOOKUP(Table1[[#This Row],[Reference]],metron,25,FALSE)</f>
        <v>8.4385382059800659E-2</v>
      </c>
      <c r="CL56" s="6">
        <f>VLOOKUP(Table1[[#This Row],[Reference]],metron,26,FALSE)</f>
        <v>0.1233665559246955</v>
      </c>
    </row>
    <row r="57" spans="1:90" hidden="1" x14ac:dyDescent="0.45">
      <c r="A57" t="s">
        <v>696</v>
      </c>
      <c r="B57">
        <v>1630116360</v>
      </c>
      <c r="C57" s="23" t="s">
        <v>216</v>
      </c>
      <c r="D57" t="s">
        <v>65</v>
      </c>
      <c r="E57" t="s">
        <v>66</v>
      </c>
      <c r="F57" t="s">
        <v>106</v>
      </c>
      <c r="G57" t="s">
        <v>101</v>
      </c>
      <c r="H57" t="s">
        <v>122</v>
      </c>
      <c r="I57">
        <f>MROUND(Table1[[#This Row],[ProbH]]*100,2)/100</f>
        <v>0.26</v>
      </c>
      <c r="J57">
        <f>1/Table1[[#This Row],[odds_ft_home_team_win]]-Table1[[#This Row],[Margin]]</f>
        <v>0.25009678668215252</v>
      </c>
      <c r="K57">
        <f>1/Table1[[#This Row],[odds_ft_draw]]-Table1[[#This Row],[Margin]]</f>
        <v>0.28977932636469217</v>
      </c>
      <c r="L57">
        <f>1/Table1[[#This Row],[odds_ft_away_team_win]]-Table1[[#This Row],[Margin]]</f>
        <v>0.46012388695315526</v>
      </c>
      <c r="M57">
        <v>7</v>
      </c>
      <c r="N57">
        <v>0.33</v>
      </c>
      <c r="O57">
        <v>1</v>
      </c>
      <c r="P57">
        <v>1.35</v>
      </c>
      <c r="Q57">
        <v>1.05</v>
      </c>
      <c r="R57" t="str" cm="1">
        <f t="array" ref="R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">
        <v>2</v>
      </c>
      <c r="T57">
        <v>2</v>
      </c>
      <c r="U57">
        <v>4</v>
      </c>
      <c r="V57">
        <v>3</v>
      </c>
      <c r="W57">
        <v>1</v>
      </c>
      <c r="X57">
        <v>2</v>
      </c>
      <c r="Y57" t="s">
        <v>217</v>
      </c>
      <c r="Z57" t="s">
        <v>218</v>
      </c>
      <c r="AA57">
        <v>11</v>
      </c>
      <c r="AB57">
        <v>1</v>
      </c>
      <c r="AC57">
        <v>3</v>
      </c>
      <c r="AD57">
        <v>0</v>
      </c>
      <c r="AE57">
        <v>3</v>
      </c>
      <c r="AF57">
        <v>0</v>
      </c>
      <c r="AG57">
        <v>1</v>
      </c>
      <c r="AH57">
        <v>2</v>
      </c>
      <c r="AI57">
        <v>2</v>
      </c>
      <c r="AJ57">
        <v>1</v>
      </c>
      <c r="AK57">
        <v>18</v>
      </c>
      <c r="AL57">
        <v>10</v>
      </c>
      <c r="AM57">
        <v>4</v>
      </c>
      <c r="AN57">
        <v>4</v>
      </c>
      <c r="AO57">
        <v>14</v>
      </c>
      <c r="AP57">
        <v>6</v>
      </c>
      <c r="AQ57">
        <v>13</v>
      </c>
      <c r="AR57">
        <v>9</v>
      </c>
      <c r="AS57">
        <v>49</v>
      </c>
      <c r="AT57">
        <v>51</v>
      </c>
      <c r="AU57">
        <v>1.78</v>
      </c>
      <c r="AV57">
        <v>1.17</v>
      </c>
      <c r="AW57">
        <v>2.17</v>
      </c>
      <c r="AX57">
        <v>84</v>
      </c>
      <c r="AY57">
        <v>100</v>
      </c>
      <c r="AZ57">
        <v>17</v>
      </c>
      <c r="BA57">
        <v>0</v>
      </c>
      <c r="BB57">
        <v>0</v>
      </c>
      <c r="BC57">
        <v>25</v>
      </c>
      <c r="BD57">
        <v>75</v>
      </c>
      <c r="BE57">
        <v>42</v>
      </c>
      <c r="BF57">
        <v>75</v>
      </c>
      <c r="BG57">
        <v>13.67</v>
      </c>
      <c r="BH57">
        <v>5.67</v>
      </c>
      <c r="BI57">
        <v>3.6</v>
      </c>
      <c r="BJ57">
        <v>3.15</v>
      </c>
      <c r="BK57">
        <v>2.0499999999999998</v>
      </c>
      <c r="BL57">
        <f>(1/Table1[[#This Row],[odds_ft_home_team_win]]+1/Table1[[#This Row],[odds_ft_draw]]+1/Table1[[#This Row],[odds_ft_away_team_win]]-1)/3</f>
        <v>2.7680991095625274E-2</v>
      </c>
      <c r="BM57">
        <v>1.45</v>
      </c>
      <c r="BN57">
        <v>2.25</v>
      </c>
      <c r="BO57">
        <v>3.9</v>
      </c>
      <c r="BP57">
        <v>7.75</v>
      </c>
      <c r="BQ57">
        <v>2.1</v>
      </c>
      <c r="BR57">
        <v>1.74</v>
      </c>
      <c r="BS57" t="s">
        <v>110</v>
      </c>
      <c r="BT57">
        <f>VLOOKUP(Table1[[#This Row],[Reference]],metron,8,FALSE)</f>
        <v>1.0905313574236399</v>
      </c>
      <c r="BU57">
        <f>VLOOKUP(Table1[[#This Row],[Reference]],metron,9,FALSE)</f>
        <v>1.6289415604939639</v>
      </c>
      <c r="BV57">
        <f>VLOOKUP(Table1[[#This Row],[Reference]],metron,10,FALSE)</f>
        <v>2.569449507838133</v>
      </c>
      <c r="BW57">
        <f>VLOOKUP(Table1[[#This Row],[Reference]],metron,11,FALSE)</f>
        <v>1.0936930368209989</v>
      </c>
      <c r="BX57">
        <f>VLOOKUP(Table1[[#This Row],[Reference]],metron,12,FALSE)</f>
        <v>1.475756471017134</v>
      </c>
      <c r="BY57" s="6">
        <f>VLOOKUP(Table1[[#This Row],[Reference]],metron,13,FALSE)</f>
        <v>0.50018228217280347</v>
      </c>
      <c r="BZ57" s="6">
        <f>VLOOKUP(Table1[[#This Row],[Reference]],metron,14,FALSE)</f>
        <v>0.65220561429092239</v>
      </c>
      <c r="CA57" s="6">
        <f>VLOOKUP(Table1[[#This Row],[Reference]],metron,15,FALSE)</f>
        <v>10.905576679340941</v>
      </c>
      <c r="CB57" s="6">
        <f>VLOOKUP(Table1[[#This Row],[Reference]],metron,16,FALSE)</f>
        <v>12.06463878326996</v>
      </c>
      <c r="CC57" s="6">
        <f>VLOOKUP(Table1[[#This Row],[Reference]],metron,17,FALSE)</f>
        <v>4.2920127795527154</v>
      </c>
      <c r="CD57" s="6">
        <f>VLOOKUP(Table1[[#This Row],[Reference]],metron,18,FALSE)</f>
        <v>5.0095846645367406</v>
      </c>
      <c r="CE57" s="6">
        <f>VLOOKUP(Table1[[#This Row],[Reference]],metron,19,FALSE)</f>
        <v>6.6135638997882253</v>
      </c>
      <c r="CF57" s="6">
        <f>VLOOKUP(Table1[[#This Row],[Reference]],metron,20,FALSE)</f>
        <v>7.055054118733219</v>
      </c>
      <c r="CG57" s="6">
        <f>VLOOKUP(Table1[[#This Row],[Reference]],metron,21,FALSE)</f>
        <v>12.94865211810013</v>
      </c>
      <c r="CH57" s="6">
        <f>VLOOKUP(Table1[[#This Row],[Reference]],metron,22,FALSE)</f>
        <v>13.189345314505781</v>
      </c>
      <c r="CI57" s="6">
        <f>VLOOKUP(Table1[[#This Row],[Reference]],metron,23,FALSE)</f>
        <v>1.771446078431373</v>
      </c>
      <c r="CJ57" s="6">
        <f>VLOOKUP(Table1[[#This Row],[Reference]],metron,24,FALSE)</f>
        <v>1.809436274509804</v>
      </c>
      <c r="CK57" s="6">
        <f>VLOOKUP(Table1[[#This Row],[Reference]],metron,25,FALSE)</f>
        <v>0.1060049019607843</v>
      </c>
      <c r="CL57" s="6">
        <f>VLOOKUP(Table1[[#This Row],[Reference]],metron,26,FALSE)</f>
        <v>9.6813725490196081E-2</v>
      </c>
    </row>
    <row r="58" spans="1:90" hidden="1" x14ac:dyDescent="0.45">
      <c r="A58" t="s">
        <v>696</v>
      </c>
      <c r="B58">
        <v>1630188000</v>
      </c>
      <c r="C58" s="23" t="s">
        <v>219</v>
      </c>
      <c r="D58" t="s">
        <v>65</v>
      </c>
      <c r="E58" t="s">
        <v>66</v>
      </c>
      <c r="F58" t="s">
        <v>90</v>
      </c>
      <c r="G58" t="s">
        <v>72</v>
      </c>
      <c r="H58" t="s">
        <v>80</v>
      </c>
      <c r="I58">
        <f>MROUND(Table1[[#This Row],[ProbH]]*100,2)/100</f>
        <v>0.48</v>
      </c>
      <c r="J58">
        <f>1/Table1[[#This Row],[odds_ft_home_team_win]]-Table1[[#This Row],[Margin]]</f>
        <v>0.471175799086758</v>
      </c>
      <c r="K58">
        <f>1/Table1[[#This Row],[odds_ft_draw]]-Table1[[#This Row],[Margin]]</f>
        <v>0.283675799086758</v>
      </c>
      <c r="L58">
        <f>1/Table1[[#This Row],[odds_ft_away_team_win]]-Table1[[#This Row],[Margin]]</f>
        <v>0.24514840182648401</v>
      </c>
      <c r="M58">
        <v>7</v>
      </c>
      <c r="N58">
        <v>0.33</v>
      </c>
      <c r="O58">
        <v>1.5</v>
      </c>
      <c r="P58">
        <v>1.47</v>
      </c>
      <c r="Q58">
        <v>1.28</v>
      </c>
      <c r="R58" t="str" cm="1">
        <f t="array" ref="R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">
        <v>2</v>
      </c>
      <c r="T58">
        <v>1</v>
      </c>
      <c r="U58">
        <v>3</v>
      </c>
      <c r="V58">
        <v>1</v>
      </c>
      <c r="W58">
        <v>1</v>
      </c>
      <c r="X58">
        <v>0</v>
      </c>
      <c r="Y58" t="s">
        <v>220</v>
      </c>
      <c r="Z58">
        <v>53</v>
      </c>
      <c r="AA58">
        <v>6</v>
      </c>
      <c r="AB58">
        <v>2</v>
      </c>
      <c r="AC58">
        <v>3</v>
      </c>
      <c r="AD58">
        <v>0</v>
      </c>
      <c r="AE58">
        <v>2</v>
      </c>
      <c r="AF58">
        <v>0</v>
      </c>
      <c r="AG58">
        <v>1</v>
      </c>
      <c r="AH58">
        <v>2</v>
      </c>
      <c r="AI58">
        <v>0</v>
      </c>
      <c r="AJ58">
        <v>2</v>
      </c>
      <c r="AK58">
        <v>16</v>
      </c>
      <c r="AL58">
        <v>11</v>
      </c>
      <c r="AM58">
        <v>7</v>
      </c>
      <c r="AN58">
        <v>5</v>
      </c>
      <c r="AO58">
        <v>9</v>
      </c>
      <c r="AP58">
        <v>6</v>
      </c>
      <c r="AQ58">
        <v>12</v>
      </c>
      <c r="AR58">
        <v>8</v>
      </c>
      <c r="AS58">
        <v>65</v>
      </c>
      <c r="AT58">
        <v>35</v>
      </c>
      <c r="AU58">
        <v>1.82</v>
      </c>
      <c r="AV58">
        <v>1.23</v>
      </c>
      <c r="AW58">
        <v>2.92</v>
      </c>
      <c r="AX58">
        <v>59</v>
      </c>
      <c r="AY58">
        <v>100</v>
      </c>
      <c r="AZ58">
        <v>75</v>
      </c>
      <c r="BA58">
        <v>17</v>
      </c>
      <c r="BB58">
        <v>0</v>
      </c>
      <c r="BC58">
        <v>17</v>
      </c>
      <c r="BD58">
        <v>100</v>
      </c>
      <c r="BE58">
        <v>75</v>
      </c>
      <c r="BF58">
        <v>100</v>
      </c>
      <c r="BG58">
        <v>11.5</v>
      </c>
      <c r="BH58">
        <v>4.33</v>
      </c>
      <c r="BI58">
        <v>2</v>
      </c>
      <c r="BJ58">
        <v>3.2</v>
      </c>
      <c r="BK58">
        <v>3.65</v>
      </c>
      <c r="BL58">
        <f>(1/Table1[[#This Row],[odds_ft_home_team_win]]+1/Table1[[#This Row],[odds_ft_draw]]+1/Table1[[#This Row],[odds_ft_away_team_win]]-1)/3</f>
        <v>2.8824200913242004E-2</v>
      </c>
      <c r="BM58">
        <v>1.41</v>
      </c>
      <c r="BN58">
        <v>2.15</v>
      </c>
      <c r="BO58">
        <v>3.6</v>
      </c>
      <c r="BP58">
        <v>7</v>
      </c>
      <c r="BQ58">
        <v>1.95</v>
      </c>
      <c r="BR58">
        <v>1.83</v>
      </c>
      <c r="BS58" t="s">
        <v>94</v>
      </c>
      <c r="BT58">
        <f>VLOOKUP(Table1[[#This Row],[Reference]],metron,8,FALSE)</f>
        <v>1.743992017160418</v>
      </c>
      <c r="BU58">
        <f>VLOOKUP(Table1[[#This Row],[Reference]],metron,9,FALSE)</f>
        <v>0.97803937284245479</v>
      </c>
      <c r="BV58">
        <f>VLOOKUP(Table1[[#This Row],[Reference]],metron,10,FALSE)</f>
        <v>2.5271929824561399</v>
      </c>
      <c r="BW58">
        <f>VLOOKUP(Table1[[#This Row],[Reference]],metron,11,FALSE)</f>
        <v>1.510877192982456</v>
      </c>
      <c r="BX58">
        <f>VLOOKUP(Table1[[#This Row],[Reference]],metron,12,FALSE)</f>
        <v>1.0163157894736841</v>
      </c>
      <c r="BY58" s="6">
        <f>VLOOKUP(Table1[[#This Row],[Reference]],metron,13,FALSE)</f>
        <v>0.67350877192982461</v>
      </c>
      <c r="BZ58" s="6">
        <f>VLOOKUP(Table1[[#This Row],[Reference]],metron,14,FALSE)</f>
        <v>0.4442105263157895</v>
      </c>
      <c r="CA58" s="6">
        <f>VLOOKUP(Table1[[#This Row],[Reference]],metron,15,FALSE)</f>
        <v>12.80980392156863</v>
      </c>
      <c r="CB58" s="6">
        <f>VLOOKUP(Table1[[#This Row],[Reference]],metron,16,FALSE)</f>
        <v>9.6872549019607845</v>
      </c>
      <c r="CC58" s="6">
        <f>VLOOKUP(Table1[[#This Row],[Reference]],metron,17,FALSE)</f>
        <v>5.6491169610129957</v>
      </c>
      <c r="CD58" s="6">
        <f>VLOOKUP(Table1[[#This Row],[Reference]],metron,18,FALSE)</f>
        <v>4.1379540153282237</v>
      </c>
      <c r="CE58" s="6">
        <f>VLOOKUP(Table1[[#This Row],[Reference]],metron,19,FALSE)</f>
        <v>7.1606869605556343</v>
      </c>
      <c r="CF58" s="6">
        <f>VLOOKUP(Table1[[#This Row],[Reference]],metron,20,FALSE)</f>
        <v>5.5493008866325608</v>
      </c>
      <c r="CG58" s="6">
        <f>VLOOKUP(Table1[[#This Row],[Reference]],metron,21,FALSE)</f>
        <v>12.9029029029029</v>
      </c>
      <c r="CH58" s="6">
        <f>VLOOKUP(Table1[[#This Row],[Reference]],metron,22,FALSE)</f>
        <v>13.75508842175509</v>
      </c>
      <c r="CI58" s="6">
        <f>VLOOKUP(Table1[[#This Row],[Reference]],metron,23,FALSE)</f>
        <v>1.5287356321839081</v>
      </c>
      <c r="CJ58" s="6">
        <f>VLOOKUP(Table1[[#This Row],[Reference]],metron,24,FALSE)</f>
        <v>1.9664750957854411</v>
      </c>
      <c r="CK58" s="6">
        <f>VLOOKUP(Table1[[#This Row],[Reference]],metron,25,FALSE)</f>
        <v>8.8441890166028103E-2</v>
      </c>
      <c r="CL58" s="6">
        <f>VLOOKUP(Table1[[#This Row],[Reference]],metron,26,FALSE)</f>
        <v>0.13409961685823751</v>
      </c>
    </row>
    <row r="59" spans="1:90" hidden="1" x14ac:dyDescent="0.45">
      <c r="A59" t="s">
        <v>696</v>
      </c>
      <c r="B59">
        <v>1630195200</v>
      </c>
      <c r="C59" s="23" t="s">
        <v>221</v>
      </c>
      <c r="D59" t="s">
        <v>65</v>
      </c>
      <c r="E59" t="s">
        <v>66</v>
      </c>
      <c r="F59" t="s">
        <v>107</v>
      </c>
      <c r="G59" t="s">
        <v>97</v>
      </c>
      <c r="H59" t="s">
        <v>98</v>
      </c>
      <c r="I59">
        <f>MROUND(Table1[[#This Row],[ProbH]]*100,2)/100</f>
        <v>0.38</v>
      </c>
      <c r="J59">
        <f>1/Table1[[#This Row],[odds_ft_home_team_win]]-Table1[[#This Row],[Margin]]</f>
        <v>0.38700564971751417</v>
      </c>
      <c r="K59">
        <f>1/Table1[[#This Row],[odds_ft_draw]]-Table1[[#This Row],[Margin]]</f>
        <v>0.30932203389830509</v>
      </c>
      <c r="L59">
        <f>1/Table1[[#This Row],[odds_ft_away_team_win]]-Table1[[#This Row],[Margin]]</f>
        <v>0.3036723163841808</v>
      </c>
      <c r="M59">
        <v>7</v>
      </c>
      <c r="N59">
        <v>2</v>
      </c>
      <c r="O59">
        <v>1.67</v>
      </c>
      <c r="P59">
        <v>2</v>
      </c>
      <c r="Q59">
        <v>1.68</v>
      </c>
      <c r="R59" t="str" cm="1">
        <f t="array" ref="R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">
        <v>1</v>
      </c>
      <c r="T59">
        <v>1</v>
      </c>
      <c r="U59">
        <v>2</v>
      </c>
      <c r="V59">
        <v>1</v>
      </c>
      <c r="W59">
        <v>1</v>
      </c>
      <c r="X59">
        <v>0</v>
      </c>
      <c r="Y59">
        <v>32</v>
      </c>
      <c r="Z59">
        <v>53</v>
      </c>
      <c r="AA59">
        <v>4</v>
      </c>
      <c r="AB59">
        <v>1</v>
      </c>
      <c r="AC59">
        <v>3</v>
      </c>
      <c r="AD59">
        <v>0</v>
      </c>
      <c r="AE59">
        <v>2</v>
      </c>
      <c r="AF59">
        <v>0</v>
      </c>
      <c r="AG59">
        <v>1</v>
      </c>
      <c r="AH59">
        <v>2</v>
      </c>
      <c r="AI59">
        <v>1</v>
      </c>
      <c r="AJ59">
        <v>1</v>
      </c>
      <c r="AK59">
        <v>15</v>
      </c>
      <c r="AL59">
        <v>13</v>
      </c>
      <c r="AM59">
        <v>5</v>
      </c>
      <c r="AN59">
        <v>6</v>
      </c>
      <c r="AO59">
        <v>10</v>
      </c>
      <c r="AP59">
        <v>7</v>
      </c>
      <c r="AQ59">
        <v>12</v>
      </c>
      <c r="AR59">
        <v>7</v>
      </c>
      <c r="AS59">
        <v>54</v>
      </c>
      <c r="AT59">
        <v>46</v>
      </c>
      <c r="AU59">
        <v>1.54</v>
      </c>
      <c r="AV59">
        <v>1.62</v>
      </c>
      <c r="AW59">
        <v>1.75</v>
      </c>
      <c r="AX59">
        <v>42</v>
      </c>
      <c r="AY59">
        <v>67</v>
      </c>
      <c r="AZ59">
        <v>25</v>
      </c>
      <c r="BA59">
        <v>0</v>
      </c>
      <c r="BB59">
        <v>0</v>
      </c>
      <c r="BC59">
        <v>0</v>
      </c>
      <c r="BD59">
        <v>84</v>
      </c>
      <c r="BE59">
        <v>25</v>
      </c>
      <c r="BF59">
        <v>67</v>
      </c>
      <c r="BG59">
        <v>9</v>
      </c>
      <c r="BH59">
        <v>2.67</v>
      </c>
      <c r="BI59">
        <v>2.4</v>
      </c>
      <c r="BJ59">
        <v>2.95</v>
      </c>
      <c r="BK59">
        <v>3</v>
      </c>
      <c r="BL59">
        <f>(1/Table1[[#This Row],[odds_ft_home_team_win]]+1/Table1[[#This Row],[odds_ft_draw]]+1/Table1[[#This Row],[odds_ft_away_team_win]]-1)/3</f>
        <v>2.9661016949152536E-2</v>
      </c>
      <c r="BM59">
        <v>1.54</v>
      </c>
      <c r="BN59">
        <v>2.4500000000000002</v>
      </c>
      <c r="BO59">
        <v>4.4000000000000004</v>
      </c>
      <c r="BP59">
        <v>9</v>
      </c>
      <c r="BQ59">
        <v>2.15</v>
      </c>
      <c r="BR59">
        <v>1.67</v>
      </c>
      <c r="BS59" t="s">
        <v>161</v>
      </c>
      <c r="BT59">
        <f>VLOOKUP(Table1[[#This Row],[Reference]],metron,8,FALSE)</f>
        <v>1.464160929441638</v>
      </c>
      <c r="BU59">
        <f>VLOOKUP(Table1[[#This Row],[Reference]],metron,9,FALSE)</f>
        <v>1.2477119808919459</v>
      </c>
      <c r="BV59">
        <f>VLOOKUP(Table1[[#This Row],[Reference]],metron,10,FALSE)</f>
        <v>2.4900895140664963</v>
      </c>
      <c r="BW59">
        <f>VLOOKUP(Table1[[#This Row],[Reference]],metron,11,FALSE)</f>
        <v>1.330562659846547</v>
      </c>
      <c r="BX59">
        <f>VLOOKUP(Table1[[#This Row],[Reference]],metron,12,FALSE)</f>
        <v>1.1595268542199491</v>
      </c>
      <c r="BY59" s="6">
        <f>VLOOKUP(Table1[[#This Row],[Reference]],metron,13,FALSE)</f>
        <v>0.59053607588191415</v>
      </c>
      <c r="BZ59" s="6">
        <f>VLOOKUP(Table1[[#This Row],[Reference]],metron,14,FALSE)</f>
        <v>0.50069274219332838</v>
      </c>
      <c r="CA59" s="6">
        <f>VLOOKUP(Table1[[#This Row],[Reference]],metron,15,FALSE)</f>
        <v>11.79715236686391</v>
      </c>
      <c r="CB59" s="6">
        <f>VLOOKUP(Table1[[#This Row],[Reference]],metron,16,FALSE)</f>
        <v>10.317122781065089</v>
      </c>
      <c r="CC59" s="6">
        <f>VLOOKUP(Table1[[#This Row],[Reference]],metron,17,FALSE)</f>
        <v>5.0637025966747622</v>
      </c>
      <c r="CD59" s="6">
        <f>VLOOKUP(Table1[[#This Row],[Reference]],metron,18,FALSE)</f>
        <v>4.4674014571268454</v>
      </c>
      <c r="CE59" s="6">
        <f>VLOOKUP(Table1[[#This Row],[Reference]],metron,19,FALSE)</f>
        <v>6.7334497701891483</v>
      </c>
      <c r="CF59" s="6">
        <f>VLOOKUP(Table1[[#This Row],[Reference]],metron,20,FALSE)</f>
        <v>5.849721323938244</v>
      </c>
      <c r="CG59" s="6">
        <f>VLOOKUP(Table1[[#This Row],[Reference]],metron,21,FALSE)</f>
        <v>12.89644194756554</v>
      </c>
      <c r="CH59" s="6">
        <f>VLOOKUP(Table1[[#This Row],[Reference]],metron,22,FALSE)</f>
        <v>13.3434456928839</v>
      </c>
      <c r="CI59" s="6">
        <f>VLOOKUP(Table1[[#This Row],[Reference]],metron,23,FALSE)</f>
        <v>1.6144382124117971</v>
      </c>
      <c r="CJ59" s="6">
        <f>VLOOKUP(Table1[[#This Row],[Reference]],metron,24,FALSE)</f>
        <v>1.9032024606477289</v>
      </c>
      <c r="CK59" s="6">
        <f>VLOOKUP(Table1[[#This Row],[Reference]],metron,25,FALSE)</f>
        <v>9.372172969060974E-2</v>
      </c>
      <c r="CL59" s="6">
        <f>VLOOKUP(Table1[[#This Row],[Reference]],metron,26,FALSE)</f>
        <v>0.11669983716301791</v>
      </c>
    </row>
    <row r="60" spans="1:90" hidden="1" x14ac:dyDescent="0.45">
      <c r="A60" t="s">
        <v>696</v>
      </c>
      <c r="B60">
        <v>1630202400</v>
      </c>
      <c r="C60" s="23" t="s">
        <v>222</v>
      </c>
      <c r="D60" t="s">
        <v>65</v>
      </c>
      <c r="E60" t="s">
        <v>66</v>
      </c>
      <c r="F60" t="s">
        <v>85</v>
      </c>
      <c r="G60" t="s">
        <v>68</v>
      </c>
      <c r="H60" t="s">
        <v>69</v>
      </c>
      <c r="I60">
        <f>MROUND(Table1[[#This Row],[ProbH]]*100,2)/100</f>
        <v>0.38</v>
      </c>
      <c r="J60">
        <f>1/Table1[[#This Row],[odds_ft_home_team_win]]-Table1[[#This Row],[Margin]]</f>
        <v>0.38949938949938945</v>
      </c>
      <c r="K60">
        <f>1/Table1[[#This Row],[odds_ft_draw]]-Table1[[#This Row],[Margin]]</f>
        <v>0.28052503052503047</v>
      </c>
      <c r="L60">
        <f>1/Table1[[#This Row],[odds_ft_away_team_win]]-Table1[[#This Row],[Margin]]</f>
        <v>0.32997557997557991</v>
      </c>
      <c r="M60">
        <v>7</v>
      </c>
      <c r="N60">
        <v>2.33</v>
      </c>
      <c r="O60">
        <v>2.33</v>
      </c>
      <c r="P60">
        <v>1.55</v>
      </c>
      <c r="Q60">
        <v>1.53</v>
      </c>
      <c r="R60" t="str" cm="1">
        <f t="array" ref="R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0">
        <v>1</v>
      </c>
      <c r="T60">
        <v>1</v>
      </c>
      <c r="U60">
        <v>2</v>
      </c>
      <c r="V60">
        <v>2</v>
      </c>
      <c r="W60">
        <v>1</v>
      </c>
      <c r="X60">
        <v>1</v>
      </c>
      <c r="Y60">
        <v>26</v>
      </c>
      <c r="Z60">
        <v>10</v>
      </c>
      <c r="AA60">
        <v>7</v>
      </c>
      <c r="AB60">
        <v>3</v>
      </c>
      <c r="AC60">
        <v>3</v>
      </c>
      <c r="AD60">
        <v>0</v>
      </c>
      <c r="AE60">
        <v>3</v>
      </c>
      <c r="AF60">
        <v>1</v>
      </c>
      <c r="AG60">
        <v>1</v>
      </c>
      <c r="AH60">
        <v>2</v>
      </c>
      <c r="AI60">
        <v>2</v>
      </c>
      <c r="AJ60">
        <v>2</v>
      </c>
      <c r="AK60">
        <v>10</v>
      </c>
      <c r="AL60">
        <v>6</v>
      </c>
      <c r="AM60">
        <v>4</v>
      </c>
      <c r="AN60">
        <v>3</v>
      </c>
      <c r="AO60">
        <v>6</v>
      </c>
      <c r="AP60">
        <v>3</v>
      </c>
      <c r="AQ60">
        <v>22</v>
      </c>
      <c r="AR60">
        <v>16</v>
      </c>
      <c r="AS60">
        <v>66</v>
      </c>
      <c r="AT60">
        <v>34</v>
      </c>
      <c r="AU60">
        <v>1.33</v>
      </c>
      <c r="AV60">
        <v>0.83</v>
      </c>
      <c r="AW60">
        <v>2</v>
      </c>
      <c r="AX60">
        <v>50</v>
      </c>
      <c r="AY60">
        <v>67</v>
      </c>
      <c r="AZ60">
        <v>50</v>
      </c>
      <c r="BA60">
        <v>0</v>
      </c>
      <c r="BB60">
        <v>0</v>
      </c>
      <c r="BC60">
        <v>17</v>
      </c>
      <c r="BD60">
        <v>67</v>
      </c>
      <c r="BE60">
        <v>34</v>
      </c>
      <c r="BF60">
        <v>84</v>
      </c>
      <c r="BG60">
        <v>10</v>
      </c>
      <c r="BH60">
        <v>3.67</v>
      </c>
      <c r="BI60">
        <v>2.4</v>
      </c>
      <c r="BJ60">
        <v>3.25</v>
      </c>
      <c r="BK60">
        <v>2.8</v>
      </c>
      <c r="BL60">
        <f>(1/Table1[[#This Row],[odds_ft_home_team_win]]+1/Table1[[#This Row],[odds_ft_draw]]+1/Table1[[#This Row],[odds_ft_away_team_win]]-1)/3</f>
        <v>2.716727716727722E-2</v>
      </c>
      <c r="BM60">
        <v>1.31</v>
      </c>
      <c r="BN60">
        <v>1.87</v>
      </c>
      <c r="BO60">
        <v>2.95</v>
      </c>
      <c r="BP60">
        <v>5.5</v>
      </c>
      <c r="BQ60">
        <v>1.71</v>
      </c>
      <c r="BR60">
        <v>2.1</v>
      </c>
      <c r="BS60" t="s">
        <v>128</v>
      </c>
      <c r="BT60">
        <f>VLOOKUP(Table1[[#This Row],[Reference]],metron,8,FALSE)</f>
        <v>1.464160929441638</v>
      </c>
      <c r="BU60">
        <f>VLOOKUP(Table1[[#This Row],[Reference]],metron,9,FALSE)</f>
        <v>1.2477119808919459</v>
      </c>
      <c r="BV60">
        <f>VLOOKUP(Table1[[#This Row],[Reference]],metron,10,FALSE)</f>
        <v>2.4900895140664963</v>
      </c>
      <c r="BW60">
        <f>VLOOKUP(Table1[[#This Row],[Reference]],metron,11,FALSE)</f>
        <v>1.330562659846547</v>
      </c>
      <c r="BX60">
        <f>VLOOKUP(Table1[[#This Row],[Reference]],metron,12,FALSE)</f>
        <v>1.1595268542199491</v>
      </c>
      <c r="BY60" s="6">
        <f>VLOOKUP(Table1[[#This Row],[Reference]],metron,13,FALSE)</f>
        <v>0.59053607588191415</v>
      </c>
      <c r="BZ60" s="6">
        <f>VLOOKUP(Table1[[#This Row],[Reference]],metron,14,FALSE)</f>
        <v>0.50069274219332838</v>
      </c>
      <c r="CA60" s="6">
        <f>VLOOKUP(Table1[[#This Row],[Reference]],metron,15,FALSE)</f>
        <v>11.79715236686391</v>
      </c>
      <c r="CB60" s="6">
        <f>VLOOKUP(Table1[[#This Row],[Reference]],metron,16,FALSE)</f>
        <v>10.317122781065089</v>
      </c>
      <c r="CC60" s="6">
        <f>VLOOKUP(Table1[[#This Row],[Reference]],metron,17,FALSE)</f>
        <v>5.0637025966747622</v>
      </c>
      <c r="CD60" s="6">
        <f>VLOOKUP(Table1[[#This Row],[Reference]],metron,18,FALSE)</f>
        <v>4.4674014571268454</v>
      </c>
      <c r="CE60" s="6">
        <f>VLOOKUP(Table1[[#This Row],[Reference]],metron,19,FALSE)</f>
        <v>6.7334497701891483</v>
      </c>
      <c r="CF60" s="6">
        <f>VLOOKUP(Table1[[#This Row],[Reference]],metron,20,FALSE)</f>
        <v>5.849721323938244</v>
      </c>
      <c r="CG60" s="6">
        <f>VLOOKUP(Table1[[#This Row],[Reference]],metron,21,FALSE)</f>
        <v>12.89644194756554</v>
      </c>
      <c r="CH60" s="6">
        <f>VLOOKUP(Table1[[#This Row],[Reference]],metron,22,FALSE)</f>
        <v>13.3434456928839</v>
      </c>
      <c r="CI60" s="6">
        <f>VLOOKUP(Table1[[#This Row],[Reference]],metron,23,FALSE)</f>
        <v>1.6144382124117971</v>
      </c>
      <c r="CJ60" s="6">
        <f>VLOOKUP(Table1[[#This Row],[Reference]],metron,24,FALSE)</f>
        <v>1.9032024606477289</v>
      </c>
      <c r="CK60" s="6">
        <f>VLOOKUP(Table1[[#This Row],[Reference]],metron,25,FALSE)</f>
        <v>9.372172969060974E-2</v>
      </c>
      <c r="CL60" s="6">
        <f>VLOOKUP(Table1[[#This Row],[Reference]],metron,26,FALSE)</f>
        <v>0.11669983716301791</v>
      </c>
    </row>
    <row r="61" spans="1:90" hidden="1" x14ac:dyDescent="0.45">
      <c r="A61" t="s">
        <v>696</v>
      </c>
      <c r="B61">
        <v>1630256400</v>
      </c>
      <c r="C61" s="23" t="s">
        <v>223</v>
      </c>
      <c r="D61" t="s">
        <v>65</v>
      </c>
      <c r="E61" t="s">
        <v>66</v>
      </c>
      <c r="F61" t="s">
        <v>79</v>
      </c>
      <c r="G61" t="s">
        <v>96</v>
      </c>
      <c r="H61" t="s">
        <v>158</v>
      </c>
      <c r="I61">
        <f>MROUND(Table1[[#This Row],[ProbH]]*100,2)/100</f>
        <v>0.54</v>
      </c>
      <c r="J61">
        <f>1/Table1[[#This Row],[odds_ft_home_team_win]]-Table1[[#This Row],[Margin]]</f>
        <v>0.54852254238177711</v>
      </c>
      <c r="K61">
        <f>1/Table1[[#This Row],[odds_ft_draw]]-Table1[[#This Row],[Margin]]</f>
        <v>0.24778250144334227</v>
      </c>
      <c r="L61">
        <f>1/Table1[[#This Row],[odds_ft_away_team_win]]-Table1[[#This Row],[Margin]]</f>
        <v>0.20369495617488065</v>
      </c>
      <c r="M61">
        <v>7</v>
      </c>
      <c r="N61">
        <v>2</v>
      </c>
      <c r="O61">
        <v>0</v>
      </c>
      <c r="P61">
        <v>1.17</v>
      </c>
      <c r="Q61">
        <v>1.1000000000000001</v>
      </c>
      <c r="R61" s="9" t="str" cm="1">
        <f t="array" ref="R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">
        <v>2</v>
      </c>
      <c r="T61">
        <v>1</v>
      </c>
      <c r="U61">
        <v>3</v>
      </c>
      <c r="V61">
        <v>2</v>
      </c>
      <c r="W61">
        <v>1</v>
      </c>
      <c r="X61">
        <v>1</v>
      </c>
      <c r="Y61" t="s">
        <v>224</v>
      </c>
      <c r="Z61">
        <v>8</v>
      </c>
      <c r="AA61">
        <v>5</v>
      </c>
      <c r="AB61">
        <v>2</v>
      </c>
      <c r="AC61">
        <v>4</v>
      </c>
      <c r="AD61">
        <v>0</v>
      </c>
      <c r="AE61">
        <v>2</v>
      </c>
      <c r="AF61">
        <v>3</v>
      </c>
      <c r="AG61">
        <v>1</v>
      </c>
      <c r="AH61">
        <v>3</v>
      </c>
      <c r="AI61">
        <v>1</v>
      </c>
      <c r="AJ61">
        <v>4</v>
      </c>
      <c r="AK61">
        <v>21</v>
      </c>
      <c r="AL61">
        <v>10</v>
      </c>
      <c r="AM61">
        <v>6</v>
      </c>
      <c r="AN61">
        <v>5</v>
      </c>
      <c r="AO61">
        <v>15</v>
      </c>
      <c r="AP61">
        <v>5</v>
      </c>
      <c r="AQ61">
        <v>7</v>
      </c>
      <c r="AR61">
        <v>13</v>
      </c>
      <c r="AS61">
        <v>67</v>
      </c>
      <c r="AT61">
        <v>33</v>
      </c>
      <c r="AU61">
        <v>2.1800000000000002</v>
      </c>
      <c r="AV61">
        <v>1.2</v>
      </c>
      <c r="AW61">
        <v>3.25</v>
      </c>
      <c r="AX61">
        <v>50</v>
      </c>
      <c r="AY61">
        <v>100</v>
      </c>
      <c r="AZ61">
        <v>75</v>
      </c>
      <c r="BA61">
        <v>50</v>
      </c>
      <c r="BB61">
        <v>0</v>
      </c>
      <c r="BC61">
        <v>50</v>
      </c>
      <c r="BD61">
        <v>100</v>
      </c>
      <c r="BE61">
        <v>50</v>
      </c>
      <c r="BF61">
        <v>75</v>
      </c>
      <c r="BG61">
        <v>13</v>
      </c>
      <c r="BH61">
        <v>3.5</v>
      </c>
      <c r="BI61">
        <v>1.74</v>
      </c>
      <c r="BJ61">
        <v>3.65</v>
      </c>
      <c r="BK61">
        <v>4.3499999999999996</v>
      </c>
      <c r="BL61">
        <f>(1/Table1[[#This Row],[odds_ft_home_team_win]]+1/Table1[[#This Row],[odds_ft_draw]]+1/Table1[[#This Row],[odds_ft_away_team_win]]-1)/3</f>
        <v>2.6190101296383734E-2</v>
      </c>
      <c r="BM61">
        <v>1.32</v>
      </c>
      <c r="BN61">
        <v>1.87</v>
      </c>
      <c r="BO61">
        <v>3</v>
      </c>
      <c r="BP61">
        <v>5.5</v>
      </c>
      <c r="BQ61">
        <v>1.83</v>
      </c>
      <c r="BR61">
        <v>1.95</v>
      </c>
      <c r="BS61" t="s">
        <v>140</v>
      </c>
      <c r="BT61">
        <f>VLOOKUP(Table1[[#This Row],[Reference]],metron,8,FALSE)</f>
        <v>1.915666026436746</v>
      </c>
      <c r="BU61">
        <f>VLOOKUP(Table1[[#This Row],[Reference]],metron,9,FALSE)</f>
        <v>0.82283834599204153</v>
      </c>
      <c r="BV61">
        <f>VLOOKUP(Table1[[#This Row],[Reference]],metron,10,FALSE)</f>
        <v>2.6359702267612941</v>
      </c>
      <c r="BW61">
        <f>VLOOKUP(Table1[[#This Row],[Reference]],metron,11,FALSE)</f>
        <v>1.684957590444867</v>
      </c>
      <c r="BX61">
        <f>VLOOKUP(Table1[[#This Row],[Reference]],metron,12,FALSE)</f>
        <v>0.95101263631642718</v>
      </c>
      <c r="BY61" s="6">
        <f>VLOOKUP(Table1[[#This Row],[Reference]],metron,13,FALSE)</f>
        <v>0.72650164445213783</v>
      </c>
      <c r="BZ61" s="6">
        <f>VLOOKUP(Table1[[#This Row],[Reference]],metron,14,FALSE)</f>
        <v>0.42097974727367138</v>
      </c>
      <c r="CA61" s="6">
        <f>VLOOKUP(Table1[[#This Row],[Reference]],metron,15,FALSE)</f>
        <v>13.338806970509379</v>
      </c>
      <c r="CB61" s="6">
        <f>VLOOKUP(Table1[[#This Row],[Reference]],metron,16,FALSE)</f>
        <v>9.2530160857908843</v>
      </c>
      <c r="CC61" s="6">
        <f>VLOOKUP(Table1[[#This Row],[Reference]],metron,17,FALSE)</f>
        <v>5.9915081521739131</v>
      </c>
      <c r="CD61" s="6">
        <f>VLOOKUP(Table1[[#This Row],[Reference]],metron,18,FALSE)</f>
        <v>3.9772418478260869</v>
      </c>
      <c r="CE61" s="6">
        <f>VLOOKUP(Table1[[#This Row],[Reference]],metron,19,FALSE)</f>
        <v>7.3472988183354664</v>
      </c>
      <c r="CF61" s="6">
        <f>VLOOKUP(Table1[[#This Row],[Reference]],metron,20,FALSE)</f>
        <v>5.2757742379647974</v>
      </c>
      <c r="CG61" s="6">
        <f>VLOOKUP(Table1[[#This Row],[Reference]],metron,21,FALSE)</f>
        <v>12.59428182437032</v>
      </c>
      <c r="CH61" s="6">
        <f>VLOOKUP(Table1[[#This Row],[Reference]],metron,22,FALSE)</f>
        <v>13.577944179714089</v>
      </c>
      <c r="CI61" s="6">
        <f>VLOOKUP(Table1[[#This Row],[Reference]],metron,23,FALSE)</f>
        <v>1.4276913099870301</v>
      </c>
      <c r="CJ61" s="6">
        <f>VLOOKUP(Table1[[#This Row],[Reference]],metron,24,FALSE)</f>
        <v>1.940985732814527</v>
      </c>
      <c r="CK61" s="6">
        <f>VLOOKUP(Table1[[#This Row],[Reference]],metron,25,FALSE)</f>
        <v>8.0739299610894946E-2</v>
      </c>
      <c r="CL61" s="6">
        <f>VLOOKUP(Table1[[#This Row],[Reference]],metron,26,FALSE)</f>
        <v>0.12743190661478601</v>
      </c>
    </row>
    <row r="62" spans="1:90" hidden="1" x14ac:dyDescent="0.45">
      <c r="A62" t="s">
        <v>696</v>
      </c>
      <c r="B62">
        <v>1630278000</v>
      </c>
      <c r="C62" s="23" t="s">
        <v>225</v>
      </c>
      <c r="D62" t="s">
        <v>65</v>
      </c>
      <c r="E62" t="s">
        <v>66</v>
      </c>
      <c r="F62" t="s">
        <v>73</v>
      </c>
      <c r="G62" t="s">
        <v>78</v>
      </c>
      <c r="H62" t="s">
        <v>108</v>
      </c>
      <c r="I62">
        <f>MROUND(Table1[[#This Row],[ProbH]]*100,2)/100</f>
        <v>0.64</v>
      </c>
      <c r="J62">
        <f>1/Table1[[#This Row],[odds_ft_home_team_win]]-Table1[[#This Row],[Margin]]</f>
        <v>0.64651618304452907</v>
      </c>
      <c r="K62">
        <f>1/Table1[[#This Row],[odds_ft_draw]]-Table1[[#This Row],[Margin]]</f>
        <v>0.22713128090100618</v>
      </c>
      <c r="L62">
        <f>1/Table1[[#This Row],[odds_ft_away_team_win]]-Table1[[#This Row],[Margin]]</f>
        <v>0.12635253605446475</v>
      </c>
      <c r="M62">
        <v>7</v>
      </c>
      <c r="N62">
        <v>1</v>
      </c>
      <c r="O62">
        <v>0.33</v>
      </c>
      <c r="P62">
        <v>1.58</v>
      </c>
      <c r="Q62">
        <v>0.71</v>
      </c>
      <c r="R62" t="str" cm="1">
        <f t="array" ref="R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">
        <v>2</v>
      </c>
      <c r="T62">
        <v>0</v>
      </c>
      <c r="U62">
        <v>2</v>
      </c>
      <c r="V62">
        <v>0</v>
      </c>
      <c r="W62">
        <v>0</v>
      </c>
      <c r="X62">
        <v>0</v>
      </c>
      <c r="Y62" t="s">
        <v>226</v>
      </c>
      <c r="AA62">
        <v>4</v>
      </c>
      <c r="AB62">
        <v>3</v>
      </c>
      <c r="AC62">
        <v>1</v>
      </c>
      <c r="AD62">
        <v>0</v>
      </c>
      <c r="AE62">
        <v>2</v>
      </c>
      <c r="AF62">
        <v>1</v>
      </c>
      <c r="AG62">
        <v>1</v>
      </c>
      <c r="AH62">
        <v>0</v>
      </c>
      <c r="AI62">
        <v>1</v>
      </c>
      <c r="AJ62">
        <v>2</v>
      </c>
      <c r="AK62">
        <v>17</v>
      </c>
      <c r="AL62">
        <v>6</v>
      </c>
      <c r="AM62">
        <v>7</v>
      </c>
      <c r="AN62">
        <v>2</v>
      </c>
      <c r="AO62">
        <v>10</v>
      </c>
      <c r="AP62">
        <v>4</v>
      </c>
      <c r="AQ62">
        <v>12</v>
      </c>
      <c r="AR62">
        <v>12</v>
      </c>
      <c r="AS62">
        <v>70</v>
      </c>
      <c r="AT62">
        <v>30</v>
      </c>
      <c r="AU62">
        <v>1.95</v>
      </c>
      <c r="AV62">
        <v>0.65</v>
      </c>
      <c r="AW62">
        <v>1.83</v>
      </c>
      <c r="AX62">
        <v>50</v>
      </c>
      <c r="AY62">
        <v>67</v>
      </c>
      <c r="AZ62">
        <v>17</v>
      </c>
      <c r="BA62">
        <v>17</v>
      </c>
      <c r="BB62">
        <v>0</v>
      </c>
      <c r="BC62">
        <v>17</v>
      </c>
      <c r="BD62">
        <v>33</v>
      </c>
      <c r="BE62">
        <v>50</v>
      </c>
      <c r="BF62">
        <v>84</v>
      </c>
      <c r="BG62">
        <v>7.33</v>
      </c>
      <c r="BH62">
        <v>2.67</v>
      </c>
      <c r="BI62">
        <v>1.45</v>
      </c>
      <c r="BJ62">
        <v>3.7</v>
      </c>
      <c r="BK62">
        <v>5.9</v>
      </c>
      <c r="BL62">
        <f>(1/Table1[[#This Row],[odds_ft_home_team_win]]+1/Table1[[#This Row],[odds_ft_draw]]+1/Table1[[#This Row],[odds_ft_away_team_win]]-1)/3</f>
        <v>4.3138989369264046E-2</v>
      </c>
      <c r="BM62">
        <v>1.33</v>
      </c>
      <c r="BN62">
        <v>1.9</v>
      </c>
      <c r="BO62">
        <v>3.5</v>
      </c>
      <c r="BP62">
        <v>6.75</v>
      </c>
      <c r="BQ62">
        <v>2.15</v>
      </c>
      <c r="BR62">
        <v>1.67</v>
      </c>
      <c r="BS62" t="s">
        <v>142</v>
      </c>
      <c r="BT62">
        <f>VLOOKUP(Table1[[#This Row],[Reference]],metron,8,FALSE)</f>
        <v>2.1745910991837163</v>
      </c>
      <c r="BU62">
        <f>VLOOKUP(Table1[[#This Row],[Reference]],metron,9,FALSE)</f>
        <v>0.59796358565236019</v>
      </c>
      <c r="BV62">
        <f>VLOOKUP(Table1[[#This Row],[Reference]],metron,10,FALSE)</f>
        <v>2.8343749999999996</v>
      </c>
      <c r="BW62">
        <f>VLOOKUP(Table1[[#This Row],[Reference]],metron,11,FALSE)</f>
        <v>1.980803571428571</v>
      </c>
      <c r="BX62">
        <f>VLOOKUP(Table1[[#This Row],[Reference]],metron,12,FALSE)</f>
        <v>0.85357142857142854</v>
      </c>
      <c r="BY62" s="6">
        <f>VLOOKUP(Table1[[#This Row],[Reference]],metron,13,FALSE)</f>
        <v>0.8683035714285714</v>
      </c>
      <c r="BZ62" s="6">
        <f>VLOOKUP(Table1[[#This Row],[Reference]],metron,14,FALSE)</f>
        <v>0.36607142857142849</v>
      </c>
      <c r="CA62" s="6">
        <f>VLOOKUP(Table1[[#This Row],[Reference]],metron,15,FALSE)</f>
        <v>15.03980099502488</v>
      </c>
      <c r="CB62" s="6">
        <f>VLOOKUP(Table1[[#This Row],[Reference]],metron,16,FALSE)</f>
        <v>8.6326699834162515</v>
      </c>
      <c r="CC62" s="6">
        <f>VLOOKUP(Table1[[#This Row],[Reference]],metron,17,FALSE)</f>
        <v>6.5189234650967203</v>
      </c>
      <c r="CD62" s="6">
        <f>VLOOKUP(Table1[[#This Row],[Reference]],metron,18,FALSE)</f>
        <v>3.4507989907485279</v>
      </c>
      <c r="CE62" s="6">
        <f>VLOOKUP(Table1[[#This Row],[Reference]],metron,19,FALSE)</f>
        <v>8.5208775299281605</v>
      </c>
      <c r="CF62" s="6">
        <f>VLOOKUP(Table1[[#This Row],[Reference]],metron,20,FALSE)</f>
        <v>5.181870992667724</v>
      </c>
      <c r="CG62" s="6">
        <f>VLOOKUP(Table1[[#This Row],[Reference]],metron,21,FALSE)</f>
        <v>12.48566610455312</v>
      </c>
      <c r="CH62" s="6">
        <f>VLOOKUP(Table1[[#This Row],[Reference]],metron,22,FALSE)</f>
        <v>13.573355817875211</v>
      </c>
      <c r="CI62" s="6">
        <f>VLOOKUP(Table1[[#This Row],[Reference]],metron,23,FALSE)</f>
        <v>1.395273023634882</v>
      </c>
      <c r="CJ62" s="6">
        <f>VLOOKUP(Table1[[#This Row],[Reference]],metron,24,FALSE)</f>
        <v>2.0586797066014668</v>
      </c>
      <c r="CK62" s="6">
        <f>VLOOKUP(Table1[[#This Row],[Reference]],metron,25,FALSE)</f>
        <v>6.8459657701711488E-2</v>
      </c>
      <c r="CL62" s="6">
        <f>VLOOKUP(Table1[[#This Row],[Reference]],metron,26,FALSE)</f>
        <v>0.12713936430317849</v>
      </c>
    </row>
    <row r="63" spans="1:90" hidden="1" x14ac:dyDescent="0.45">
      <c r="A63" t="s">
        <v>696</v>
      </c>
      <c r="B63">
        <v>1630285200</v>
      </c>
      <c r="C63" s="23" t="s">
        <v>227</v>
      </c>
      <c r="D63" t="s">
        <v>65</v>
      </c>
      <c r="E63" t="s">
        <v>66</v>
      </c>
      <c r="F63" t="s">
        <v>112</v>
      </c>
      <c r="G63" t="s">
        <v>84</v>
      </c>
      <c r="H63" t="s">
        <v>86</v>
      </c>
      <c r="I63">
        <f>MROUND(Table1[[#This Row],[ProbH]]*100,2)/100</f>
        <v>0.36</v>
      </c>
      <c r="J63">
        <f>1/Table1[[#This Row],[odds_ft_home_team_win]]-Table1[[#This Row],[Margin]]</f>
        <v>0.36794217687074826</v>
      </c>
      <c r="K63">
        <f>1/Table1[[#This Row],[odds_ft_draw]]-Table1[[#This Row],[Margin]]</f>
        <v>0.27227891156462586</v>
      </c>
      <c r="L63">
        <f>1/Table1[[#This Row],[odds_ft_away_team_win]]-Table1[[#This Row],[Margin]]</f>
        <v>0.35977891156462588</v>
      </c>
      <c r="M63">
        <v>7</v>
      </c>
      <c r="N63">
        <v>1.33</v>
      </c>
      <c r="O63">
        <v>1</v>
      </c>
      <c r="P63">
        <v>1.25</v>
      </c>
      <c r="Q63">
        <v>1.42</v>
      </c>
      <c r="R63" t="str" cm="1">
        <f t="array" ref="R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3">
        <v>1</v>
      </c>
      <c r="T63">
        <v>1</v>
      </c>
      <c r="U63">
        <v>2</v>
      </c>
      <c r="V63">
        <v>1</v>
      </c>
      <c r="W63">
        <v>0</v>
      </c>
      <c r="X63">
        <v>1</v>
      </c>
      <c r="Y63">
        <v>59</v>
      </c>
      <c r="Z63">
        <v>23</v>
      </c>
      <c r="AA63">
        <v>3</v>
      </c>
      <c r="AB63">
        <v>3</v>
      </c>
      <c r="AC63">
        <v>1</v>
      </c>
      <c r="AD63">
        <v>0</v>
      </c>
      <c r="AE63">
        <v>4</v>
      </c>
      <c r="AF63">
        <v>0</v>
      </c>
      <c r="AG63">
        <v>1</v>
      </c>
      <c r="AH63">
        <v>0</v>
      </c>
      <c r="AI63">
        <v>2</v>
      </c>
      <c r="AJ63">
        <v>2</v>
      </c>
      <c r="AK63">
        <v>14</v>
      </c>
      <c r="AL63">
        <v>15</v>
      </c>
      <c r="AM63">
        <v>5</v>
      </c>
      <c r="AN63">
        <v>6</v>
      </c>
      <c r="AO63">
        <v>9</v>
      </c>
      <c r="AP63">
        <v>9</v>
      </c>
      <c r="AQ63">
        <v>11</v>
      </c>
      <c r="AR63">
        <v>10</v>
      </c>
      <c r="AS63">
        <v>59</v>
      </c>
      <c r="AT63">
        <v>41</v>
      </c>
      <c r="AU63">
        <v>1.55</v>
      </c>
      <c r="AV63">
        <v>1.62</v>
      </c>
      <c r="AW63">
        <v>2.84</v>
      </c>
      <c r="AX63">
        <v>50</v>
      </c>
      <c r="AY63">
        <v>100</v>
      </c>
      <c r="AZ63">
        <v>50</v>
      </c>
      <c r="BA63">
        <v>33</v>
      </c>
      <c r="BB63">
        <v>0</v>
      </c>
      <c r="BC63">
        <v>33</v>
      </c>
      <c r="BD63">
        <v>84</v>
      </c>
      <c r="BE63">
        <v>33</v>
      </c>
      <c r="BF63">
        <v>100</v>
      </c>
      <c r="BG63">
        <v>6.67</v>
      </c>
      <c r="BH63">
        <v>3.33</v>
      </c>
      <c r="BI63">
        <v>2.4500000000000002</v>
      </c>
      <c r="BJ63">
        <v>3.2</v>
      </c>
      <c r="BK63">
        <v>2.5</v>
      </c>
      <c r="BL63">
        <f>(1/Table1[[#This Row],[odds_ft_home_team_win]]+1/Table1[[#This Row],[odds_ft_draw]]+1/Table1[[#This Row],[odds_ft_away_team_win]]-1)/3</f>
        <v>4.0221088435374121E-2</v>
      </c>
      <c r="BM63">
        <v>1.43</v>
      </c>
      <c r="BN63">
        <v>2.2000000000000002</v>
      </c>
      <c r="BO63">
        <v>3.75</v>
      </c>
      <c r="BP63">
        <v>7.25</v>
      </c>
      <c r="BQ63">
        <v>2</v>
      </c>
      <c r="BR63">
        <v>1.8</v>
      </c>
      <c r="BS63" t="s">
        <v>116</v>
      </c>
      <c r="BT63">
        <f>VLOOKUP(Table1[[#This Row],[Reference]],metron,8,FALSE)</f>
        <v>1.4023864615972674</v>
      </c>
      <c r="BU63">
        <f>VLOOKUP(Table1[[#This Row],[Reference]],metron,9,FALSE)</f>
        <v>1.3093265904245279</v>
      </c>
      <c r="BV63">
        <f>VLOOKUP(Table1[[#This Row],[Reference]],metron,10,FALSE)</f>
        <v>2.5110350525197691</v>
      </c>
      <c r="BW63">
        <f>VLOOKUP(Table1[[#This Row],[Reference]],metron,11,FALSE)</f>
        <v>1.269326094653606</v>
      </c>
      <c r="BX63">
        <f>VLOOKUP(Table1[[#This Row],[Reference]],metron,12,FALSE)</f>
        <v>1.2417089578661631</v>
      </c>
      <c r="BY63" s="6">
        <f>VLOOKUP(Table1[[#This Row],[Reference]],metron,13,FALSE)</f>
        <v>0.56586402266288949</v>
      </c>
      <c r="BZ63" s="6">
        <f>VLOOKUP(Table1[[#This Row],[Reference]],metron,14,FALSE)</f>
        <v>0.55158168083097259</v>
      </c>
      <c r="CA63" s="6">
        <f>VLOOKUP(Table1[[#This Row],[Reference]],metron,15,FALSE)</f>
        <v>11.49400826446281</v>
      </c>
      <c r="CB63" s="6">
        <f>VLOOKUP(Table1[[#This Row],[Reference]],metron,16,FALSE)</f>
        <v>10.507231404958681</v>
      </c>
      <c r="CC63" s="6">
        <f>VLOOKUP(Table1[[#This Row],[Reference]],metron,17,FALSE)</f>
        <v>4.9238790406673623</v>
      </c>
      <c r="CD63" s="6">
        <f>VLOOKUP(Table1[[#This Row],[Reference]],metron,18,FALSE)</f>
        <v>4.6296141814389991</v>
      </c>
      <c r="CE63" s="6">
        <f>VLOOKUP(Table1[[#This Row],[Reference]],metron,19,FALSE)</f>
        <v>6.5701292237954476</v>
      </c>
      <c r="CF63" s="6">
        <f>VLOOKUP(Table1[[#This Row],[Reference]],metron,20,FALSE)</f>
        <v>5.8776172235196817</v>
      </c>
      <c r="CG63" s="6">
        <f>VLOOKUP(Table1[[#This Row],[Reference]],metron,21,FALSE)</f>
        <v>12.798739495798319</v>
      </c>
      <c r="CH63" s="6">
        <f>VLOOKUP(Table1[[#This Row],[Reference]],metron,22,FALSE)</f>
        <v>12.98844537815126</v>
      </c>
      <c r="CI63" s="6">
        <f>VLOOKUP(Table1[[#This Row],[Reference]],metron,23,FALSE)</f>
        <v>1.604928297313674</v>
      </c>
      <c r="CJ63" s="6">
        <f>VLOOKUP(Table1[[#This Row],[Reference]],metron,24,FALSE)</f>
        <v>1.791961219955565</v>
      </c>
      <c r="CK63" s="6">
        <f>VLOOKUP(Table1[[#This Row],[Reference]],metron,25,FALSE)</f>
        <v>8.887093516461321E-2</v>
      </c>
      <c r="CL63" s="6">
        <f>VLOOKUP(Table1[[#This Row],[Reference]],metron,26,FALSE)</f>
        <v>0.11694607150070691</v>
      </c>
    </row>
    <row r="64" spans="1:90" hidden="1" x14ac:dyDescent="0.45">
      <c r="A64" t="s">
        <v>696</v>
      </c>
      <c r="B64">
        <v>1631318400</v>
      </c>
      <c r="C64" s="23" t="s">
        <v>228</v>
      </c>
      <c r="D64" t="s">
        <v>65</v>
      </c>
      <c r="E64" t="s">
        <v>66</v>
      </c>
      <c r="F64" t="s">
        <v>102</v>
      </c>
      <c r="G64" t="s">
        <v>91</v>
      </c>
      <c r="H64" t="s">
        <v>229</v>
      </c>
      <c r="I64">
        <f>MROUND(Table1[[#This Row],[ProbH]]*100,2)/100</f>
        <v>0.36</v>
      </c>
      <c r="J64">
        <f>1/Table1[[#This Row],[odds_ft_home_team_win]]-Table1[[#This Row],[Margin]]</f>
        <v>0.36461251167133518</v>
      </c>
      <c r="K64">
        <f>1/Table1[[#This Row],[odds_ft_draw]]-Table1[[#This Row],[Margin]]</f>
        <v>0.30578898225957041</v>
      </c>
      <c r="L64">
        <f>1/Table1[[#This Row],[odds_ft_away_team_win]]-Table1[[#This Row],[Margin]]</f>
        <v>0.32959850606909424</v>
      </c>
      <c r="M64">
        <v>8</v>
      </c>
      <c r="N64">
        <v>1.33</v>
      </c>
      <c r="O64">
        <v>2.33</v>
      </c>
      <c r="P64">
        <v>1.38</v>
      </c>
      <c r="Q64">
        <v>1.25</v>
      </c>
      <c r="R64" t="str" cm="1">
        <f t="array" ref="R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">
        <v>2</v>
      </c>
      <c r="T64">
        <v>2</v>
      </c>
      <c r="U64">
        <v>4</v>
      </c>
      <c r="V64">
        <v>1</v>
      </c>
      <c r="W64">
        <v>0</v>
      </c>
      <c r="X64">
        <v>1</v>
      </c>
      <c r="Y64" t="s">
        <v>230</v>
      </c>
      <c r="Z64" t="s">
        <v>231</v>
      </c>
      <c r="AA64">
        <v>6</v>
      </c>
      <c r="AB64">
        <v>8</v>
      </c>
      <c r="AC64">
        <v>1</v>
      </c>
      <c r="AD64">
        <v>0</v>
      </c>
      <c r="AE64">
        <v>3</v>
      </c>
      <c r="AF64">
        <v>0</v>
      </c>
      <c r="AG64">
        <v>1</v>
      </c>
      <c r="AH64">
        <v>0</v>
      </c>
      <c r="AI64">
        <v>2</v>
      </c>
      <c r="AJ64">
        <v>1</v>
      </c>
      <c r="AK64">
        <v>13</v>
      </c>
      <c r="AL64">
        <v>6</v>
      </c>
      <c r="AM64">
        <v>6</v>
      </c>
      <c r="AN64">
        <v>5</v>
      </c>
      <c r="AO64">
        <v>7</v>
      </c>
      <c r="AP64">
        <v>1</v>
      </c>
      <c r="AQ64">
        <v>13</v>
      </c>
      <c r="AR64">
        <v>16</v>
      </c>
      <c r="AS64">
        <v>50</v>
      </c>
      <c r="AT64">
        <v>50</v>
      </c>
      <c r="AU64">
        <v>1.62</v>
      </c>
      <c r="AV64">
        <v>1.1200000000000001</v>
      </c>
      <c r="AW64">
        <v>2.67</v>
      </c>
      <c r="AX64">
        <v>67</v>
      </c>
      <c r="AY64">
        <v>84</v>
      </c>
      <c r="AZ64">
        <v>50</v>
      </c>
      <c r="BA64">
        <v>34</v>
      </c>
      <c r="BB64">
        <v>0</v>
      </c>
      <c r="BC64">
        <v>34</v>
      </c>
      <c r="BD64">
        <v>67</v>
      </c>
      <c r="BE64">
        <v>50</v>
      </c>
      <c r="BF64">
        <v>100</v>
      </c>
      <c r="BG64">
        <v>9.33</v>
      </c>
      <c r="BH64">
        <v>1.34</v>
      </c>
      <c r="BI64">
        <v>2.5499999999999998</v>
      </c>
      <c r="BJ64">
        <v>3</v>
      </c>
      <c r="BK64">
        <v>2.8</v>
      </c>
      <c r="BL64">
        <f>(1/Table1[[#This Row],[odds_ft_home_team_win]]+1/Table1[[#This Row],[odds_ft_draw]]+1/Table1[[#This Row],[odds_ft_away_team_win]]-1)/3</f>
        <v>2.754435107376289E-2</v>
      </c>
      <c r="BM64">
        <v>1.45</v>
      </c>
      <c r="BN64">
        <v>2.25</v>
      </c>
      <c r="BO64">
        <v>3.8</v>
      </c>
      <c r="BP64">
        <v>7.25</v>
      </c>
      <c r="BQ64">
        <v>2</v>
      </c>
      <c r="BR64">
        <v>1.8</v>
      </c>
      <c r="BS64" t="s">
        <v>124</v>
      </c>
      <c r="BT64">
        <f>VLOOKUP(Table1[[#This Row],[Reference]],metron,8,FALSE)</f>
        <v>1.4023864615972674</v>
      </c>
      <c r="BU64">
        <f>VLOOKUP(Table1[[#This Row],[Reference]],metron,9,FALSE)</f>
        <v>1.3093265904245279</v>
      </c>
      <c r="BV64">
        <f>VLOOKUP(Table1[[#This Row],[Reference]],metron,10,FALSE)</f>
        <v>2.5110350525197691</v>
      </c>
      <c r="BW64">
        <f>VLOOKUP(Table1[[#This Row],[Reference]],metron,11,FALSE)</f>
        <v>1.269326094653606</v>
      </c>
      <c r="BX64">
        <f>VLOOKUP(Table1[[#This Row],[Reference]],metron,12,FALSE)</f>
        <v>1.2417089578661631</v>
      </c>
      <c r="BY64" s="6">
        <f>VLOOKUP(Table1[[#This Row],[Reference]],metron,13,FALSE)</f>
        <v>0.56586402266288949</v>
      </c>
      <c r="BZ64" s="6">
        <f>VLOOKUP(Table1[[#This Row],[Reference]],metron,14,FALSE)</f>
        <v>0.55158168083097259</v>
      </c>
      <c r="CA64" s="6">
        <f>VLOOKUP(Table1[[#This Row],[Reference]],metron,15,FALSE)</f>
        <v>11.49400826446281</v>
      </c>
      <c r="CB64" s="6">
        <f>VLOOKUP(Table1[[#This Row],[Reference]],metron,16,FALSE)</f>
        <v>10.507231404958681</v>
      </c>
      <c r="CC64" s="6">
        <f>VLOOKUP(Table1[[#This Row],[Reference]],metron,17,FALSE)</f>
        <v>4.9238790406673623</v>
      </c>
      <c r="CD64" s="6">
        <f>VLOOKUP(Table1[[#This Row],[Reference]],metron,18,FALSE)</f>
        <v>4.6296141814389991</v>
      </c>
      <c r="CE64" s="6">
        <f>VLOOKUP(Table1[[#This Row],[Reference]],metron,19,FALSE)</f>
        <v>6.5701292237954476</v>
      </c>
      <c r="CF64" s="6">
        <f>VLOOKUP(Table1[[#This Row],[Reference]],metron,20,FALSE)</f>
        <v>5.8776172235196817</v>
      </c>
      <c r="CG64" s="6">
        <f>VLOOKUP(Table1[[#This Row],[Reference]],metron,21,FALSE)</f>
        <v>12.798739495798319</v>
      </c>
      <c r="CH64" s="6">
        <f>VLOOKUP(Table1[[#This Row],[Reference]],metron,22,FALSE)</f>
        <v>12.98844537815126</v>
      </c>
      <c r="CI64" s="6">
        <f>VLOOKUP(Table1[[#This Row],[Reference]],metron,23,FALSE)</f>
        <v>1.604928297313674</v>
      </c>
      <c r="CJ64" s="6">
        <f>VLOOKUP(Table1[[#This Row],[Reference]],metron,24,FALSE)</f>
        <v>1.791961219955565</v>
      </c>
      <c r="CK64" s="6">
        <f>VLOOKUP(Table1[[#This Row],[Reference]],metron,25,FALSE)</f>
        <v>8.887093516461321E-2</v>
      </c>
      <c r="CL64" s="6">
        <f>VLOOKUP(Table1[[#This Row],[Reference]],metron,26,FALSE)</f>
        <v>0.11694607150070691</v>
      </c>
    </row>
    <row r="65" spans="1:90" hidden="1" x14ac:dyDescent="0.45">
      <c r="A65" t="s">
        <v>696</v>
      </c>
      <c r="B65">
        <v>1631325600</v>
      </c>
      <c r="C65" s="23" t="s">
        <v>232</v>
      </c>
      <c r="D65" t="s">
        <v>65</v>
      </c>
      <c r="E65" t="s">
        <v>66</v>
      </c>
      <c r="F65" t="s">
        <v>78</v>
      </c>
      <c r="G65" t="s">
        <v>112</v>
      </c>
      <c r="H65" t="s">
        <v>69</v>
      </c>
      <c r="I65">
        <f>MROUND(Table1[[#This Row],[ProbH]]*100,2)/100</f>
        <v>0.3</v>
      </c>
      <c r="J65">
        <f>1/Table1[[#This Row],[odds_ft_home_team_win]]-Table1[[#This Row],[Margin]]</f>
        <v>0.29953161592505861</v>
      </c>
      <c r="K65">
        <f>1/Table1[[#This Row],[odds_ft_draw]]-Table1[[#This Row],[Margin]]</f>
        <v>0.32880562060889934</v>
      </c>
      <c r="L65">
        <f>1/Table1[[#This Row],[odds_ft_away_team_win]]-Table1[[#This Row],[Margin]]</f>
        <v>0.37166276346604221</v>
      </c>
      <c r="M65">
        <v>8</v>
      </c>
      <c r="N65">
        <v>0.33</v>
      </c>
      <c r="O65">
        <v>1.67</v>
      </c>
      <c r="P65">
        <v>0.88</v>
      </c>
      <c r="Q65">
        <v>1.5</v>
      </c>
      <c r="R65" t="str" cm="1">
        <f t="array" ref="R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">
        <v>2</v>
      </c>
      <c r="T65">
        <v>1</v>
      </c>
      <c r="U65">
        <v>3</v>
      </c>
      <c r="V65">
        <v>3</v>
      </c>
      <c r="W65">
        <v>2</v>
      </c>
      <c r="X65">
        <v>1</v>
      </c>
      <c r="Y65" t="s">
        <v>233</v>
      </c>
      <c r="Z65">
        <v>4</v>
      </c>
      <c r="AA65">
        <v>2</v>
      </c>
      <c r="AB65">
        <v>3</v>
      </c>
      <c r="AC65">
        <v>4</v>
      </c>
      <c r="AD65">
        <v>0</v>
      </c>
      <c r="AE65">
        <v>4</v>
      </c>
      <c r="AF65">
        <v>0</v>
      </c>
      <c r="AG65">
        <v>1</v>
      </c>
      <c r="AH65">
        <v>3</v>
      </c>
      <c r="AI65">
        <v>2</v>
      </c>
      <c r="AJ65">
        <v>2</v>
      </c>
      <c r="AK65">
        <v>10</v>
      </c>
      <c r="AL65">
        <v>15</v>
      </c>
      <c r="AM65">
        <v>4</v>
      </c>
      <c r="AN65">
        <v>2</v>
      </c>
      <c r="AO65">
        <v>6</v>
      </c>
      <c r="AP65">
        <v>13</v>
      </c>
      <c r="AQ65">
        <v>6</v>
      </c>
      <c r="AR65">
        <v>9</v>
      </c>
      <c r="AS65">
        <v>45</v>
      </c>
      <c r="AT65">
        <v>55</v>
      </c>
      <c r="AU65">
        <v>1.1100000000000001</v>
      </c>
      <c r="AV65">
        <v>1.47</v>
      </c>
      <c r="AW65">
        <v>2.34</v>
      </c>
      <c r="AX65">
        <v>84</v>
      </c>
      <c r="AY65">
        <v>84</v>
      </c>
      <c r="AZ65">
        <v>50</v>
      </c>
      <c r="BA65">
        <v>17</v>
      </c>
      <c r="BB65">
        <v>0</v>
      </c>
      <c r="BC65">
        <v>67</v>
      </c>
      <c r="BD65">
        <v>67</v>
      </c>
      <c r="BE65">
        <v>33</v>
      </c>
      <c r="BF65">
        <v>67</v>
      </c>
      <c r="BG65">
        <v>7</v>
      </c>
      <c r="BH65">
        <v>5.67</v>
      </c>
      <c r="BI65">
        <v>3.05</v>
      </c>
      <c r="BJ65">
        <v>2.8</v>
      </c>
      <c r="BK65">
        <v>2.5</v>
      </c>
      <c r="BL65">
        <f>(1/Table1[[#This Row],[odds_ft_home_team_win]]+1/Table1[[#This Row],[odds_ft_draw]]+1/Table1[[#This Row],[odds_ft_away_team_win]]-1)/3</f>
        <v>2.833723653395781E-2</v>
      </c>
      <c r="BM65">
        <v>1.59</v>
      </c>
      <c r="BN65">
        <v>2.5499999999999998</v>
      </c>
      <c r="BO65">
        <v>4.5999999999999996</v>
      </c>
      <c r="BP65">
        <v>9.5</v>
      </c>
      <c r="BQ65">
        <v>2.2000000000000002</v>
      </c>
      <c r="BR65">
        <v>1.67</v>
      </c>
      <c r="BS65" t="s">
        <v>82</v>
      </c>
      <c r="BT65">
        <f>VLOOKUP(Table1[[#This Row],[Reference]],metron,8,FALSE)</f>
        <v>1.2142445227270171</v>
      </c>
      <c r="BU65">
        <f>VLOOKUP(Table1[[#This Row],[Reference]],metron,9,FALSE)</f>
        <v>1.4993969533036628</v>
      </c>
      <c r="BV65">
        <f>VLOOKUP(Table1[[#This Row],[Reference]],metron,10,FALSE)</f>
        <v>2.5726407816919519</v>
      </c>
      <c r="BW65">
        <f>VLOOKUP(Table1[[#This Row],[Reference]],metron,11,FALSE)</f>
        <v>1.1805091283106199</v>
      </c>
      <c r="BX65">
        <f>VLOOKUP(Table1[[#This Row],[Reference]],metron,12,FALSE)</f>
        <v>1.3921316533813319</v>
      </c>
      <c r="BY65" s="6">
        <f>VLOOKUP(Table1[[#This Row],[Reference]],metron,13,FALSE)</f>
        <v>0.5209673269873939</v>
      </c>
      <c r="BZ65" s="6">
        <f>VLOOKUP(Table1[[#This Row],[Reference]],metron,14,FALSE)</f>
        <v>0.61847182917417032</v>
      </c>
      <c r="CA65" s="6">
        <f>VLOOKUP(Table1[[#This Row],[Reference]],metron,15,FALSE)</f>
        <v>11.149200710479571</v>
      </c>
      <c r="CB65" s="6">
        <f>VLOOKUP(Table1[[#This Row],[Reference]],metron,16,FALSE)</f>
        <v>11.444049733570161</v>
      </c>
      <c r="CC65" s="6">
        <f>VLOOKUP(Table1[[#This Row],[Reference]],metron,17,FALSE)</f>
        <v>4.5257270693512304</v>
      </c>
      <c r="CD65" s="6">
        <f>VLOOKUP(Table1[[#This Row],[Reference]],metron,18,FALSE)</f>
        <v>4.8465324384787474</v>
      </c>
      <c r="CE65" s="6">
        <f>VLOOKUP(Table1[[#This Row],[Reference]],metron,19,FALSE)</f>
        <v>6.6234736411283404</v>
      </c>
      <c r="CF65" s="6">
        <f>VLOOKUP(Table1[[#This Row],[Reference]],metron,20,FALSE)</f>
        <v>6.5975172950914134</v>
      </c>
      <c r="CG65" s="6">
        <f>VLOOKUP(Table1[[#This Row],[Reference]],metron,21,FALSE)</f>
        <v>12.90081154192967</v>
      </c>
      <c r="CH65" s="6">
        <f>VLOOKUP(Table1[[#This Row],[Reference]],metron,22,FALSE)</f>
        <v>13.00360685302074</v>
      </c>
      <c r="CI65" s="6">
        <f>VLOOKUP(Table1[[#This Row],[Reference]],metron,23,FALSE)</f>
        <v>1.7502145922746779</v>
      </c>
      <c r="CJ65" s="6">
        <f>VLOOKUP(Table1[[#This Row],[Reference]],metron,24,FALSE)</f>
        <v>1.831402831402831</v>
      </c>
      <c r="CK65" s="6">
        <f>VLOOKUP(Table1[[#This Row],[Reference]],metron,25,FALSE)</f>
        <v>9.6525096525096526E-2</v>
      </c>
      <c r="CL65" s="6">
        <f>VLOOKUP(Table1[[#This Row],[Reference]],metron,26,FALSE)</f>
        <v>0.1244101244101244</v>
      </c>
    </row>
    <row r="66" spans="1:90" hidden="1" x14ac:dyDescent="0.45">
      <c r="A66" t="s">
        <v>696</v>
      </c>
      <c r="B66">
        <v>1631325960</v>
      </c>
      <c r="C66" s="23" t="s">
        <v>234</v>
      </c>
      <c r="D66" t="s">
        <v>65</v>
      </c>
      <c r="E66" t="s">
        <v>66</v>
      </c>
      <c r="F66" t="s">
        <v>106</v>
      </c>
      <c r="G66" t="s">
        <v>73</v>
      </c>
      <c r="H66" t="s">
        <v>98</v>
      </c>
      <c r="I66">
        <f>MROUND(Table1[[#This Row],[ProbH]]*100,2)/100</f>
        <v>0.38</v>
      </c>
      <c r="J66">
        <f>1/Table1[[#This Row],[odds_ft_home_team_win]]-Table1[[#This Row],[Margin]]</f>
        <v>0.38949938949938945</v>
      </c>
      <c r="K66">
        <f>1/Table1[[#This Row],[odds_ft_draw]]-Table1[[#This Row],[Margin]]</f>
        <v>0.28052503052503047</v>
      </c>
      <c r="L66">
        <f>1/Table1[[#This Row],[odds_ft_away_team_win]]-Table1[[#This Row],[Margin]]</f>
        <v>0.32997557997557991</v>
      </c>
      <c r="M66">
        <v>8</v>
      </c>
      <c r="N66">
        <v>0.5</v>
      </c>
      <c r="O66">
        <v>1.67</v>
      </c>
      <c r="P66">
        <v>1.35</v>
      </c>
      <c r="Q66">
        <v>1.1100000000000001</v>
      </c>
      <c r="R66" t="str" cm="1">
        <f t="array" ref="R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">
        <v>2</v>
      </c>
      <c r="T66">
        <v>1</v>
      </c>
      <c r="U66">
        <v>3</v>
      </c>
      <c r="V66">
        <v>1</v>
      </c>
      <c r="W66">
        <v>1</v>
      </c>
      <c r="X66">
        <v>0</v>
      </c>
      <c r="Y66" t="s">
        <v>235</v>
      </c>
      <c r="Z66">
        <v>87</v>
      </c>
      <c r="AA66">
        <v>4</v>
      </c>
      <c r="AB66">
        <v>14</v>
      </c>
      <c r="AC66">
        <v>3</v>
      </c>
      <c r="AD66">
        <v>0</v>
      </c>
      <c r="AE66">
        <v>3</v>
      </c>
      <c r="AF66">
        <v>0</v>
      </c>
      <c r="AG66">
        <v>1</v>
      </c>
      <c r="AH66">
        <v>2</v>
      </c>
      <c r="AI66">
        <v>0</v>
      </c>
      <c r="AJ66">
        <v>3</v>
      </c>
      <c r="AK66">
        <v>22</v>
      </c>
      <c r="AL66">
        <v>19</v>
      </c>
      <c r="AM66">
        <v>6</v>
      </c>
      <c r="AN66">
        <v>6</v>
      </c>
      <c r="AO66">
        <v>16</v>
      </c>
      <c r="AP66">
        <v>13</v>
      </c>
      <c r="AQ66">
        <v>14</v>
      </c>
      <c r="AR66">
        <v>11</v>
      </c>
      <c r="AS66">
        <v>48</v>
      </c>
      <c r="AT66">
        <v>52</v>
      </c>
      <c r="AU66">
        <v>2.15</v>
      </c>
      <c r="AV66">
        <v>1.99</v>
      </c>
      <c r="AW66">
        <v>2.54</v>
      </c>
      <c r="AX66">
        <v>71</v>
      </c>
      <c r="AY66">
        <v>100</v>
      </c>
      <c r="AZ66">
        <v>42</v>
      </c>
      <c r="BA66">
        <v>13</v>
      </c>
      <c r="BB66">
        <v>0</v>
      </c>
      <c r="BC66">
        <v>29</v>
      </c>
      <c r="BD66">
        <v>100</v>
      </c>
      <c r="BE66">
        <v>13</v>
      </c>
      <c r="BF66">
        <v>100</v>
      </c>
      <c r="BG66">
        <v>14.42</v>
      </c>
      <c r="BH66">
        <v>4.33</v>
      </c>
      <c r="BI66">
        <v>2.4</v>
      </c>
      <c r="BJ66">
        <v>3.25</v>
      </c>
      <c r="BK66">
        <v>2.8</v>
      </c>
      <c r="BL66">
        <f>(1/Table1[[#This Row],[odds_ft_home_team_win]]+1/Table1[[#This Row],[odds_ft_draw]]+1/Table1[[#This Row],[odds_ft_away_team_win]]-1)/3</f>
        <v>2.716727716727722E-2</v>
      </c>
      <c r="BM66">
        <v>1.33</v>
      </c>
      <c r="BN66">
        <v>1.91</v>
      </c>
      <c r="BO66">
        <v>3</v>
      </c>
      <c r="BP66">
        <v>5.75</v>
      </c>
      <c r="BQ66">
        <v>1.74</v>
      </c>
      <c r="BR66">
        <v>2.0499999999999998</v>
      </c>
      <c r="BS66" t="s">
        <v>110</v>
      </c>
      <c r="BT66">
        <f>VLOOKUP(Table1[[#This Row],[Reference]],metron,8,FALSE)</f>
        <v>1.464160929441638</v>
      </c>
      <c r="BU66">
        <f>VLOOKUP(Table1[[#This Row],[Reference]],metron,9,FALSE)</f>
        <v>1.2477119808919459</v>
      </c>
      <c r="BV66">
        <f>VLOOKUP(Table1[[#This Row],[Reference]],metron,10,FALSE)</f>
        <v>2.4900895140664963</v>
      </c>
      <c r="BW66">
        <f>VLOOKUP(Table1[[#This Row],[Reference]],metron,11,FALSE)</f>
        <v>1.330562659846547</v>
      </c>
      <c r="BX66">
        <f>VLOOKUP(Table1[[#This Row],[Reference]],metron,12,FALSE)</f>
        <v>1.1595268542199491</v>
      </c>
      <c r="BY66" s="6">
        <f>VLOOKUP(Table1[[#This Row],[Reference]],metron,13,FALSE)</f>
        <v>0.59053607588191415</v>
      </c>
      <c r="BZ66" s="6">
        <f>VLOOKUP(Table1[[#This Row],[Reference]],metron,14,FALSE)</f>
        <v>0.50069274219332838</v>
      </c>
      <c r="CA66" s="6">
        <f>VLOOKUP(Table1[[#This Row],[Reference]],metron,15,FALSE)</f>
        <v>11.79715236686391</v>
      </c>
      <c r="CB66" s="6">
        <f>VLOOKUP(Table1[[#This Row],[Reference]],metron,16,FALSE)</f>
        <v>10.317122781065089</v>
      </c>
      <c r="CC66" s="6">
        <f>VLOOKUP(Table1[[#This Row],[Reference]],metron,17,FALSE)</f>
        <v>5.0637025966747622</v>
      </c>
      <c r="CD66" s="6">
        <f>VLOOKUP(Table1[[#This Row],[Reference]],metron,18,FALSE)</f>
        <v>4.4674014571268454</v>
      </c>
      <c r="CE66" s="6">
        <f>VLOOKUP(Table1[[#This Row],[Reference]],metron,19,FALSE)</f>
        <v>6.7334497701891483</v>
      </c>
      <c r="CF66" s="6">
        <f>VLOOKUP(Table1[[#This Row],[Reference]],metron,20,FALSE)</f>
        <v>5.849721323938244</v>
      </c>
      <c r="CG66" s="6">
        <f>VLOOKUP(Table1[[#This Row],[Reference]],metron,21,FALSE)</f>
        <v>12.89644194756554</v>
      </c>
      <c r="CH66" s="6">
        <f>VLOOKUP(Table1[[#This Row],[Reference]],metron,22,FALSE)</f>
        <v>13.3434456928839</v>
      </c>
      <c r="CI66" s="6">
        <f>VLOOKUP(Table1[[#This Row],[Reference]],metron,23,FALSE)</f>
        <v>1.6144382124117971</v>
      </c>
      <c r="CJ66" s="6">
        <f>VLOOKUP(Table1[[#This Row],[Reference]],metron,24,FALSE)</f>
        <v>1.9032024606477289</v>
      </c>
      <c r="CK66" s="6">
        <f>VLOOKUP(Table1[[#This Row],[Reference]],metron,25,FALSE)</f>
        <v>9.372172969060974E-2</v>
      </c>
      <c r="CL66" s="6">
        <f>VLOOKUP(Table1[[#This Row],[Reference]],metron,26,FALSE)</f>
        <v>0.11669983716301791</v>
      </c>
    </row>
    <row r="67" spans="1:90" hidden="1" x14ac:dyDescent="0.45">
      <c r="A67" t="s">
        <v>696</v>
      </c>
      <c r="B67">
        <v>1631397600</v>
      </c>
      <c r="C67" s="23" t="s">
        <v>236</v>
      </c>
      <c r="D67" t="s">
        <v>65</v>
      </c>
      <c r="E67" t="s">
        <v>66</v>
      </c>
      <c r="F67" t="s">
        <v>97</v>
      </c>
      <c r="G67" t="s">
        <v>101</v>
      </c>
      <c r="H67" t="s">
        <v>108</v>
      </c>
      <c r="I67">
        <f>MROUND(Table1[[#This Row],[ProbH]]*100,2)/100</f>
        <v>0.4</v>
      </c>
      <c r="J67">
        <f>1/Table1[[#This Row],[odds_ft_home_team_win]]-Table1[[#This Row],[Margin]]</f>
        <v>0.40625718886588452</v>
      </c>
      <c r="K67">
        <f>1/Table1[[#This Row],[odds_ft_draw]]-Table1[[#This Row],[Margin]]</f>
        <v>0.30480791350356562</v>
      </c>
      <c r="L67">
        <f>1/Table1[[#This Row],[odds_ft_away_team_win]]-Table1[[#This Row],[Margin]]</f>
        <v>0.28893489763054975</v>
      </c>
      <c r="M67">
        <v>8</v>
      </c>
      <c r="N67">
        <v>1.33</v>
      </c>
      <c r="O67">
        <v>1</v>
      </c>
      <c r="P67">
        <v>1.55</v>
      </c>
      <c r="Q67">
        <v>1.05</v>
      </c>
      <c r="R67" t="str" cm="1">
        <f t="array" ref="R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">
        <v>2</v>
      </c>
      <c r="T67">
        <v>1</v>
      </c>
      <c r="U67">
        <v>3</v>
      </c>
      <c r="V67">
        <v>1</v>
      </c>
      <c r="W67">
        <v>0</v>
      </c>
      <c r="X67">
        <v>1</v>
      </c>
      <c r="Y67" t="s">
        <v>237</v>
      </c>
      <c r="Z67">
        <v>14</v>
      </c>
      <c r="AA67">
        <v>3</v>
      </c>
      <c r="AB67">
        <v>2</v>
      </c>
      <c r="AC67">
        <v>0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0</v>
      </c>
      <c r="AK67">
        <v>19</v>
      </c>
      <c r="AL67">
        <v>5</v>
      </c>
      <c r="AM67">
        <v>7</v>
      </c>
      <c r="AN67">
        <v>4</v>
      </c>
      <c r="AO67">
        <v>12</v>
      </c>
      <c r="AP67">
        <v>1</v>
      </c>
      <c r="AQ67">
        <v>15</v>
      </c>
      <c r="AR67">
        <v>12</v>
      </c>
      <c r="AS67">
        <v>55</v>
      </c>
      <c r="AT67">
        <v>45</v>
      </c>
      <c r="AU67">
        <v>1.9</v>
      </c>
      <c r="AV67">
        <v>0.78</v>
      </c>
      <c r="AW67">
        <v>1.84</v>
      </c>
      <c r="AX67">
        <v>50</v>
      </c>
      <c r="AY67">
        <v>67</v>
      </c>
      <c r="AZ67">
        <v>17</v>
      </c>
      <c r="BA67">
        <v>17</v>
      </c>
      <c r="BB67">
        <v>0</v>
      </c>
      <c r="BC67">
        <v>34</v>
      </c>
      <c r="BD67">
        <v>34</v>
      </c>
      <c r="BE67">
        <v>33</v>
      </c>
      <c r="BF67">
        <v>67</v>
      </c>
      <c r="BG67">
        <v>10</v>
      </c>
      <c r="BH67">
        <v>5</v>
      </c>
      <c r="BI67">
        <v>2.2999999999999998</v>
      </c>
      <c r="BJ67">
        <v>3</v>
      </c>
      <c r="BK67">
        <v>3.15</v>
      </c>
      <c r="BL67">
        <f>(1/Table1[[#This Row],[odds_ft_home_team_win]]+1/Table1[[#This Row],[odds_ft_draw]]+1/Table1[[#This Row],[odds_ft_away_team_win]]-1)/3</f>
        <v>2.8525419829767678E-2</v>
      </c>
      <c r="BM67">
        <v>1.49</v>
      </c>
      <c r="BN67">
        <v>2.35</v>
      </c>
      <c r="BO67">
        <v>4.05</v>
      </c>
      <c r="BP67">
        <v>8</v>
      </c>
      <c r="BQ67">
        <v>2.0499999999999998</v>
      </c>
      <c r="BR67">
        <v>1.74</v>
      </c>
      <c r="BS67" t="s">
        <v>136</v>
      </c>
      <c r="BT67">
        <f>VLOOKUP(Table1[[#This Row],[Reference]],metron,8,FALSE)</f>
        <v>1.5181603563290151</v>
      </c>
      <c r="BU67">
        <f>VLOOKUP(Table1[[#This Row],[Reference]],metron,9,FALSE)</f>
        <v>1.1952730370775513</v>
      </c>
      <c r="BV67">
        <f>VLOOKUP(Table1[[#This Row],[Reference]],metron,10,FALSE)</f>
        <v>2.4956155335383219</v>
      </c>
      <c r="BW67">
        <f>VLOOKUP(Table1[[#This Row],[Reference]],metron,11,FALSE)</f>
        <v>1.344038264434575</v>
      </c>
      <c r="BX67">
        <f>VLOOKUP(Table1[[#This Row],[Reference]],metron,12,FALSE)</f>
        <v>1.1515772691037469</v>
      </c>
      <c r="BY67" s="6">
        <f>VLOOKUP(Table1[[#This Row],[Reference]],metron,13,FALSE)</f>
        <v>0.59936225942375587</v>
      </c>
      <c r="BZ67" s="6">
        <f>VLOOKUP(Table1[[#This Row],[Reference]],metron,14,FALSE)</f>
        <v>0.50723152260562576</v>
      </c>
      <c r="CA67" s="6">
        <f>VLOOKUP(Table1[[#This Row],[Reference]],metron,15,FALSE)</f>
        <v>11.99278846153846</v>
      </c>
      <c r="CB67" s="6">
        <f>VLOOKUP(Table1[[#This Row],[Reference]],metron,16,FALSE)</f>
        <v>10.0277534965035</v>
      </c>
      <c r="CC67" s="6">
        <f>VLOOKUP(Table1[[#This Row],[Reference]],metron,17,FALSE)</f>
        <v>5.2857459543338514</v>
      </c>
      <c r="CD67" s="6">
        <f>VLOOKUP(Table1[[#This Row],[Reference]],metron,18,FALSE)</f>
        <v>4.4067834183107957</v>
      </c>
      <c r="CE67" s="6">
        <f>VLOOKUP(Table1[[#This Row],[Reference]],metron,19,FALSE)</f>
        <v>6.7070425072046085</v>
      </c>
      <c r="CF67" s="6">
        <f>VLOOKUP(Table1[[#This Row],[Reference]],metron,20,FALSE)</f>
        <v>5.6209700781927046</v>
      </c>
      <c r="CG67" s="6">
        <f>VLOOKUP(Table1[[#This Row],[Reference]],metron,21,FALSE)</f>
        <v>13.04463690872752</v>
      </c>
      <c r="CH67" s="6">
        <f>VLOOKUP(Table1[[#This Row],[Reference]],metron,22,FALSE)</f>
        <v>13.49811236953142</v>
      </c>
      <c r="CI67" s="6">
        <f>VLOOKUP(Table1[[#This Row],[Reference]],metron,23,FALSE)</f>
        <v>1.5836526181353769</v>
      </c>
      <c r="CJ67" s="6">
        <f>VLOOKUP(Table1[[#This Row],[Reference]],metron,24,FALSE)</f>
        <v>1.8744146445295871</v>
      </c>
      <c r="CK67" s="6">
        <f>VLOOKUP(Table1[[#This Row],[Reference]],metron,25,FALSE)</f>
        <v>8.5994040017028525E-2</v>
      </c>
      <c r="CL67" s="6">
        <f>VLOOKUP(Table1[[#This Row],[Reference]],metron,26,FALSE)</f>
        <v>0.13452532992762881</v>
      </c>
    </row>
    <row r="68" spans="1:90" hidden="1" x14ac:dyDescent="0.45">
      <c r="A68" t="s">
        <v>696</v>
      </c>
      <c r="B68">
        <v>1631404800</v>
      </c>
      <c r="C68" s="23" t="s">
        <v>238</v>
      </c>
      <c r="D68" t="s">
        <v>65</v>
      </c>
      <c r="E68" t="s">
        <v>66</v>
      </c>
      <c r="F68" t="s">
        <v>107</v>
      </c>
      <c r="G68" t="s">
        <v>85</v>
      </c>
      <c r="H68" t="s">
        <v>74</v>
      </c>
      <c r="I68">
        <f>MROUND(Table1[[#This Row],[ProbH]]*100,2)/100</f>
        <v>0.44</v>
      </c>
      <c r="J68">
        <f>1/Table1[[#This Row],[odds_ft_home_team_win]]-Table1[[#This Row],[Margin]]</f>
        <v>0.43808825933088347</v>
      </c>
      <c r="K68">
        <f>1/Table1[[#This Row],[odds_ft_draw]]-Table1[[#This Row],[Margin]]</f>
        <v>0.27147944294768317</v>
      </c>
      <c r="L68">
        <f>1/Table1[[#This Row],[odds_ft_away_team_win]]-Table1[[#This Row],[Margin]]</f>
        <v>0.29043229772143347</v>
      </c>
      <c r="M68">
        <v>8</v>
      </c>
      <c r="N68">
        <v>1.67</v>
      </c>
      <c r="O68">
        <v>2</v>
      </c>
      <c r="P68">
        <v>2</v>
      </c>
      <c r="Q68">
        <v>1.4</v>
      </c>
      <c r="R68" t="str" cm="1">
        <f t="array" ref="R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8">
        <v>2</v>
      </c>
      <c r="T68">
        <v>2</v>
      </c>
      <c r="U68">
        <v>4</v>
      </c>
      <c r="V68">
        <v>3</v>
      </c>
      <c r="W68">
        <v>1</v>
      </c>
      <c r="X68">
        <v>2</v>
      </c>
      <c r="Y68" t="s">
        <v>239</v>
      </c>
      <c r="Z68" t="s">
        <v>240</v>
      </c>
      <c r="AA68">
        <v>9</v>
      </c>
      <c r="AB68">
        <v>2</v>
      </c>
      <c r="AC68">
        <v>3</v>
      </c>
      <c r="AD68">
        <v>0</v>
      </c>
      <c r="AE68">
        <v>3</v>
      </c>
      <c r="AF68">
        <v>0</v>
      </c>
      <c r="AG68">
        <v>2</v>
      </c>
      <c r="AH68">
        <v>1</v>
      </c>
      <c r="AI68">
        <v>0</v>
      </c>
      <c r="AJ68">
        <v>3</v>
      </c>
      <c r="AK68">
        <v>10</v>
      </c>
      <c r="AL68">
        <v>12</v>
      </c>
      <c r="AM68">
        <v>6</v>
      </c>
      <c r="AN68">
        <v>7</v>
      </c>
      <c r="AO68">
        <v>4</v>
      </c>
      <c r="AP68">
        <v>5</v>
      </c>
      <c r="AQ68">
        <v>9</v>
      </c>
      <c r="AR68">
        <v>13</v>
      </c>
      <c r="AS68">
        <v>54</v>
      </c>
      <c r="AT68">
        <v>46</v>
      </c>
      <c r="AU68">
        <v>1.4</v>
      </c>
      <c r="AV68">
        <v>1.38</v>
      </c>
      <c r="AW68">
        <v>2.5</v>
      </c>
      <c r="AX68">
        <v>34</v>
      </c>
      <c r="AY68">
        <v>84</v>
      </c>
      <c r="AZ68">
        <v>50</v>
      </c>
      <c r="BA68">
        <v>17</v>
      </c>
      <c r="BB68">
        <v>0</v>
      </c>
      <c r="BC68">
        <v>0</v>
      </c>
      <c r="BD68">
        <v>84</v>
      </c>
      <c r="BE68">
        <v>50</v>
      </c>
      <c r="BF68">
        <v>84</v>
      </c>
      <c r="BG68">
        <v>7.33</v>
      </c>
      <c r="BH68">
        <v>4.33</v>
      </c>
      <c r="BI68">
        <v>2.15</v>
      </c>
      <c r="BJ68">
        <v>3.35</v>
      </c>
      <c r="BK68">
        <v>3.15</v>
      </c>
      <c r="BL68">
        <f>(1/Table1[[#This Row],[odds_ft_home_team_win]]+1/Table1[[#This Row],[odds_ft_draw]]+1/Table1[[#This Row],[odds_ft_away_team_win]]-1)/3</f>
        <v>2.7028019738883986E-2</v>
      </c>
      <c r="BM68">
        <v>1.34</v>
      </c>
      <c r="BN68">
        <v>1.91</v>
      </c>
      <c r="BO68">
        <v>3.1</v>
      </c>
      <c r="BP68">
        <v>5.75</v>
      </c>
      <c r="BQ68">
        <v>1.8</v>
      </c>
      <c r="BR68">
        <v>2</v>
      </c>
      <c r="BS68" t="s">
        <v>161</v>
      </c>
      <c r="BT68">
        <f>VLOOKUP(Table1[[#This Row],[Reference]],metron,8,FALSE)</f>
        <v>1.6395459745305552</v>
      </c>
      <c r="BU68">
        <f>VLOOKUP(Table1[[#This Row],[Reference]],metron,9,FALSE)</f>
        <v>1.0758429359324786</v>
      </c>
      <c r="BV68">
        <f>VLOOKUP(Table1[[#This Row],[Reference]],metron,10,FALSE)</f>
        <v>2.4807646356033461</v>
      </c>
      <c r="BW68">
        <f>VLOOKUP(Table1[[#This Row],[Reference]],metron,11,FALSE)</f>
        <v>1.4140979689366791</v>
      </c>
      <c r="BX68">
        <f>VLOOKUP(Table1[[#This Row],[Reference]],metron,12,FALSE)</f>
        <v>1.0666666666666671</v>
      </c>
      <c r="BY68" s="6">
        <f>VLOOKUP(Table1[[#This Row],[Reference]],metron,13,FALSE)</f>
        <v>0.62712066905615294</v>
      </c>
      <c r="BZ68" s="6">
        <f>VLOOKUP(Table1[[#This Row],[Reference]],metron,14,FALSE)</f>
        <v>0.46009557945041818</v>
      </c>
      <c r="CA68" s="6">
        <f>VLOOKUP(Table1[[#This Row],[Reference]],metron,15,FALSE)</f>
        <v>12.56969280146722</v>
      </c>
      <c r="CB68" s="6">
        <f>VLOOKUP(Table1[[#This Row],[Reference]],metron,16,FALSE)</f>
        <v>9.8695552498853729</v>
      </c>
      <c r="CC68" s="6">
        <f>VLOOKUP(Table1[[#This Row],[Reference]],metron,17,FALSE)</f>
        <v>5.2754256787850897</v>
      </c>
      <c r="CD68" s="6">
        <f>VLOOKUP(Table1[[#This Row],[Reference]],metron,18,FALSE)</f>
        <v>4.1279337321675103</v>
      </c>
      <c r="CE68" s="6">
        <f>VLOOKUP(Table1[[#This Row],[Reference]],metron,19,FALSE)</f>
        <v>7.2942671226821298</v>
      </c>
      <c r="CF68" s="6">
        <f>VLOOKUP(Table1[[#This Row],[Reference]],metron,20,FALSE)</f>
        <v>5.7416215177178627</v>
      </c>
      <c r="CG68" s="6">
        <f>VLOOKUP(Table1[[#This Row],[Reference]],metron,21,FALSE)</f>
        <v>12.897246007868549</v>
      </c>
      <c r="CH68" s="6">
        <f>VLOOKUP(Table1[[#This Row],[Reference]],metron,22,FALSE)</f>
        <v>13.507058551261281</v>
      </c>
      <c r="CI68" s="6">
        <f>VLOOKUP(Table1[[#This Row],[Reference]],metron,23,FALSE)</f>
        <v>1.576522702104098</v>
      </c>
      <c r="CJ68" s="6">
        <f>VLOOKUP(Table1[[#This Row],[Reference]],metron,24,FALSE)</f>
        <v>1.917165005537099</v>
      </c>
      <c r="CK68" s="6">
        <f>VLOOKUP(Table1[[#This Row],[Reference]],metron,25,FALSE)</f>
        <v>8.4385382059800659E-2</v>
      </c>
      <c r="CL68" s="6">
        <f>VLOOKUP(Table1[[#This Row],[Reference]],metron,26,FALSE)</f>
        <v>0.1233665559246955</v>
      </c>
    </row>
    <row r="69" spans="1:90" hidden="1" x14ac:dyDescent="0.45">
      <c r="A69" t="s">
        <v>696</v>
      </c>
      <c r="B69">
        <v>1631412000</v>
      </c>
      <c r="C69" s="23" t="s">
        <v>241</v>
      </c>
      <c r="D69" t="s">
        <v>65</v>
      </c>
      <c r="E69" t="s">
        <v>66</v>
      </c>
      <c r="F69" t="s">
        <v>68</v>
      </c>
      <c r="G69" t="s">
        <v>113</v>
      </c>
      <c r="H69" t="s">
        <v>114</v>
      </c>
      <c r="I69">
        <f>MROUND(Table1[[#This Row],[ProbH]]*100,2)/100</f>
        <v>0.7</v>
      </c>
      <c r="J69">
        <f>1/Table1[[#This Row],[odds_ft_home_team_win]]-Table1[[#This Row],[Margin]]</f>
        <v>0.69465462113068166</v>
      </c>
      <c r="K69">
        <f>1/Table1[[#This Row],[odds_ft_draw]]-Table1[[#This Row],[Margin]]</f>
        <v>0.20511521817029132</v>
      </c>
      <c r="L69">
        <f>1/Table1[[#This Row],[odds_ft_away_team_win]]-Table1[[#This Row],[Margin]]</f>
        <v>0.10023016069902695</v>
      </c>
      <c r="M69">
        <v>8</v>
      </c>
      <c r="N69">
        <v>3</v>
      </c>
      <c r="O69">
        <v>1.33</v>
      </c>
      <c r="P69">
        <v>1.9</v>
      </c>
      <c r="Q69">
        <v>0.72</v>
      </c>
      <c r="R69" t="str" cm="1">
        <f t="array" ref="R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9">
        <v>2</v>
      </c>
      <c r="T69">
        <v>0</v>
      </c>
      <c r="U69">
        <v>2</v>
      </c>
      <c r="V69">
        <v>1</v>
      </c>
      <c r="W69">
        <v>1</v>
      </c>
      <c r="X69">
        <v>0</v>
      </c>
      <c r="Y69" t="s">
        <v>242</v>
      </c>
      <c r="AA69">
        <v>7</v>
      </c>
      <c r="AB69">
        <v>0</v>
      </c>
      <c r="AC69">
        <v>1</v>
      </c>
      <c r="AD69">
        <v>0</v>
      </c>
      <c r="AE69">
        <v>3</v>
      </c>
      <c r="AF69">
        <v>0</v>
      </c>
      <c r="AG69">
        <v>1</v>
      </c>
      <c r="AH69">
        <v>0</v>
      </c>
      <c r="AI69">
        <v>2</v>
      </c>
      <c r="AJ69">
        <v>1</v>
      </c>
      <c r="AK69">
        <v>13</v>
      </c>
      <c r="AL69">
        <v>0</v>
      </c>
      <c r="AM69">
        <v>6</v>
      </c>
      <c r="AN69">
        <v>0</v>
      </c>
      <c r="AO69">
        <v>7</v>
      </c>
      <c r="AP69">
        <v>0</v>
      </c>
      <c r="AQ69">
        <v>14</v>
      </c>
      <c r="AR69">
        <v>12</v>
      </c>
      <c r="AS69">
        <v>58</v>
      </c>
      <c r="AT69">
        <v>42</v>
      </c>
      <c r="AU69">
        <v>1.57</v>
      </c>
      <c r="AV69">
        <v>0.15</v>
      </c>
      <c r="AW69">
        <v>2.67</v>
      </c>
      <c r="AX69">
        <v>33</v>
      </c>
      <c r="AY69">
        <v>100</v>
      </c>
      <c r="AZ69">
        <v>50</v>
      </c>
      <c r="BA69">
        <v>17</v>
      </c>
      <c r="BB69">
        <v>0</v>
      </c>
      <c r="BC69">
        <v>17</v>
      </c>
      <c r="BD69">
        <v>84</v>
      </c>
      <c r="BE69">
        <v>50</v>
      </c>
      <c r="BF69">
        <v>84</v>
      </c>
      <c r="BG69">
        <v>6</v>
      </c>
      <c r="BH69">
        <v>3</v>
      </c>
      <c r="BI69">
        <v>1.39</v>
      </c>
      <c r="BJ69">
        <v>4.3499999999999996</v>
      </c>
      <c r="BK69">
        <v>8</v>
      </c>
      <c r="BL69">
        <f>(1/Table1[[#This Row],[odds_ft_home_team_win]]+1/Table1[[#This Row],[odds_ft_draw]]+1/Table1[[#This Row],[odds_ft_away_team_win]]-1)/3</f>
        <v>2.4769839300973057E-2</v>
      </c>
      <c r="BM69">
        <v>1.33</v>
      </c>
      <c r="BN69">
        <v>1.91</v>
      </c>
      <c r="BO69">
        <v>3.2</v>
      </c>
      <c r="BP69">
        <v>6</v>
      </c>
      <c r="BQ69">
        <v>2.25</v>
      </c>
      <c r="BR69">
        <v>1.62</v>
      </c>
      <c r="BS69" t="s">
        <v>116</v>
      </c>
      <c r="BT69">
        <f>VLOOKUP(Table1[[#This Row],[Reference]],metron,8,FALSE)</f>
        <v>2.3288743096422602</v>
      </c>
      <c r="BU69">
        <f>VLOOKUP(Table1[[#This Row],[Reference]],metron,9,FALSE)</f>
        <v>0.47695922076506025</v>
      </c>
      <c r="BV69">
        <f>VLOOKUP(Table1[[#This Row],[Reference]],metron,10,FALSE)</f>
        <v>2.9925826028320968</v>
      </c>
      <c r="BW69">
        <f>VLOOKUP(Table1[[#This Row],[Reference]],metron,11,FALSE)</f>
        <v>2.224544841537424</v>
      </c>
      <c r="BX69">
        <f>VLOOKUP(Table1[[#This Row],[Reference]],metron,12,FALSE)</f>
        <v>0.76803776129467294</v>
      </c>
      <c r="BY69" s="6">
        <f>VLOOKUP(Table1[[#This Row],[Reference]],metron,13,FALSE)</f>
        <v>0.96561024949426832</v>
      </c>
      <c r="BZ69" s="6">
        <f>VLOOKUP(Table1[[#This Row],[Reference]],metron,14,FALSE)</f>
        <v>0.34187457855697911</v>
      </c>
      <c r="CA69" s="6">
        <f>VLOOKUP(Table1[[#This Row],[Reference]],metron,15,FALSE)</f>
        <v>16.100000000000001</v>
      </c>
      <c r="CB69" s="6">
        <f>VLOOKUP(Table1[[#This Row],[Reference]],metron,16,FALSE)</f>
        <v>8.3493506493506491</v>
      </c>
      <c r="CC69" s="6">
        <f>VLOOKUP(Table1[[#This Row],[Reference]],metron,17,FALSE)</f>
        <v>7.2678100263852254</v>
      </c>
      <c r="CD69" s="6">
        <f>VLOOKUP(Table1[[#This Row],[Reference]],metron,18,FALSE)</f>
        <v>3.2770448548812658</v>
      </c>
      <c r="CE69" s="6">
        <f>VLOOKUP(Table1[[#This Row],[Reference]],metron,19,FALSE)</f>
        <v>8.832189973614776</v>
      </c>
      <c r="CF69" s="6">
        <f>VLOOKUP(Table1[[#This Row],[Reference]],metron,20,FALSE)</f>
        <v>5.0723057944693828</v>
      </c>
      <c r="CG69" s="6">
        <f>VLOOKUP(Table1[[#This Row],[Reference]],metron,21,FALSE)</f>
        <v>11.95872170439414</v>
      </c>
      <c r="CH69" s="6">
        <f>VLOOKUP(Table1[[#This Row],[Reference]],metron,22,FALSE)</f>
        <v>13.450066577896139</v>
      </c>
      <c r="CI69" s="6">
        <f>VLOOKUP(Table1[[#This Row],[Reference]],metron,23,FALSE)</f>
        <v>1.301526717557252</v>
      </c>
      <c r="CJ69" s="6">
        <f>VLOOKUP(Table1[[#This Row],[Reference]],metron,24,FALSE)</f>
        <v>1.9796437659033079</v>
      </c>
      <c r="CK69" s="6">
        <f>VLOOKUP(Table1[[#This Row],[Reference]],metron,25,FALSE)</f>
        <v>5.3435114503816793E-2</v>
      </c>
      <c r="CL69" s="6">
        <f>VLOOKUP(Table1[[#This Row],[Reference]],metron,26,FALSE)</f>
        <v>0.1183206106870229</v>
      </c>
    </row>
    <row r="70" spans="1:90" hidden="1" x14ac:dyDescent="0.45">
      <c r="A70" t="s">
        <v>696</v>
      </c>
      <c r="B70">
        <v>1631484000</v>
      </c>
      <c r="C70" s="23" t="s">
        <v>243</v>
      </c>
      <c r="D70" t="s">
        <v>65</v>
      </c>
      <c r="E70" t="s">
        <v>66</v>
      </c>
      <c r="F70" t="s">
        <v>96</v>
      </c>
      <c r="G70" t="s">
        <v>90</v>
      </c>
      <c r="H70" t="s">
        <v>122</v>
      </c>
      <c r="I70">
        <f>MROUND(Table1[[#This Row],[ProbH]]*100,2)/100</f>
        <v>0.28000000000000003</v>
      </c>
      <c r="J70">
        <f>1/Table1[[#This Row],[odds_ft_home_team_win]]-Table1[[#This Row],[Margin]]</f>
        <v>0.27147944294768317</v>
      </c>
      <c r="K70">
        <f>1/Table1[[#This Row],[odds_ft_draw]]-Table1[[#This Row],[Margin]]</f>
        <v>0.29043229772143347</v>
      </c>
      <c r="L70">
        <f>1/Table1[[#This Row],[odds_ft_away_team_win]]-Table1[[#This Row],[Margin]]</f>
        <v>0.43808825933088347</v>
      </c>
      <c r="M70">
        <v>8</v>
      </c>
      <c r="N70">
        <v>1.25</v>
      </c>
      <c r="O70">
        <v>1.67</v>
      </c>
      <c r="P70">
        <v>1.58</v>
      </c>
      <c r="Q70">
        <v>1.32</v>
      </c>
      <c r="R70" t="str" cm="1">
        <f t="array" ref="R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AA70">
        <v>4</v>
      </c>
      <c r="AB70">
        <v>4</v>
      </c>
      <c r="AC70">
        <v>1</v>
      </c>
      <c r="AD70">
        <v>0</v>
      </c>
      <c r="AE70">
        <v>2</v>
      </c>
      <c r="AF70">
        <v>0</v>
      </c>
      <c r="AG70">
        <v>0</v>
      </c>
      <c r="AH70">
        <v>1</v>
      </c>
      <c r="AI70">
        <v>0</v>
      </c>
      <c r="AJ70">
        <v>2</v>
      </c>
      <c r="AK70">
        <v>10</v>
      </c>
      <c r="AL70">
        <v>11</v>
      </c>
      <c r="AM70">
        <v>4</v>
      </c>
      <c r="AN70">
        <v>4</v>
      </c>
      <c r="AO70">
        <v>6</v>
      </c>
      <c r="AP70">
        <v>7</v>
      </c>
      <c r="AQ70">
        <v>13</v>
      </c>
      <c r="AR70">
        <v>8</v>
      </c>
      <c r="AS70">
        <v>46</v>
      </c>
      <c r="AT70">
        <v>54</v>
      </c>
      <c r="AU70">
        <v>1.36</v>
      </c>
      <c r="AV70">
        <v>1.48</v>
      </c>
      <c r="AW70">
        <v>1.0900000000000001</v>
      </c>
      <c r="AX70">
        <v>13</v>
      </c>
      <c r="AY70">
        <v>42</v>
      </c>
      <c r="AZ70">
        <v>13</v>
      </c>
      <c r="BA70">
        <v>13</v>
      </c>
      <c r="BB70">
        <v>0</v>
      </c>
      <c r="BC70">
        <v>13</v>
      </c>
      <c r="BD70">
        <v>13</v>
      </c>
      <c r="BE70">
        <v>29</v>
      </c>
      <c r="BF70">
        <v>42</v>
      </c>
      <c r="BG70">
        <v>9.25</v>
      </c>
      <c r="BH70">
        <v>5.5</v>
      </c>
      <c r="BI70">
        <v>3.35</v>
      </c>
      <c r="BJ70">
        <v>3.15</v>
      </c>
      <c r="BK70">
        <v>2.15</v>
      </c>
      <c r="BL70">
        <f>(1/Table1[[#This Row],[odds_ft_home_team_win]]+1/Table1[[#This Row],[odds_ft_draw]]+1/Table1[[#This Row],[odds_ft_away_team_win]]-1)/3</f>
        <v>2.7028019738883986E-2</v>
      </c>
      <c r="BM70">
        <v>1.48</v>
      </c>
      <c r="BN70">
        <v>2.25</v>
      </c>
      <c r="BO70">
        <v>3.95</v>
      </c>
      <c r="BP70">
        <v>7.75</v>
      </c>
      <c r="BQ70">
        <v>2.1</v>
      </c>
      <c r="BR70">
        <v>1.71</v>
      </c>
      <c r="BS70" t="s">
        <v>99</v>
      </c>
      <c r="BT70">
        <f>VLOOKUP(Table1[[#This Row],[Reference]],metron,8,FALSE)</f>
        <v>1.1529533168233341</v>
      </c>
      <c r="BU70">
        <f>VLOOKUP(Table1[[#This Row],[Reference]],metron,9,FALSE)</f>
        <v>1.5628535554286829</v>
      </c>
      <c r="BV70">
        <f>VLOOKUP(Table1[[#This Row],[Reference]],metron,10,FALSE)</f>
        <v>2.5445607358071678</v>
      </c>
      <c r="BW70">
        <f>VLOOKUP(Table1[[#This Row],[Reference]],metron,11,FALSE)</f>
        <v>1.128766254360926</v>
      </c>
      <c r="BX70">
        <f>VLOOKUP(Table1[[#This Row],[Reference]],metron,12,FALSE)</f>
        <v>1.415794481446242</v>
      </c>
      <c r="BY70" s="6">
        <f>VLOOKUP(Table1[[#This Row],[Reference]],metron,13,FALSE)</f>
        <v>0.49635267998731369</v>
      </c>
      <c r="BZ70" s="6">
        <f>VLOOKUP(Table1[[#This Row],[Reference]],metron,14,FALSE)</f>
        <v>0.61084681255946716</v>
      </c>
      <c r="CA70" s="6">
        <f>VLOOKUP(Table1[[#This Row],[Reference]],metron,15,FALSE)</f>
        <v>11.04442036836403</v>
      </c>
      <c r="CB70" s="6">
        <f>VLOOKUP(Table1[[#This Row],[Reference]],metron,16,FALSE)</f>
        <v>11.38840736728061</v>
      </c>
      <c r="CC70" s="6">
        <f>VLOOKUP(Table1[[#This Row],[Reference]],metron,17,FALSE)</f>
        <v>4.5379574003276897</v>
      </c>
      <c r="CD70" s="6">
        <f>VLOOKUP(Table1[[#This Row],[Reference]],metron,18,FALSE)</f>
        <v>4.8481703986892413</v>
      </c>
      <c r="CE70" s="6">
        <f>VLOOKUP(Table1[[#This Row],[Reference]],metron,19,FALSE)</f>
        <v>6.5064629680363399</v>
      </c>
      <c r="CF70" s="6">
        <f>VLOOKUP(Table1[[#This Row],[Reference]],metron,20,FALSE)</f>
        <v>6.540236968591369</v>
      </c>
      <c r="CG70" s="6">
        <f>VLOOKUP(Table1[[#This Row],[Reference]],metron,21,FALSE)</f>
        <v>13.117582417582421</v>
      </c>
      <c r="CH70" s="6">
        <f>VLOOKUP(Table1[[#This Row],[Reference]],metron,22,FALSE)</f>
        <v>13.28241758241758</v>
      </c>
      <c r="CI70" s="6">
        <f>VLOOKUP(Table1[[#This Row],[Reference]],metron,23,FALSE)</f>
        <v>1.792592592592593</v>
      </c>
      <c r="CJ70" s="6">
        <f>VLOOKUP(Table1[[#This Row],[Reference]],metron,24,FALSE)</f>
        <v>1.806980433632998</v>
      </c>
      <c r="CK70" s="6">
        <f>VLOOKUP(Table1[[#This Row],[Reference]],metron,25,FALSE)</f>
        <v>0.1047065044949762</v>
      </c>
      <c r="CL70" s="6">
        <f>VLOOKUP(Table1[[#This Row],[Reference]],metron,26,FALSE)</f>
        <v>0.1073506081438392</v>
      </c>
    </row>
    <row r="71" spans="1:90" hidden="1" x14ac:dyDescent="0.45">
      <c r="A71" t="s">
        <v>696</v>
      </c>
      <c r="B71">
        <v>1631491200</v>
      </c>
      <c r="C71" s="23" t="s">
        <v>244</v>
      </c>
      <c r="D71" t="s">
        <v>65</v>
      </c>
      <c r="E71" t="s">
        <v>66</v>
      </c>
      <c r="F71" t="s">
        <v>67</v>
      </c>
      <c r="G71" t="s">
        <v>72</v>
      </c>
      <c r="H71" t="s">
        <v>130</v>
      </c>
      <c r="I71">
        <f>MROUND(Table1[[#This Row],[ProbH]]*100,2)/100</f>
        <v>0.34</v>
      </c>
      <c r="J71">
        <f>1/Table1[[#This Row],[odds_ft_home_team_win]]-Table1[[#This Row],[Margin]]</f>
        <v>0.34889897700225408</v>
      </c>
      <c r="K71">
        <f>1/Table1[[#This Row],[odds_ft_draw]]-Table1[[#This Row],[Margin]]</f>
        <v>0.32241767941867244</v>
      </c>
      <c r="L71">
        <f>1/Table1[[#This Row],[odds_ft_away_team_win]]-Table1[[#This Row],[Margin]]</f>
        <v>0.32868334357907347</v>
      </c>
      <c r="M71">
        <v>8</v>
      </c>
      <c r="N71">
        <v>0.33</v>
      </c>
      <c r="O71">
        <v>1</v>
      </c>
      <c r="P71">
        <v>1.24</v>
      </c>
      <c r="Q71">
        <v>1.28</v>
      </c>
      <c r="R71" t="str" cm="1">
        <f t="array" ref="R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1">
        <v>3</v>
      </c>
      <c r="T71">
        <v>0</v>
      </c>
      <c r="U71">
        <v>3</v>
      </c>
      <c r="V71">
        <v>2</v>
      </c>
      <c r="W71">
        <v>2</v>
      </c>
      <c r="X71">
        <v>0</v>
      </c>
      <c r="Y71" t="s">
        <v>245</v>
      </c>
      <c r="AA71">
        <v>1</v>
      </c>
      <c r="AB71">
        <v>6</v>
      </c>
      <c r="AC71">
        <v>3</v>
      </c>
      <c r="AD71">
        <v>0</v>
      </c>
      <c r="AE71">
        <v>2</v>
      </c>
      <c r="AF71">
        <v>0</v>
      </c>
      <c r="AG71">
        <v>1</v>
      </c>
      <c r="AH71">
        <v>2</v>
      </c>
      <c r="AI71">
        <v>0</v>
      </c>
      <c r="AJ71">
        <v>2</v>
      </c>
      <c r="AK71">
        <v>9</v>
      </c>
      <c r="AL71">
        <v>14</v>
      </c>
      <c r="AM71">
        <v>5</v>
      </c>
      <c r="AN71">
        <v>6</v>
      </c>
      <c r="AO71">
        <v>4</v>
      </c>
      <c r="AP71">
        <v>8</v>
      </c>
      <c r="AQ71">
        <v>15</v>
      </c>
      <c r="AR71">
        <v>8</v>
      </c>
      <c r="AS71">
        <v>36</v>
      </c>
      <c r="AT71">
        <v>64</v>
      </c>
      <c r="AU71">
        <v>1.19</v>
      </c>
      <c r="AV71">
        <v>1.91</v>
      </c>
      <c r="AW71">
        <v>1.84</v>
      </c>
      <c r="AX71">
        <v>34</v>
      </c>
      <c r="AY71">
        <v>67</v>
      </c>
      <c r="AZ71">
        <v>34</v>
      </c>
      <c r="BA71">
        <v>0</v>
      </c>
      <c r="BB71">
        <v>0</v>
      </c>
      <c r="BC71">
        <v>0</v>
      </c>
      <c r="BD71">
        <v>84</v>
      </c>
      <c r="BE71">
        <v>34</v>
      </c>
      <c r="BF71">
        <v>67</v>
      </c>
      <c r="BG71">
        <v>5</v>
      </c>
      <c r="BH71">
        <v>5</v>
      </c>
      <c r="BI71">
        <v>2.65</v>
      </c>
      <c r="BJ71">
        <v>2.85</v>
      </c>
      <c r="BK71">
        <v>2.8</v>
      </c>
      <c r="BL71">
        <f>(1/Table1[[#This Row],[odds_ft_home_team_win]]+1/Table1[[#This Row],[odds_ft_draw]]+1/Table1[[#This Row],[odds_ft_away_team_win]]-1)/3</f>
        <v>2.8459513563783661E-2</v>
      </c>
      <c r="BM71">
        <v>1.5</v>
      </c>
      <c r="BN71">
        <v>2.4</v>
      </c>
      <c r="BO71">
        <v>4.0999999999999996</v>
      </c>
      <c r="BP71">
        <v>8.25</v>
      </c>
      <c r="BQ71">
        <v>2.0499999999999998</v>
      </c>
      <c r="BR71">
        <v>1.74</v>
      </c>
      <c r="BS71" t="s">
        <v>70</v>
      </c>
      <c r="BT71">
        <f>VLOOKUP(Table1[[#This Row],[Reference]],metron,8,FALSE)</f>
        <v>1.3382439854569812</v>
      </c>
      <c r="BU71">
        <f>VLOOKUP(Table1[[#This Row],[Reference]],metron,9,FALSE)</f>
        <v>1.3740319615582339</v>
      </c>
      <c r="BV71">
        <f>VLOOKUP(Table1[[#This Row],[Reference]],metron,10,FALSE)</f>
        <v>2.5229727551184897</v>
      </c>
      <c r="BW71">
        <f>VLOOKUP(Table1[[#This Row],[Reference]],metron,11,FALSE)</f>
        <v>1.228921489601805</v>
      </c>
      <c r="BX71">
        <f>VLOOKUP(Table1[[#This Row],[Reference]],metron,12,FALSE)</f>
        <v>1.2940512655166849</v>
      </c>
      <c r="BY71" s="6">
        <f>VLOOKUP(Table1[[#This Row],[Reference]],metron,13,FALSE)</f>
        <v>0.53240890035472432</v>
      </c>
      <c r="BZ71" s="6">
        <f>VLOOKUP(Table1[[#This Row],[Reference]],metron,14,FALSE)</f>
        <v>0.56514027732989358</v>
      </c>
      <c r="CA71" s="6">
        <f>VLOOKUP(Table1[[#This Row],[Reference]],metron,15,FALSE)</f>
        <v>11.417888124439131</v>
      </c>
      <c r="CB71" s="6">
        <f>VLOOKUP(Table1[[#This Row],[Reference]],metron,16,FALSE)</f>
        <v>10.76308704756207</v>
      </c>
      <c r="CC71" s="6">
        <f>VLOOKUP(Table1[[#This Row],[Reference]],metron,17,FALSE)</f>
        <v>4.8317672021824798</v>
      </c>
      <c r="CD71" s="6">
        <f>VLOOKUP(Table1[[#This Row],[Reference]],metron,18,FALSE)</f>
        <v>4.6698999696877843</v>
      </c>
      <c r="CE71" s="6">
        <f>VLOOKUP(Table1[[#This Row],[Reference]],metron,19,FALSE)</f>
        <v>6.5861209222566508</v>
      </c>
      <c r="CF71" s="6">
        <f>VLOOKUP(Table1[[#This Row],[Reference]],metron,20,FALSE)</f>
        <v>6.093187077874286</v>
      </c>
      <c r="CG71" s="6">
        <f>VLOOKUP(Table1[[#This Row],[Reference]],metron,21,FALSE)</f>
        <v>12.685679611650491</v>
      </c>
      <c r="CH71" s="6">
        <f>VLOOKUP(Table1[[#This Row],[Reference]],metron,22,FALSE)</f>
        <v>13.02639563106796</v>
      </c>
      <c r="CI71" s="6">
        <f>VLOOKUP(Table1[[#This Row],[Reference]],metron,23,FALSE)</f>
        <v>1.6481211768132831</v>
      </c>
      <c r="CJ71" s="6">
        <f>VLOOKUP(Table1[[#This Row],[Reference]],metron,24,FALSE)</f>
        <v>1.8572676958928049</v>
      </c>
      <c r="CK71" s="6">
        <f>VLOOKUP(Table1[[#This Row],[Reference]],metron,25,FALSE)</f>
        <v>9.641712787649287E-2</v>
      </c>
      <c r="CL71" s="6">
        <f>VLOOKUP(Table1[[#This Row],[Reference]],metron,26,FALSE)</f>
        <v>0.11302068161957469</v>
      </c>
    </row>
    <row r="72" spans="1:90" hidden="1" x14ac:dyDescent="0.45">
      <c r="A72" t="s">
        <v>696</v>
      </c>
      <c r="B72">
        <v>1631584800</v>
      </c>
      <c r="C72" s="23" t="s">
        <v>246</v>
      </c>
      <c r="D72" t="s">
        <v>65</v>
      </c>
      <c r="E72" t="s">
        <v>66</v>
      </c>
      <c r="F72" t="s">
        <v>84</v>
      </c>
      <c r="G72" t="s">
        <v>79</v>
      </c>
      <c r="H72" t="s">
        <v>103</v>
      </c>
      <c r="I72">
        <f>MROUND(Table1[[#This Row],[ProbH]]*100,2)/100</f>
        <v>0.54</v>
      </c>
      <c r="J72">
        <f>1/Table1[[#This Row],[odds_ft_home_team_win]]-Table1[[#This Row],[Margin]]</f>
        <v>0.53802349565061425</v>
      </c>
      <c r="K72">
        <f>1/Table1[[#This Row],[odds_ft_draw]]-Table1[[#This Row],[Margin]]</f>
        <v>0.2508295220159627</v>
      </c>
      <c r="L72">
        <f>1/Table1[[#This Row],[odds_ft_away_team_win]]-Table1[[#This Row],[Margin]]</f>
        <v>0.21114698233342297</v>
      </c>
      <c r="M72">
        <v>8</v>
      </c>
      <c r="N72">
        <v>1.5</v>
      </c>
      <c r="O72">
        <v>1.75</v>
      </c>
      <c r="P72">
        <v>1.89</v>
      </c>
      <c r="Q72">
        <v>1.29</v>
      </c>
      <c r="R72" t="str" cm="1">
        <f t="array" ref="R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72">
        <v>1</v>
      </c>
      <c r="T72">
        <v>2</v>
      </c>
      <c r="U72">
        <v>3</v>
      </c>
      <c r="V72">
        <v>2</v>
      </c>
      <c r="W72">
        <v>1</v>
      </c>
      <c r="X72">
        <v>1</v>
      </c>
      <c r="Y72">
        <v>14</v>
      </c>
      <c r="Z72" t="s">
        <v>247</v>
      </c>
      <c r="AA72">
        <v>6</v>
      </c>
      <c r="AB72">
        <v>3</v>
      </c>
      <c r="AC72">
        <v>2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16</v>
      </c>
      <c r="AL72">
        <v>15</v>
      </c>
      <c r="AM72">
        <v>6</v>
      </c>
      <c r="AN72">
        <v>5</v>
      </c>
      <c r="AO72">
        <v>10</v>
      </c>
      <c r="AP72">
        <v>10</v>
      </c>
      <c r="AQ72">
        <v>13</v>
      </c>
      <c r="AR72">
        <v>3</v>
      </c>
      <c r="AS72">
        <v>49</v>
      </c>
      <c r="AT72">
        <v>51</v>
      </c>
      <c r="AU72">
        <v>1.84</v>
      </c>
      <c r="AV72">
        <v>1.58</v>
      </c>
      <c r="AW72">
        <v>2.5</v>
      </c>
      <c r="AX72">
        <v>13</v>
      </c>
      <c r="AY72">
        <v>63</v>
      </c>
      <c r="AZ72">
        <v>50</v>
      </c>
      <c r="BA72">
        <v>50</v>
      </c>
      <c r="BB72">
        <v>0</v>
      </c>
      <c r="BC72">
        <v>25</v>
      </c>
      <c r="BD72">
        <v>63</v>
      </c>
      <c r="BE72">
        <v>38</v>
      </c>
      <c r="BF72">
        <v>63</v>
      </c>
      <c r="BG72">
        <v>7.75</v>
      </c>
      <c r="BH72">
        <v>4.75</v>
      </c>
      <c r="BI72">
        <v>1.77</v>
      </c>
      <c r="BJ72">
        <v>3.6</v>
      </c>
      <c r="BK72">
        <v>4.2</v>
      </c>
      <c r="BL72">
        <f>(1/Table1[[#This Row],[odds_ft_home_team_win]]+1/Table1[[#This Row],[odds_ft_draw]]+1/Table1[[#This Row],[odds_ft_away_team_win]]-1)/3</f>
        <v>2.6948255761815105E-2</v>
      </c>
      <c r="BM72">
        <v>1.31</v>
      </c>
      <c r="BN72">
        <v>1.87</v>
      </c>
      <c r="BO72">
        <v>3</v>
      </c>
      <c r="BP72">
        <v>5.5</v>
      </c>
      <c r="BQ72">
        <v>1.83</v>
      </c>
      <c r="BR72">
        <v>1.95</v>
      </c>
      <c r="BS72" t="s">
        <v>88</v>
      </c>
      <c r="BT72">
        <f>VLOOKUP(Table1[[#This Row],[Reference]],metron,8,FALSE)</f>
        <v>1.915666026436746</v>
      </c>
      <c r="BU72">
        <f>VLOOKUP(Table1[[#This Row],[Reference]],metron,9,FALSE)</f>
        <v>0.82283834599204153</v>
      </c>
      <c r="BV72">
        <f>VLOOKUP(Table1[[#This Row],[Reference]],metron,10,FALSE)</f>
        <v>2.6359702267612941</v>
      </c>
      <c r="BW72">
        <f>VLOOKUP(Table1[[#This Row],[Reference]],metron,11,FALSE)</f>
        <v>1.684957590444867</v>
      </c>
      <c r="BX72">
        <f>VLOOKUP(Table1[[#This Row],[Reference]],metron,12,FALSE)</f>
        <v>0.95101263631642718</v>
      </c>
      <c r="BY72" s="6">
        <f>VLOOKUP(Table1[[#This Row],[Reference]],metron,13,FALSE)</f>
        <v>0.72650164445213783</v>
      </c>
      <c r="BZ72" s="6">
        <f>VLOOKUP(Table1[[#This Row],[Reference]],metron,14,FALSE)</f>
        <v>0.42097974727367138</v>
      </c>
      <c r="CA72" s="6">
        <f>VLOOKUP(Table1[[#This Row],[Reference]],metron,15,FALSE)</f>
        <v>13.338806970509379</v>
      </c>
      <c r="CB72" s="6">
        <f>VLOOKUP(Table1[[#This Row],[Reference]],metron,16,FALSE)</f>
        <v>9.2530160857908843</v>
      </c>
      <c r="CC72" s="6">
        <f>VLOOKUP(Table1[[#This Row],[Reference]],metron,17,FALSE)</f>
        <v>5.9915081521739131</v>
      </c>
      <c r="CD72" s="6">
        <f>VLOOKUP(Table1[[#This Row],[Reference]],metron,18,FALSE)</f>
        <v>3.9772418478260869</v>
      </c>
      <c r="CE72" s="6">
        <f>VLOOKUP(Table1[[#This Row],[Reference]],metron,19,FALSE)</f>
        <v>7.3472988183354664</v>
      </c>
      <c r="CF72" s="6">
        <f>VLOOKUP(Table1[[#This Row],[Reference]],metron,20,FALSE)</f>
        <v>5.2757742379647974</v>
      </c>
      <c r="CG72" s="6">
        <f>VLOOKUP(Table1[[#This Row],[Reference]],metron,21,FALSE)</f>
        <v>12.59428182437032</v>
      </c>
      <c r="CH72" s="6">
        <f>VLOOKUP(Table1[[#This Row],[Reference]],metron,22,FALSE)</f>
        <v>13.577944179714089</v>
      </c>
      <c r="CI72" s="6">
        <f>VLOOKUP(Table1[[#This Row],[Reference]],metron,23,FALSE)</f>
        <v>1.4276913099870301</v>
      </c>
      <c r="CJ72" s="6">
        <f>VLOOKUP(Table1[[#This Row],[Reference]],metron,24,FALSE)</f>
        <v>1.940985732814527</v>
      </c>
      <c r="CK72" s="6">
        <f>VLOOKUP(Table1[[#This Row],[Reference]],metron,25,FALSE)</f>
        <v>8.0739299610894946E-2</v>
      </c>
      <c r="CL72" s="6">
        <f>VLOOKUP(Table1[[#This Row],[Reference]],metron,26,FALSE)</f>
        <v>0.12743190661478601</v>
      </c>
    </row>
    <row r="73" spans="1:90" hidden="1" x14ac:dyDescent="0.45">
      <c r="A73" t="s">
        <v>696</v>
      </c>
      <c r="B73">
        <v>1631840400</v>
      </c>
      <c r="C73" s="23" t="s">
        <v>248</v>
      </c>
      <c r="D73" t="s">
        <v>65</v>
      </c>
      <c r="E73" t="s">
        <v>66</v>
      </c>
      <c r="F73" t="s">
        <v>91</v>
      </c>
      <c r="G73" t="s">
        <v>106</v>
      </c>
      <c r="H73" t="s">
        <v>103</v>
      </c>
      <c r="I73">
        <f>MROUND(Table1[[#This Row],[ProbH]]*100,2)/100</f>
        <v>0.46</v>
      </c>
      <c r="J73">
        <f>1/Table1[[#This Row],[odds_ft_home_team_win]]-Table1[[#This Row],[Margin]]</f>
        <v>0.46012388695315526</v>
      </c>
      <c r="K73">
        <f>1/Table1[[#This Row],[odds_ft_draw]]-Table1[[#This Row],[Margin]]</f>
        <v>0.28977932636469217</v>
      </c>
      <c r="L73">
        <f>1/Table1[[#This Row],[odds_ft_away_team_win]]-Table1[[#This Row],[Margin]]</f>
        <v>0.25009678668215252</v>
      </c>
      <c r="M73">
        <v>9</v>
      </c>
      <c r="N73">
        <v>0.67</v>
      </c>
      <c r="O73">
        <v>0.33</v>
      </c>
      <c r="P73">
        <v>1.1100000000000001</v>
      </c>
      <c r="Q73">
        <v>0.53</v>
      </c>
      <c r="R73" t="str" cm="1">
        <f t="array" ref="R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3">
        <v>4</v>
      </c>
      <c r="T73">
        <v>1</v>
      </c>
      <c r="U73">
        <v>5</v>
      </c>
      <c r="V73">
        <v>4</v>
      </c>
      <c r="W73">
        <v>3</v>
      </c>
      <c r="X73">
        <v>1</v>
      </c>
      <c r="Y73" t="s">
        <v>249</v>
      </c>
      <c r="Z73" t="s">
        <v>172</v>
      </c>
      <c r="AA73">
        <v>5</v>
      </c>
      <c r="AB73">
        <v>3</v>
      </c>
      <c r="AC73">
        <v>2</v>
      </c>
      <c r="AD73">
        <v>0</v>
      </c>
      <c r="AE73">
        <v>3</v>
      </c>
      <c r="AF73">
        <v>0</v>
      </c>
      <c r="AG73">
        <v>1</v>
      </c>
      <c r="AH73">
        <v>1</v>
      </c>
      <c r="AI73">
        <v>2</v>
      </c>
      <c r="AJ73">
        <v>1</v>
      </c>
      <c r="AK73">
        <v>12</v>
      </c>
      <c r="AL73">
        <v>11</v>
      </c>
      <c r="AM73">
        <v>7</v>
      </c>
      <c r="AN73">
        <v>4</v>
      </c>
      <c r="AO73">
        <v>5</v>
      </c>
      <c r="AP73">
        <v>7</v>
      </c>
      <c r="AQ73">
        <v>18</v>
      </c>
      <c r="AR73">
        <v>12</v>
      </c>
      <c r="AS73">
        <v>42</v>
      </c>
      <c r="AT73">
        <v>58</v>
      </c>
      <c r="AU73">
        <v>1.44</v>
      </c>
      <c r="AV73">
        <v>1.23</v>
      </c>
      <c r="AW73">
        <v>1.83</v>
      </c>
      <c r="AX73">
        <v>50</v>
      </c>
      <c r="AY73">
        <v>84</v>
      </c>
      <c r="AZ73">
        <v>17</v>
      </c>
      <c r="BA73">
        <v>0</v>
      </c>
      <c r="BB73">
        <v>0</v>
      </c>
      <c r="BC73">
        <v>17</v>
      </c>
      <c r="BD73">
        <v>67</v>
      </c>
      <c r="BE73">
        <v>34</v>
      </c>
      <c r="BF73">
        <v>67</v>
      </c>
      <c r="BG73">
        <v>9</v>
      </c>
      <c r="BH73">
        <v>4.67</v>
      </c>
      <c r="BI73">
        <v>2.0499999999999998</v>
      </c>
      <c r="BJ73">
        <v>3.15</v>
      </c>
      <c r="BK73">
        <v>3.6</v>
      </c>
      <c r="BL73">
        <f>(1/Table1[[#This Row],[odds_ft_home_team_win]]+1/Table1[[#This Row],[odds_ft_draw]]+1/Table1[[#This Row],[odds_ft_away_team_win]]-1)/3</f>
        <v>2.7680991095625274E-2</v>
      </c>
      <c r="BM73">
        <v>1.45</v>
      </c>
      <c r="BN73">
        <v>2.2999999999999998</v>
      </c>
      <c r="BO73">
        <v>4</v>
      </c>
      <c r="BP73">
        <v>7.75</v>
      </c>
      <c r="BQ73">
        <v>2.0499999999999998</v>
      </c>
      <c r="BR73">
        <v>1.74</v>
      </c>
      <c r="BS73" t="s">
        <v>144</v>
      </c>
      <c r="BT73">
        <f>VLOOKUP(Table1[[#This Row],[Reference]],metron,8,FALSE)</f>
        <v>1.6955772349985931</v>
      </c>
      <c r="BU73">
        <f>VLOOKUP(Table1[[#This Row],[Reference]],metron,9,FALSE)</f>
        <v>1.0239029519551039</v>
      </c>
      <c r="BV73">
        <f>VLOOKUP(Table1[[#This Row],[Reference]],metron,10,FALSE)</f>
        <v>2.5405629139072849</v>
      </c>
      <c r="BW73">
        <f>VLOOKUP(Table1[[#This Row],[Reference]],metron,11,FALSE)</f>
        <v>1.4888836329233679</v>
      </c>
      <c r="BX73">
        <f>VLOOKUP(Table1[[#This Row],[Reference]],metron,12,FALSE)</f>
        <v>1.0516792809839171</v>
      </c>
      <c r="BY73" s="6">
        <f>VLOOKUP(Table1[[#This Row],[Reference]],metron,13,FALSE)</f>
        <v>0.64581362346263005</v>
      </c>
      <c r="BZ73" s="6">
        <f>VLOOKUP(Table1[[#This Row],[Reference]],metron,14,FALSE)</f>
        <v>0.45364238410596031</v>
      </c>
      <c r="CA73" s="6">
        <f>VLOOKUP(Table1[[#This Row],[Reference]],metron,15,FALSE)</f>
        <v>12.686892177589851</v>
      </c>
      <c r="CB73" s="6">
        <f>VLOOKUP(Table1[[#This Row],[Reference]],metron,16,FALSE)</f>
        <v>9.8059196617336148</v>
      </c>
      <c r="CC73" s="6">
        <f>VLOOKUP(Table1[[#This Row],[Reference]],metron,17,FALSE)</f>
        <v>5.3198121263877027</v>
      </c>
      <c r="CD73" s="6">
        <f>VLOOKUP(Table1[[#This Row],[Reference]],metron,18,FALSE)</f>
        <v>4.0954312553373189</v>
      </c>
      <c r="CE73" s="6">
        <f>VLOOKUP(Table1[[#This Row],[Reference]],metron,19,FALSE)</f>
        <v>7.3670800512021479</v>
      </c>
      <c r="CF73" s="6">
        <f>VLOOKUP(Table1[[#This Row],[Reference]],metron,20,FALSE)</f>
        <v>5.710488406396296</v>
      </c>
      <c r="CG73" s="6">
        <f>VLOOKUP(Table1[[#This Row],[Reference]],metron,21,FALSE)</f>
        <v>13.0488908033599</v>
      </c>
      <c r="CH73" s="6">
        <f>VLOOKUP(Table1[[#This Row],[Reference]],metron,22,FALSE)</f>
        <v>13.714839543398661</v>
      </c>
      <c r="CI73" s="6">
        <f>VLOOKUP(Table1[[#This Row],[Reference]],metron,23,FALSE)</f>
        <v>1.567523459812322</v>
      </c>
      <c r="CJ73" s="6">
        <f>VLOOKUP(Table1[[#This Row],[Reference]],metron,24,FALSE)</f>
        <v>1.951040391676867</v>
      </c>
      <c r="CK73" s="6">
        <f>VLOOKUP(Table1[[#This Row],[Reference]],metron,25,FALSE)</f>
        <v>8.3027335781313744E-2</v>
      </c>
      <c r="CL73" s="6">
        <f>VLOOKUP(Table1[[#This Row],[Reference]],metron,26,FALSE)</f>
        <v>0.13117095063239501</v>
      </c>
    </row>
    <row r="74" spans="1:90" hidden="1" x14ac:dyDescent="0.45">
      <c r="A74" t="s">
        <v>696</v>
      </c>
      <c r="B74">
        <v>1631930400</v>
      </c>
      <c r="C74" s="23" t="s">
        <v>250</v>
      </c>
      <c r="D74" t="s">
        <v>65</v>
      </c>
      <c r="E74" t="s">
        <v>66</v>
      </c>
      <c r="F74" t="s">
        <v>72</v>
      </c>
      <c r="G74" t="s">
        <v>97</v>
      </c>
      <c r="H74" t="s">
        <v>122</v>
      </c>
      <c r="I74">
        <f>MROUND(Table1[[#This Row],[ProbH]]*100,2)/100</f>
        <v>0.3</v>
      </c>
      <c r="J74">
        <f>1/Table1[[#This Row],[odds_ft_home_team_win]]-Table1[[#This Row],[Margin]]</f>
        <v>0.30989407257155738</v>
      </c>
      <c r="K74">
        <f>1/Table1[[#This Row],[odds_ft_draw]]-Table1[[#This Row],[Margin]]</f>
        <v>0.32138832544512064</v>
      </c>
      <c r="L74">
        <f>1/Table1[[#This Row],[odds_ft_away_team_win]]-Table1[[#This Row],[Margin]]</f>
        <v>0.36871760198332215</v>
      </c>
      <c r="M74">
        <v>9</v>
      </c>
      <c r="N74">
        <v>1.5</v>
      </c>
      <c r="O74">
        <v>1.5</v>
      </c>
      <c r="P74">
        <v>1.24</v>
      </c>
      <c r="Q74">
        <v>1.68</v>
      </c>
      <c r="R74" t="str" cm="1">
        <f t="array" ref="R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74">
        <v>0</v>
      </c>
      <c r="T74">
        <v>3</v>
      </c>
      <c r="U74">
        <v>3</v>
      </c>
      <c r="V74">
        <v>2</v>
      </c>
      <c r="W74">
        <v>0</v>
      </c>
      <c r="X74">
        <v>2</v>
      </c>
      <c r="Z74" t="s">
        <v>251</v>
      </c>
      <c r="AA74">
        <v>8</v>
      </c>
      <c r="AB74">
        <v>8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15</v>
      </c>
      <c r="AL74">
        <v>10</v>
      </c>
      <c r="AM74">
        <v>0</v>
      </c>
      <c r="AN74">
        <v>6</v>
      </c>
      <c r="AO74">
        <v>15</v>
      </c>
      <c r="AP74">
        <v>4</v>
      </c>
      <c r="AQ74">
        <v>14</v>
      </c>
      <c r="AR74">
        <v>10</v>
      </c>
      <c r="AS74">
        <v>60</v>
      </c>
      <c r="AT74">
        <v>40</v>
      </c>
      <c r="AU74">
        <v>1.37</v>
      </c>
      <c r="AV74">
        <v>1.24</v>
      </c>
      <c r="AW74">
        <v>1.88</v>
      </c>
      <c r="AX74">
        <v>38</v>
      </c>
      <c r="AY74">
        <v>63</v>
      </c>
      <c r="AZ74">
        <v>38</v>
      </c>
      <c r="BA74">
        <v>0</v>
      </c>
      <c r="BB74">
        <v>0</v>
      </c>
      <c r="BC74">
        <v>25</v>
      </c>
      <c r="BD74">
        <v>75</v>
      </c>
      <c r="BE74">
        <v>13</v>
      </c>
      <c r="BF74">
        <v>75</v>
      </c>
      <c r="BG74">
        <v>8.5</v>
      </c>
      <c r="BH74">
        <v>1.5</v>
      </c>
      <c r="BI74">
        <v>3</v>
      </c>
      <c r="BJ74">
        <v>2.9</v>
      </c>
      <c r="BK74">
        <v>2.5499999999999998</v>
      </c>
      <c r="BL74">
        <f>(1/Table1[[#This Row],[odds_ft_home_team_win]]+1/Table1[[#This Row],[odds_ft_draw]]+1/Table1[[#This Row],[odds_ft_away_team_win]]-1)/3</f>
        <v>2.3439260761775937E-2</v>
      </c>
      <c r="BM74">
        <v>2.5499999999999998</v>
      </c>
      <c r="BN74">
        <v>2.25</v>
      </c>
      <c r="BO74">
        <v>4.6500000000000004</v>
      </c>
      <c r="BP74">
        <v>9.5</v>
      </c>
      <c r="BQ74">
        <v>2.25</v>
      </c>
      <c r="BR74">
        <v>1.62</v>
      </c>
      <c r="BS74" t="s">
        <v>76</v>
      </c>
      <c r="BT74">
        <f>VLOOKUP(Table1[[#This Row],[Reference]],metron,8,FALSE)</f>
        <v>1.2142445227270171</v>
      </c>
      <c r="BU74">
        <f>VLOOKUP(Table1[[#This Row],[Reference]],metron,9,FALSE)</f>
        <v>1.4993969533036628</v>
      </c>
      <c r="BV74">
        <f>VLOOKUP(Table1[[#This Row],[Reference]],metron,10,FALSE)</f>
        <v>2.5726407816919519</v>
      </c>
      <c r="BW74">
        <f>VLOOKUP(Table1[[#This Row],[Reference]],metron,11,FALSE)</f>
        <v>1.1805091283106199</v>
      </c>
      <c r="BX74">
        <f>VLOOKUP(Table1[[#This Row],[Reference]],metron,12,FALSE)</f>
        <v>1.3921316533813319</v>
      </c>
      <c r="BY74" s="6">
        <f>VLOOKUP(Table1[[#This Row],[Reference]],metron,13,FALSE)</f>
        <v>0.5209673269873939</v>
      </c>
      <c r="BZ74" s="6">
        <f>VLOOKUP(Table1[[#This Row],[Reference]],metron,14,FALSE)</f>
        <v>0.61847182917417032</v>
      </c>
      <c r="CA74" s="6">
        <f>VLOOKUP(Table1[[#This Row],[Reference]],metron,15,FALSE)</f>
        <v>11.149200710479571</v>
      </c>
      <c r="CB74" s="6">
        <f>VLOOKUP(Table1[[#This Row],[Reference]],metron,16,FALSE)</f>
        <v>11.444049733570161</v>
      </c>
      <c r="CC74" s="6">
        <f>VLOOKUP(Table1[[#This Row],[Reference]],metron,17,FALSE)</f>
        <v>4.5257270693512304</v>
      </c>
      <c r="CD74" s="6">
        <f>VLOOKUP(Table1[[#This Row],[Reference]],metron,18,FALSE)</f>
        <v>4.8465324384787474</v>
      </c>
      <c r="CE74" s="6">
        <f>VLOOKUP(Table1[[#This Row],[Reference]],metron,19,FALSE)</f>
        <v>6.6234736411283404</v>
      </c>
      <c r="CF74" s="6">
        <f>VLOOKUP(Table1[[#This Row],[Reference]],metron,20,FALSE)</f>
        <v>6.5975172950914134</v>
      </c>
      <c r="CG74" s="6">
        <f>VLOOKUP(Table1[[#This Row],[Reference]],metron,21,FALSE)</f>
        <v>12.90081154192967</v>
      </c>
      <c r="CH74" s="6">
        <f>VLOOKUP(Table1[[#This Row],[Reference]],metron,22,FALSE)</f>
        <v>13.00360685302074</v>
      </c>
      <c r="CI74" s="6">
        <f>VLOOKUP(Table1[[#This Row],[Reference]],metron,23,FALSE)</f>
        <v>1.7502145922746779</v>
      </c>
      <c r="CJ74" s="6">
        <f>VLOOKUP(Table1[[#This Row],[Reference]],metron,24,FALSE)</f>
        <v>1.831402831402831</v>
      </c>
      <c r="CK74" s="6">
        <f>VLOOKUP(Table1[[#This Row],[Reference]],metron,25,FALSE)</f>
        <v>9.6525096525096526E-2</v>
      </c>
      <c r="CL74" s="6">
        <f>VLOOKUP(Table1[[#This Row],[Reference]],metron,26,FALSE)</f>
        <v>0.1244101244101244</v>
      </c>
    </row>
    <row r="75" spans="1:90" hidden="1" x14ac:dyDescent="0.45">
      <c r="A75" t="s">
        <v>696</v>
      </c>
      <c r="B75">
        <v>1632002400</v>
      </c>
      <c r="C75" s="23" t="s">
        <v>252</v>
      </c>
      <c r="D75" t="s">
        <v>65</v>
      </c>
      <c r="E75" t="s">
        <v>66</v>
      </c>
      <c r="F75" t="s">
        <v>85</v>
      </c>
      <c r="G75" t="s">
        <v>78</v>
      </c>
      <c r="H75" t="s">
        <v>133</v>
      </c>
      <c r="I75">
        <f>MROUND(Table1[[#This Row],[ProbH]]*100,2)/100</f>
        <v>0.66</v>
      </c>
      <c r="J75">
        <f>1/Table1[[#This Row],[odds_ft_home_team_win]]-Table1[[#This Row],[Margin]]</f>
        <v>0.6684822076978939</v>
      </c>
      <c r="K75">
        <f>1/Table1[[#This Row],[odds_ft_draw]]-Table1[[#This Row],[Margin]]</f>
        <v>0.20933188090050833</v>
      </c>
      <c r="L75">
        <f>1/Table1[[#This Row],[odds_ft_away_team_win]]-Table1[[#This Row],[Margin]]</f>
        <v>0.12218591140159767</v>
      </c>
      <c r="M75">
        <v>9</v>
      </c>
      <c r="N75">
        <v>2</v>
      </c>
      <c r="O75">
        <v>0.25</v>
      </c>
      <c r="P75">
        <v>1.55</v>
      </c>
      <c r="Q75">
        <v>0.71</v>
      </c>
      <c r="R75" t="str" cm="1">
        <f t="array" ref="R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Z75">
        <v>70</v>
      </c>
      <c r="AA75">
        <v>8</v>
      </c>
      <c r="AB75">
        <v>4</v>
      </c>
      <c r="AC75">
        <v>1</v>
      </c>
      <c r="AD75">
        <v>0</v>
      </c>
      <c r="AE75">
        <v>2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14</v>
      </c>
      <c r="AL75">
        <v>12</v>
      </c>
      <c r="AM75">
        <v>4</v>
      </c>
      <c r="AN75">
        <v>6</v>
      </c>
      <c r="AO75">
        <v>10</v>
      </c>
      <c r="AP75">
        <v>6</v>
      </c>
      <c r="AQ75">
        <v>6</v>
      </c>
      <c r="AR75">
        <v>9</v>
      </c>
      <c r="AS75">
        <v>71</v>
      </c>
      <c r="AT75">
        <v>29</v>
      </c>
      <c r="AU75">
        <v>1.73</v>
      </c>
      <c r="AV75">
        <v>1.35</v>
      </c>
      <c r="AW75">
        <v>2.38</v>
      </c>
      <c r="AX75">
        <v>50</v>
      </c>
      <c r="AY75">
        <v>88</v>
      </c>
      <c r="AZ75">
        <v>38</v>
      </c>
      <c r="BA75">
        <v>13</v>
      </c>
      <c r="BB75">
        <v>0</v>
      </c>
      <c r="BC75">
        <v>25</v>
      </c>
      <c r="BD75">
        <v>63</v>
      </c>
      <c r="BE75">
        <v>63</v>
      </c>
      <c r="BF75">
        <v>88</v>
      </c>
      <c r="BG75">
        <v>8</v>
      </c>
      <c r="BH75">
        <v>4.5</v>
      </c>
      <c r="BI75">
        <v>1.44</v>
      </c>
      <c r="BJ75">
        <v>4.25</v>
      </c>
      <c r="BK75">
        <v>6.75</v>
      </c>
      <c r="BL75">
        <f>(1/Table1[[#This Row],[odds_ft_home_team_win]]+1/Table1[[#This Row],[odds_ft_draw]]+1/Table1[[#This Row],[odds_ft_away_team_win]]-1)/3</f>
        <v>2.5962236746550477E-2</v>
      </c>
      <c r="BM75">
        <v>1.29</v>
      </c>
      <c r="BN75">
        <v>1.8</v>
      </c>
      <c r="BO75">
        <v>2.95</v>
      </c>
      <c r="BP75">
        <v>5.5</v>
      </c>
      <c r="BQ75">
        <v>1.95</v>
      </c>
      <c r="BR75">
        <v>1.8</v>
      </c>
      <c r="BS75" t="s">
        <v>128</v>
      </c>
      <c r="BT75">
        <f>VLOOKUP(Table1[[#This Row],[Reference]],metron,8,FALSE)</f>
        <v>2.2311424831798083</v>
      </c>
      <c r="BU75">
        <f>VLOOKUP(Table1[[#This Row],[Reference]],metron,9,FALSE)</f>
        <v>0.55281092137037047</v>
      </c>
      <c r="BV75">
        <f>VLOOKUP(Table1[[#This Row],[Reference]],metron,10,FALSE)</f>
        <v>2.9251336898395728</v>
      </c>
      <c r="BW75">
        <f>VLOOKUP(Table1[[#This Row],[Reference]],metron,11,FALSE)</f>
        <v>2.089675030851502</v>
      </c>
      <c r="BX75">
        <f>VLOOKUP(Table1[[#This Row],[Reference]],metron,12,FALSE)</f>
        <v>0.8354586589880707</v>
      </c>
      <c r="BY75" s="6">
        <f>VLOOKUP(Table1[[#This Row],[Reference]],metron,13,FALSE)</f>
        <v>0.92472233648704238</v>
      </c>
      <c r="BZ75" s="6">
        <f>VLOOKUP(Table1[[#This Row],[Reference]],metron,14,FALSE)</f>
        <v>0.35252982311805842</v>
      </c>
      <c r="CA75" s="6">
        <f>VLOOKUP(Table1[[#This Row],[Reference]],metron,15,FALSE)</f>
        <v>15.366666666666671</v>
      </c>
      <c r="CB75" s="6">
        <f>VLOOKUP(Table1[[#This Row],[Reference]],metron,16,FALSE)</f>
        <v>8.5234848484848484</v>
      </c>
      <c r="CC75" s="6">
        <f>VLOOKUP(Table1[[#This Row],[Reference]],metron,17,FALSE)</f>
        <v>6.6873065015479876</v>
      </c>
      <c r="CD75" s="6">
        <f>VLOOKUP(Table1[[#This Row],[Reference]],metron,18,FALSE)</f>
        <v>3.3490712074303399</v>
      </c>
      <c r="CE75" s="6">
        <f>VLOOKUP(Table1[[#This Row],[Reference]],metron,19,FALSE)</f>
        <v>8.679360165118684</v>
      </c>
      <c r="CF75" s="6">
        <f>VLOOKUP(Table1[[#This Row],[Reference]],metron,20,FALSE)</f>
        <v>5.1744136410545085</v>
      </c>
      <c r="CG75" s="6">
        <f>VLOOKUP(Table1[[#This Row],[Reference]],metron,21,FALSE)</f>
        <v>12.62384615384615</v>
      </c>
      <c r="CH75" s="6">
        <f>VLOOKUP(Table1[[#This Row],[Reference]],metron,22,FALSE)</f>
        <v>13.844615384615381</v>
      </c>
      <c r="CI75" s="6">
        <f>VLOOKUP(Table1[[#This Row],[Reference]],metron,23,FALSE)</f>
        <v>1.369710467706013</v>
      </c>
      <c r="CJ75" s="6">
        <f>VLOOKUP(Table1[[#This Row],[Reference]],metron,24,FALSE)</f>
        <v>2.0920564216778019</v>
      </c>
      <c r="CK75" s="6">
        <f>VLOOKUP(Table1[[#This Row],[Reference]],metron,25,FALSE)</f>
        <v>7.126948775055679E-2</v>
      </c>
      <c r="CL75" s="6">
        <f>VLOOKUP(Table1[[#This Row],[Reference]],metron,26,FALSE)</f>
        <v>0.13214550853749071</v>
      </c>
    </row>
    <row r="76" spans="1:90" hidden="1" x14ac:dyDescent="0.45">
      <c r="A76" t="s">
        <v>696</v>
      </c>
      <c r="B76">
        <v>1632009600</v>
      </c>
      <c r="C76" s="23" t="s">
        <v>253</v>
      </c>
      <c r="D76" t="s">
        <v>65</v>
      </c>
      <c r="E76" t="s">
        <v>66</v>
      </c>
      <c r="F76" t="s">
        <v>79</v>
      </c>
      <c r="G76" t="s">
        <v>68</v>
      </c>
      <c r="H76" t="s">
        <v>80</v>
      </c>
      <c r="I76">
        <f>MROUND(Table1[[#This Row],[ProbH]]*100,2)/100</f>
        <v>0.28000000000000003</v>
      </c>
      <c r="J76">
        <f>1/Table1[[#This Row],[odds_ft_home_team_win]]-Table1[[#This Row],[Margin]]</f>
        <v>0.28536706664602868</v>
      </c>
      <c r="K76">
        <f>1/Table1[[#This Row],[odds_ft_draw]]-Table1[[#This Row],[Margin]]</f>
        <v>0.2800202355346007</v>
      </c>
      <c r="L76">
        <f>1/Table1[[#This Row],[odds_ft_away_team_win]]-Table1[[#This Row],[Margin]]</f>
        <v>0.43461269781937062</v>
      </c>
      <c r="M76">
        <v>9</v>
      </c>
      <c r="N76">
        <v>2.33</v>
      </c>
      <c r="O76">
        <v>2</v>
      </c>
      <c r="P76">
        <v>1.17</v>
      </c>
      <c r="Q76">
        <v>1.53</v>
      </c>
      <c r="R76" t="str" cm="1">
        <f t="array" ref="R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6">
        <v>3</v>
      </c>
      <c r="T76">
        <v>1</v>
      </c>
      <c r="U76">
        <v>4</v>
      </c>
      <c r="V76">
        <v>3</v>
      </c>
      <c r="W76">
        <v>2</v>
      </c>
      <c r="X76">
        <v>1</v>
      </c>
      <c r="Y76" t="s">
        <v>254</v>
      </c>
      <c r="Z76">
        <v>6</v>
      </c>
      <c r="AA76">
        <v>4</v>
      </c>
      <c r="AB76">
        <v>5</v>
      </c>
      <c r="AC76">
        <v>4</v>
      </c>
      <c r="AD76">
        <v>1</v>
      </c>
      <c r="AE76">
        <v>6</v>
      </c>
      <c r="AF76">
        <v>1</v>
      </c>
      <c r="AG76">
        <v>1</v>
      </c>
      <c r="AH76">
        <v>4</v>
      </c>
      <c r="AI76">
        <v>2</v>
      </c>
      <c r="AJ76">
        <v>5</v>
      </c>
      <c r="AK76">
        <v>11</v>
      </c>
      <c r="AL76">
        <v>18</v>
      </c>
      <c r="AM76">
        <v>4</v>
      </c>
      <c r="AN76">
        <v>8</v>
      </c>
      <c r="AO76">
        <v>7</v>
      </c>
      <c r="AP76">
        <v>10</v>
      </c>
      <c r="AQ76">
        <v>11</v>
      </c>
      <c r="AR76">
        <v>14</v>
      </c>
      <c r="AS76">
        <v>44</v>
      </c>
      <c r="AT76">
        <v>56</v>
      </c>
      <c r="AU76">
        <v>1.1399999999999999</v>
      </c>
      <c r="AV76">
        <v>2.0299999999999998</v>
      </c>
      <c r="AW76">
        <v>2.59</v>
      </c>
      <c r="AX76">
        <v>75</v>
      </c>
      <c r="AY76">
        <v>75</v>
      </c>
      <c r="AZ76">
        <v>63</v>
      </c>
      <c r="BA76">
        <v>34</v>
      </c>
      <c r="BB76">
        <v>0</v>
      </c>
      <c r="BC76">
        <v>75</v>
      </c>
      <c r="BD76">
        <v>75</v>
      </c>
      <c r="BE76">
        <v>17</v>
      </c>
      <c r="BF76">
        <v>59</v>
      </c>
      <c r="BG76">
        <v>11.67</v>
      </c>
      <c r="BH76">
        <v>4.5</v>
      </c>
      <c r="BI76">
        <v>3.32</v>
      </c>
      <c r="BJ76">
        <v>3.38</v>
      </c>
      <c r="BK76">
        <v>2.2200000000000002</v>
      </c>
      <c r="BL76">
        <f>(1/Table1[[#This Row],[odds_ft_home_team_win]]+1/Table1[[#This Row],[odds_ft_draw]]+1/Table1[[#This Row],[odds_ft_away_team_win]]-1)/3</f>
        <v>1.5837752631079782E-2</v>
      </c>
      <c r="BM76">
        <v>1.3</v>
      </c>
      <c r="BN76">
        <v>2.12</v>
      </c>
      <c r="BO76">
        <v>3.25</v>
      </c>
      <c r="BP76">
        <v>6</v>
      </c>
      <c r="BQ76">
        <v>1.77</v>
      </c>
      <c r="BR76">
        <v>2</v>
      </c>
      <c r="BS76" t="s">
        <v>140</v>
      </c>
      <c r="BT76">
        <f>VLOOKUP(Table1[[#This Row],[Reference]],metron,8,FALSE)</f>
        <v>1.1529533168233341</v>
      </c>
      <c r="BU76">
        <f>VLOOKUP(Table1[[#This Row],[Reference]],metron,9,FALSE)</f>
        <v>1.5628535554286829</v>
      </c>
      <c r="BV76">
        <f>VLOOKUP(Table1[[#This Row],[Reference]],metron,10,FALSE)</f>
        <v>2.5445607358071678</v>
      </c>
      <c r="BW76">
        <f>VLOOKUP(Table1[[#This Row],[Reference]],metron,11,FALSE)</f>
        <v>1.128766254360926</v>
      </c>
      <c r="BX76">
        <f>VLOOKUP(Table1[[#This Row],[Reference]],metron,12,FALSE)</f>
        <v>1.415794481446242</v>
      </c>
      <c r="BY76" s="6">
        <f>VLOOKUP(Table1[[#This Row],[Reference]],metron,13,FALSE)</f>
        <v>0.49635267998731369</v>
      </c>
      <c r="BZ76" s="6">
        <f>VLOOKUP(Table1[[#This Row],[Reference]],metron,14,FALSE)</f>
        <v>0.61084681255946716</v>
      </c>
      <c r="CA76" s="6">
        <f>VLOOKUP(Table1[[#This Row],[Reference]],metron,15,FALSE)</f>
        <v>11.04442036836403</v>
      </c>
      <c r="CB76" s="6">
        <f>VLOOKUP(Table1[[#This Row],[Reference]],metron,16,FALSE)</f>
        <v>11.38840736728061</v>
      </c>
      <c r="CC76" s="6">
        <f>VLOOKUP(Table1[[#This Row],[Reference]],metron,17,FALSE)</f>
        <v>4.5379574003276897</v>
      </c>
      <c r="CD76" s="6">
        <f>VLOOKUP(Table1[[#This Row],[Reference]],metron,18,FALSE)</f>
        <v>4.8481703986892413</v>
      </c>
      <c r="CE76" s="6">
        <f>VLOOKUP(Table1[[#This Row],[Reference]],metron,19,FALSE)</f>
        <v>6.5064629680363399</v>
      </c>
      <c r="CF76" s="6">
        <f>VLOOKUP(Table1[[#This Row],[Reference]],metron,20,FALSE)</f>
        <v>6.540236968591369</v>
      </c>
      <c r="CG76" s="6">
        <f>VLOOKUP(Table1[[#This Row],[Reference]],metron,21,FALSE)</f>
        <v>13.117582417582421</v>
      </c>
      <c r="CH76" s="6">
        <f>VLOOKUP(Table1[[#This Row],[Reference]],metron,22,FALSE)</f>
        <v>13.28241758241758</v>
      </c>
      <c r="CI76" s="6">
        <f>VLOOKUP(Table1[[#This Row],[Reference]],metron,23,FALSE)</f>
        <v>1.792592592592593</v>
      </c>
      <c r="CJ76" s="6">
        <f>VLOOKUP(Table1[[#This Row],[Reference]],metron,24,FALSE)</f>
        <v>1.806980433632998</v>
      </c>
      <c r="CK76" s="6">
        <f>VLOOKUP(Table1[[#This Row],[Reference]],metron,25,FALSE)</f>
        <v>0.1047065044949762</v>
      </c>
      <c r="CL76" s="6">
        <f>VLOOKUP(Table1[[#This Row],[Reference]],metron,26,FALSE)</f>
        <v>0.1073506081438392</v>
      </c>
    </row>
    <row r="77" spans="1:90" hidden="1" x14ac:dyDescent="0.45">
      <c r="A77" t="s">
        <v>696</v>
      </c>
      <c r="B77">
        <v>1632016800</v>
      </c>
      <c r="C77" s="23" t="s">
        <v>255</v>
      </c>
      <c r="D77" t="s">
        <v>65</v>
      </c>
      <c r="E77" t="s">
        <v>66</v>
      </c>
      <c r="F77" t="s">
        <v>113</v>
      </c>
      <c r="G77" t="s">
        <v>96</v>
      </c>
      <c r="H77" t="s">
        <v>215</v>
      </c>
      <c r="I77">
        <f>MROUND(Table1[[#This Row],[ProbH]]*100,2)/100</f>
        <v>0.44</v>
      </c>
      <c r="J77">
        <f>1/Table1[[#This Row],[odds_ft_home_team_win]]-Table1[[#This Row],[Margin]]</f>
        <v>0.43268619711250139</v>
      </c>
      <c r="K77">
        <f>1/Table1[[#This Row],[odds_ft_draw]]-Table1[[#This Row],[Margin]]</f>
        <v>0.28365690144374922</v>
      </c>
      <c r="L77">
        <f>1/Table1[[#This Row],[odds_ft_away_team_win]]-Table1[[#This Row],[Margin]]</f>
        <v>0.28365690144374922</v>
      </c>
      <c r="M77">
        <v>9</v>
      </c>
      <c r="N77">
        <v>1.25</v>
      </c>
      <c r="O77">
        <v>0</v>
      </c>
      <c r="P77">
        <v>1.71</v>
      </c>
      <c r="Q77">
        <v>1.1000000000000001</v>
      </c>
      <c r="R77" t="str" cm="1">
        <f t="array" ref="R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77">
        <v>2</v>
      </c>
      <c r="T77">
        <v>2</v>
      </c>
      <c r="U77">
        <v>4</v>
      </c>
      <c r="V77">
        <v>1</v>
      </c>
      <c r="W77">
        <v>1</v>
      </c>
      <c r="X77">
        <v>0</v>
      </c>
      <c r="Y77" t="s">
        <v>256</v>
      </c>
      <c r="Z77" t="s">
        <v>257</v>
      </c>
      <c r="AA77">
        <v>1</v>
      </c>
      <c r="AB77">
        <v>7</v>
      </c>
      <c r="AC77">
        <v>1</v>
      </c>
      <c r="AD77">
        <v>0</v>
      </c>
      <c r="AE77">
        <v>2</v>
      </c>
      <c r="AF77">
        <v>0</v>
      </c>
      <c r="AG77">
        <v>1</v>
      </c>
      <c r="AH77">
        <v>0</v>
      </c>
      <c r="AI77">
        <v>2</v>
      </c>
      <c r="AJ77">
        <v>0</v>
      </c>
      <c r="AK77">
        <v>5</v>
      </c>
      <c r="AL77">
        <v>15</v>
      </c>
      <c r="AM77">
        <v>0</v>
      </c>
      <c r="AN77">
        <v>6</v>
      </c>
      <c r="AO77">
        <v>5</v>
      </c>
      <c r="AP77">
        <v>9</v>
      </c>
      <c r="AQ77">
        <v>4</v>
      </c>
      <c r="AR77">
        <v>6</v>
      </c>
      <c r="AS77">
        <v>53</v>
      </c>
      <c r="AT77">
        <v>47</v>
      </c>
      <c r="AU77">
        <v>0.56000000000000005</v>
      </c>
      <c r="AV77">
        <v>1.74</v>
      </c>
      <c r="AW77">
        <v>2.84</v>
      </c>
      <c r="AX77">
        <v>54</v>
      </c>
      <c r="AY77">
        <v>100</v>
      </c>
      <c r="AZ77">
        <v>71</v>
      </c>
      <c r="BA77">
        <v>13</v>
      </c>
      <c r="BB77">
        <v>0</v>
      </c>
      <c r="BC77">
        <v>54</v>
      </c>
      <c r="BD77">
        <v>88</v>
      </c>
      <c r="BE77">
        <v>42</v>
      </c>
      <c r="BF77">
        <v>88</v>
      </c>
      <c r="BG77">
        <v>7.08</v>
      </c>
      <c r="BH77">
        <v>6.75</v>
      </c>
      <c r="BI77">
        <v>2.23</v>
      </c>
      <c r="BJ77">
        <v>3.34</v>
      </c>
      <c r="BK77">
        <v>3.34</v>
      </c>
      <c r="BL77">
        <f>(1/Table1[[#This Row],[odds_ft_home_team_win]]+1/Table1[[#This Row],[odds_ft_draw]]+1/Table1[[#This Row],[odds_ft_away_team_win]]-1)/3</f>
        <v>1.5744296161041227E-2</v>
      </c>
      <c r="BM77">
        <v>1.35</v>
      </c>
      <c r="BN77">
        <v>2.2000000000000002</v>
      </c>
      <c r="BO77">
        <v>4.0999999999999996</v>
      </c>
      <c r="BP77">
        <v>8.25</v>
      </c>
      <c r="BQ77">
        <v>2.15</v>
      </c>
      <c r="BR77">
        <v>1.69</v>
      </c>
      <c r="BS77" t="s">
        <v>120</v>
      </c>
      <c r="BT77">
        <f>VLOOKUP(Table1[[#This Row],[Reference]],metron,8,FALSE)</f>
        <v>1.6395459745305552</v>
      </c>
      <c r="BU77">
        <f>VLOOKUP(Table1[[#This Row],[Reference]],metron,9,FALSE)</f>
        <v>1.0758429359324786</v>
      </c>
      <c r="BV77">
        <f>VLOOKUP(Table1[[#This Row],[Reference]],metron,10,FALSE)</f>
        <v>2.4807646356033461</v>
      </c>
      <c r="BW77">
        <f>VLOOKUP(Table1[[#This Row],[Reference]],metron,11,FALSE)</f>
        <v>1.4140979689366791</v>
      </c>
      <c r="BX77">
        <f>VLOOKUP(Table1[[#This Row],[Reference]],metron,12,FALSE)</f>
        <v>1.0666666666666671</v>
      </c>
      <c r="BY77" s="6">
        <f>VLOOKUP(Table1[[#This Row],[Reference]],metron,13,FALSE)</f>
        <v>0.62712066905615294</v>
      </c>
      <c r="BZ77" s="6">
        <f>VLOOKUP(Table1[[#This Row],[Reference]],metron,14,FALSE)</f>
        <v>0.46009557945041818</v>
      </c>
      <c r="CA77" s="6">
        <f>VLOOKUP(Table1[[#This Row],[Reference]],metron,15,FALSE)</f>
        <v>12.56969280146722</v>
      </c>
      <c r="CB77" s="6">
        <f>VLOOKUP(Table1[[#This Row],[Reference]],metron,16,FALSE)</f>
        <v>9.8695552498853729</v>
      </c>
      <c r="CC77" s="6">
        <f>VLOOKUP(Table1[[#This Row],[Reference]],metron,17,FALSE)</f>
        <v>5.2754256787850897</v>
      </c>
      <c r="CD77" s="6">
        <f>VLOOKUP(Table1[[#This Row],[Reference]],metron,18,FALSE)</f>
        <v>4.1279337321675103</v>
      </c>
      <c r="CE77" s="6">
        <f>VLOOKUP(Table1[[#This Row],[Reference]],metron,19,FALSE)</f>
        <v>7.2942671226821298</v>
      </c>
      <c r="CF77" s="6">
        <f>VLOOKUP(Table1[[#This Row],[Reference]],metron,20,FALSE)</f>
        <v>5.7416215177178627</v>
      </c>
      <c r="CG77" s="6">
        <f>VLOOKUP(Table1[[#This Row],[Reference]],metron,21,FALSE)</f>
        <v>12.897246007868549</v>
      </c>
      <c r="CH77" s="6">
        <f>VLOOKUP(Table1[[#This Row],[Reference]],metron,22,FALSE)</f>
        <v>13.507058551261281</v>
      </c>
      <c r="CI77" s="6">
        <f>VLOOKUP(Table1[[#This Row],[Reference]],metron,23,FALSE)</f>
        <v>1.576522702104098</v>
      </c>
      <c r="CJ77" s="6">
        <f>VLOOKUP(Table1[[#This Row],[Reference]],metron,24,FALSE)</f>
        <v>1.917165005537099</v>
      </c>
      <c r="CK77" s="6">
        <f>VLOOKUP(Table1[[#This Row],[Reference]],metron,25,FALSE)</f>
        <v>8.4385382059800659E-2</v>
      </c>
      <c r="CL77" s="6">
        <f>VLOOKUP(Table1[[#This Row],[Reference]],metron,26,FALSE)</f>
        <v>0.1233665559246955</v>
      </c>
    </row>
    <row r="78" spans="1:90" hidden="1" x14ac:dyDescent="0.45">
      <c r="A78" t="s">
        <v>696</v>
      </c>
      <c r="B78">
        <v>1632016800</v>
      </c>
      <c r="C78" s="23" t="s">
        <v>255</v>
      </c>
      <c r="D78" t="s">
        <v>65</v>
      </c>
      <c r="E78" t="s">
        <v>66</v>
      </c>
      <c r="F78" t="s">
        <v>90</v>
      </c>
      <c r="G78" t="s">
        <v>84</v>
      </c>
      <c r="H78" t="s">
        <v>114</v>
      </c>
      <c r="I78">
        <f>MROUND(Table1[[#This Row],[ProbH]]*100,2)/100</f>
        <v>0.4</v>
      </c>
      <c r="J78">
        <f>1/Table1[[#This Row],[odds_ft_home_team_win]]-Table1[[#This Row],[Margin]]</f>
        <v>0.40098675720213633</v>
      </c>
      <c r="K78">
        <f>1/Table1[[#This Row],[odds_ft_draw]]-Table1[[#This Row],[Margin]]</f>
        <v>0.29106855679313837</v>
      </c>
      <c r="L78">
        <f>1/Table1[[#This Row],[odds_ft_away_team_win]]-Table1[[#This Row],[Margin]]</f>
        <v>0.30794468600472535</v>
      </c>
      <c r="M78">
        <v>9</v>
      </c>
      <c r="N78">
        <v>1</v>
      </c>
      <c r="O78">
        <v>1</v>
      </c>
      <c r="P78">
        <v>1.47</v>
      </c>
      <c r="Q78">
        <v>1.42</v>
      </c>
      <c r="R78" t="str" cm="1">
        <f t="array" ref="R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89</v>
      </c>
      <c r="AA78">
        <v>1</v>
      </c>
      <c r="AB78">
        <v>8</v>
      </c>
      <c r="AC78">
        <v>1</v>
      </c>
      <c r="AD78">
        <v>0</v>
      </c>
      <c r="AE78">
        <v>2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9</v>
      </c>
      <c r="AL78">
        <v>18</v>
      </c>
      <c r="AM78">
        <v>3</v>
      </c>
      <c r="AN78">
        <v>6</v>
      </c>
      <c r="AO78">
        <v>6</v>
      </c>
      <c r="AP78">
        <v>12</v>
      </c>
      <c r="AQ78">
        <v>9</v>
      </c>
      <c r="AR78">
        <v>7</v>
      </c>
      <c r="AS78">
        <v>48</v>
      </c>
      <c r="AT78">
        <v>52</v>
      </c>
      <c r="AU78">
        <v>1.03</v>
      </c>
      <c r="AV78">
        <v>1.91</v>
      </c>
      <c r="AW78">
        <v>3</v>
      </c>
      <c r="AX78">
        <v>75</v>
      </c>
      <c r="AY78">
        <v>100</v>
      </c>
      <c r="AZ78">
        <v>75</v>
      </c>
      <c r="BA78">
        <v>25</v>
      </c>
      <c r="BB78">
        <v>0</v>
      </c>
      <c r="BC78">
        <v>25</v>
      </c>
      <c r="BD78">
        <v>100</v>
      </c>
      <c r="BE78">
        <v>63</v>
      </c>
      <c r="BF78">
        <v>100</v>
      </c>
      <c r="BG78">
        <v>12.5</v>
      </c>
      <c r="BH78">
        <v>3.5</v>
      </c>
      <c r="BI78">
        <v>2.4</v>
      </c>
      <c r="BJ78">
        <v>3.26</v>
      </c>
      <c r="BK78">
        <v>3.09</v>
      </c>
      <c r="BL78">
        <f>(1/Table1[[#This Row],[odds_ft_home_team_win]]+1/Table1[[#This Row],[odds_ft_draw]]+1/Table1[[#This Row],[odds_ft_away_team_win]]-1)/3</f>
        <v>1.5679909464530351E-2</v>
      </c>
      <c r="BM78">
        <v>1.44</v>
      </c>
      <c r="BN78">
        <v>2.35</v>
      </c>
      <c r="BO78">
        <v>3.6</v>
      </c>
      <c r="BP78">
        <v>7</v>
      </c>
      <c r="BQ78">
        <v>1.83</v>
      </c>
      <c r="BR78">
        <v>1.95</v>
      </c>
      <c r="BS78" t="s">
        <v>94</v>
      </c>
      <c r="BT78">
        <f>VLOOKUP(Table1[[#This Row],[Reference]],metron,8,FALSE)</f>
        <v>1.5181603563290151</v>
      </c>
      <c r="BU78">
        <f>VLOOKUP(Table1[[#This Row],[Reference]],metron,9,FALSE)</f>
        <v>1.1952730370775513</v>
      </c>
      <c r="BV78">
        <f>VLOOKUP(Table1[[#This Row],[Reference]],metron,10,FALSE)</f>
        <v>2.4956155335383219</v>
      </c>
      <c r="BW78">
        <f>VLOOKUP(Table1[[#This Row],[Reference]],metron,11,FALSE)</f>
        <v>1.344038264434575</v>
      </c>
      <c r="BX78">
        <f>VLOOKUP(Table1[[#This Row],[Reference]],metron,12,FALSE)</f>
        <v>1.1515772691037469</v>
      </c>
      <c r="BY78" s="6">
        <f>VLOOKUP(Table1[[#This Row],[Reference]],metron,13,FALSE)</f>
        <v>0.59936225942375587</v>
      </c>
      <c r="BZ78" s="6">
        <f>VLOOKUP(Table1[[#This Row],[Reference]],metron,14,FALSE)</f>
        <v>0.50723152260562576</v>
      </c>
      <c r="CA78" s="6">
        <f>VLOOKUP(Table1[[#This Row],[Reference]],metron,15,FALSE)</f>
        <v>11.99278846153846</v>
      </c>
      <c r="CB78" s="6">
        <f>VLOOKUP(Table1[[#This Row],[Reference]],metron,16,FALSE)</f>
        <v>10.0277534965035</v>
      </c>
      <c r="CC78" s="6">
        <f>VLOOKUP(Table1[[#This Row],[Reference]],metron,17,FALSE)</f>
        <v>5.2857459543338514</v>
      </c>
      <c r="CD78" s="6">
        <f>VLOOKUP(Table1[[#This Row],[Reference]],metron,18,FALSE)</f>
        <v>4.4067834183107957</v>
      </c>
      <c r="CE78" s="6">
        <f>VLOOKUP(Table1[[#This Row],[Reference]],metron,19,FALSE)</f>
        <v>6.7070425072046085</v>
      </c>
      <c r="CF78" s="6">
        <f>VLOOKUP(Table1[[#This Row],[Reference]],metron,20,FALSE)</f>
        <v>5.6209700781927046</v>
      </c>
      <c r="CG78" s="6">
        <f>VLOOKUP(Table1[[#This Row],[Reference]],metron,21,FALSE)</f>
        <v>13.04463690872752</v>
      </c>
      <c r="CH78" s="6">
        <f>VLOOKUP(Table1[[#This Row],[Reference]],metron,22,FALSE)</f>
        <v>13.49811236953142</v>
      </c>
      <c r="CI78" s="6">
        <f>VLOOKUP(Table1[[#This Row],[Reference]],metron,23,FALSE)</f>
        <v>1.5836526181353769</v>
      </c>
      <c r="CJ78" s="6">
        <f>VLOOKUP(Table1[[#This Row],[Reference]],metron,24,FALSE)</f>
        <v>1.8744146445295871</v>
      </c>
      <c r="CK78" s="6">
        <f>VLOOKUP(Table1[[#This Row],[Reference]],metron,25,FALSE)</f>
        <v>8.5994040017028525E-2</v>
      </c>
      <c r="CL78" s="6">
        <f>VLOOKUP(Table1[[#This Row],[Reference]],metron,26,FALSE)</f>
        <v>0.13452532992762881</v>
      </c>
    </row>
    <row r="79" spans="1:90" hidden="1" x14ac:dyDescent="0.45">
      <c r="A79" t="s">
        <v>696</v>
      </c>
      <c r="B79">
        <v>1632096000</v>
      </c>
      <c r="C79" s="23" t="s">
        <v>258</v>
      </c>
      <c r="D79" t="s">
        <v>65</v>
      </c>
      <c r="E79" t="s">
        <v>66</v>
      </c>
      <c r="F79" t="s">
        <v>112</v>
      </c>
      <c r="G79" t="s">
        <v>67</v>
      </c>
      <c r="H79" t="s">
        <v>171</v>
      </c>
      <c r="I79">
        <f>MROUND(Table1[[#This Row],[ProbH]]*100,2)/100</f>
        <v>0.62</v>
      </c>
      <c r="J79">
        <f>1/Table1[[#This Row],[odds_ft_home_team_win]]-Table1[[#This Row],[Margin]]</f>
        <v>0.61740890688259109</v>
      </c>
      <c r="K79">
        <f>1/Table1[[#This Row],[odds_ft_draw]]-Table1[[#This Row],[Margin]]</f>
        <v>0.23954116059379219</v>
      </c>
      <c r="L79">
        <f>1/Table1[[#This Row],[odds_ft_away_team_win]]-Table1[[#This Row],[Margin]]</f>
        <v>0.14304993252361675</v>
      </c>
      <c r="M79">
        <v>9</v>
      </c>
      <c r="N79">
        <v>1.25</v>
      </c>
      <c r="O79">
        <v>0.5</v>
      </c>
      <c r="P79">
        <v>1.25</v>
      </c>
      <c r="Q79">
        <v>0.65</v>
      </c>
      <c r="R79" t="str" cm="1">
        <f t="array" ref="R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9">
        <v>2</v>
      </c>
      <c r="T79">
        <v>0</v>
      </c>
      <c r="U79">
        <v>2</v>
      </c>
      <c r="V79">
        <v>1</v>
      </c>
      <c r="W79">
        <v>1</v>
      </c>
      <c r="X79">
        <v>0</v>
      </c>
      <c r="Y79" t="s">
        <v>259</v>
      </c>
      <c r="AA79">
        <v>5</v>
      </c>
      <c r="AB79">
        <v>5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12</v>
      </c>
      <c r="AL79">
        <v>8</v>
      </c>
      <c r="AM79">
        <v>4</v>
      </c>
      <c r="AN79">
        <v>4</v>
      </c>
      <c r="AO79">
        <v>8</v>
      </c>
      <c r="AP79">
        <v>4</v>
      </c>
      <c r="AQ79">
        <v>16</v>
      </c>
      <c r="AR79">
        <v>16</v>
      </c>
      <c r="AS79">
        <v>56</v>
      </c>
      <c r="AT79">
        <v>44</v>
      </c>
      <c r="AU79">
        <v>1.29</v>
      </c>
      <c r="AV79">
        <v>1.01</v>
      </c>
      <c r="AW79">
        <v>2</v>
      </c>
      <c r="AX79">
        <v>38</v>
      </c>
      <c r="AY79">
        <v>75</v>
      </c>
      <c r="AZ79">
        <v>25</v>
      </c>
      <c r="BA79">
        <v>13</v>
      </c>
      <c r="BB79">
        <v>0</v>
      </c>
      <c r="BC79">
        <v>13</v>
      </c>
      <c r="BD79">
        <v>63</v>
      </c>
      <c r="BE79">
        <v>25</v>
      </c>
      <c r="BF79">
        <v>88</v>
      </c>
      <c r="BG79">
        <v>7.75</v>
      </c>
      <c r="BH79">
        <v>6</v>
      </c>
      <c r="BI79">
        <v>1.56</v>
      </c>
      <c r="BJ79">
        <v>3.8</v>
      </c>
      <c r="BK79">
        <v>6</v>
      </c>
      <c r="BL79">
        <f>(1/Table1[[#This Row],[odds_ft_home_team_win]]+1/Table1[[#This Row],[odds_ft_draw]]+1/Table1[[#This Row],[odds_ft_away_team_win]]-1)/3</f>
        <v>2.3616734143049916E-2</v>
      </c>
      <c r="BM79">
        <v>1.42</v>
      </c>
      <c r="BN79">
        <v>2.1</v>
      </c>
      <c r="BO79">
        <v>3.75</v>
      </c>
      <c r="BP79">
        <v>7.25</v>
      </c>
      <c r="BQ79">
        <v>2.25</v>
      </c>
      <c r="BR79">
        <v>1.62</v>
      </c>
      <c r="BS79" t="s">
        <v>116</v>
      </c>
      <c r="BT79">
        <f>VLOOKUP(Table1[[#This Row],[Reference]],metron,8,FALSE)</f>
        <v>2.1234388909289978</v>
      </c>
      <c r="BU79">
        <f>VLOOKUP(Table1[[#This Row],[Reference]],metron,9,FALSE)</f>
        <v>0.63925141338926716</v>
      </c>
      <c r="BV79">
        <f>VLOOKUP(Table1[[#This Row],[Reference]],metron,10,FALSE)</f>
        <v>2.7366666666666664</v>
      </c>
      <c r="BW79">
        <f>VLOOKUP(Table1[[#This Row],[Reference]],metron,11,FALSE)</f>
        <v>1.8681481481481479</v>
      </c>
      <c r="BX79">
        <f>VLOOKUP(Table1[[#This Row],[Reference]],metron,12,FALSE)</f>
        <v>0.86851851851851847</v>
      </c>
      <c r="BY79" s="6">
        <f>VLOOKUP(Table1[[#This Row],[Reference]],metron,13,FALSE)</f>
        <v>0.81333333333333335</v>
      </c>
      <c r="BZ79" s="6">
        <f>VLOOKUP(Table1[[#This Row],[Reference]],metron,14,FALSE)</f>
        <v>0.38925925925925919</v>
      </c>
      <c r="CA79" s="6">
        <f>VLOOKUP(Table1[[#This Row],[Reference]],metron,15,FALSE)</f>
        <v>14.53422724064926</v>
      </c>
      <c r="CB79" s="6">
        <f>VLOOKUP(Table1[[#This Row],[Reference]],metron,16,FALSE)</f>
        <v>8.7882851093860275</v>
      </c>
      <c r="CC79" s="6">
        <f>VLOOKUP(Table1[[#This Row],[Reference]],metron,17,FALSE)</f>
        <v>6.3007953723788868</v>
      </c>
      <c r="CD79" s="6">
        <f>VLOOKUP(Table1[[#This Row],[Reference]],metron,18,FALSE)</f>
        <v>3.681851048445409</v>
      </c>
      <c r="CE79" s="6">
        <f>VLOOKUP(Table1[[#This Row],[Reference]],metron,19,FALSE)</f>
        <v>8.2334318682703724</v>
      </c>
      <c r="CF79" s="6">
        <f>VLOOKUP(Table1[[#This Row],[Reference]],metron,20,FALSE)</f>
        <v>5.106434060940618</v>
      </c>
      <c r="CG79" s="6">
        <f>VLOOKUP(Table1[[#This Row],[Reference]],metron,21,FALSE)</f>
        <v>12.32150615496017</v>
      </c>
      <c r="CH79" s="6">
        <f>VLOOKUP(Table1[[#This Row],[Reference]],metron,22,FALSE)</f>
        <v>13.337436640115859</v>
      </c>
      <c r="CI79" s="6">
        <f>VLOOKUP(Table1[[#This Row],[Reference]],metron,23,FALSE)</f>
        <v>1.346101231190151</v>
      </c>
      <c r="CJ79" s="6">
        <f>VLOOKUP(Table1[[#This Row],[Reference]],metron,24,FALSE)</f>
        <v>1.995212038303694</v>
      </c>
      <c r="CK79" s="6">
        <f>VLOOKUP(Table1[[#This Row],[Reference]],metron,25,FALSE)</f>
        <v>6.1559507523939808E-2</v>
      </c>
      <c r="CL79" s="6">
        <f>VLOOKUP(Table1[[#This Row],[Reference]],metron,26,FALSE)</f>
        <v>0.13201094391244869</v>
      </c>
    </row>
    <row r="80" spans="1:90" hidden="1" x14ac:dyDescent="0.45">
      <c r="A80" t="s">
        <v>696</v>
      </c>
      <c r="B80">
        <v>1632096360</v>
      </c>
      <c r="C80" s="23" t="s">
        <v>260</v>
      </c>
      <c r="D80" t="s">
        <v>65</v>
      </c>
      <c r="E80" t="s">
        <v>66</v>
      </c>
      <c r="F80" t="s">
        <v>101</v>
      </c>
      <c r="G80" t="s">
        <v>107</v>
      </c>
      <c r="H80" t="s">
        <v>130</v>
      </c>
      <c r="I80">
        <f>MROUND(Table1[[#This Row],[ProbH]]*100,2)/100</f>
        <v>0.42</v>
      </c>
      <c r="J80">
        <f>1/Table1[[#This Row],[odds_ft_home_team_win]]-Table1[[#This Row],[Margin]]</f>
        <v>0.42782665363310524</v>
      </c>
      <c r="K80">
        <f>1/Table1[[#This Row],[odds_ft_draw]]-Table1[[#This Row],[Margin]]</f>
        <v>0.29586184424894102</v>
      </c>
      <c r="L80">
        <f>1/Table1[[#This Row],[odds_ft_away_team_win]]-Table1[[#This Row],[Margin]]</f>
        <v>0.27631150211795374</v>
      </c>
      <c r="M80">
        <v>9</v>
      </c>
      <c r="N80">
        <v>2</v>
      </c>
      <c r="O80">
        <v>1.75</v>
      </c>
      <c r="P80">
        <v>1.79</v>
      </c>
      <c r="Q80">
        <v>1.48</v>
      </c>
      <c r="R80" t="str" cm="1">
        <f t="array" ref="R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0">
        <v>2</v>
      </c>
      <c r="T80">
        <v>0</v>
      </c>
      <c r="U80">
        <v>2</v>
      </c>
      <c r="V80">
        <v>1</v>
      </c>
      <c r="W80">
        <v>1</v>
      </c>
      <c r="X80">
        <v>0</v>
      </c>
      <c r="Y80" t="s">
        <v>261</v>
      </c>
      <c r="AA80">
        <v>2</v>
      </c>
      <c r="AB80">
        <v>9</v>
      </c>
      <c r="AC80">
        <v>1</v>
      </c>
      <c r="AD80">
        <v>0</v>
      </c>
      <c r="AE80">
        <v>3</v>
      </c>
      <c r="AF80">
        <v>0</v>
      </c>
      <c r="AG80">
        <v>0</v>
      </c>
      <c r="AH80">
        <v>1</v>
      </c>
      <c r="AI80">
        <v>0</v>
      </c>
      <c r="AJ80">
        <v>3</v>
      </c>
      <c r="AK80">
        <v>15</v>
      </c>
      <c r="AL80">
        <v>14</v>
      </c>
      <c r="AM80">
        <v>8</v>
      </c>
      <c r="AN80">
        <v>7</v>
      </c>
      <c r="AO80">
        <v>7</v>
      </c>
      <c r="AP80">
        <v>7</v>
      </c>
      <c r="AQ80">
        <v>15</v>
      </c>
      <c r="AR80">
        <v>18</v>
      </c>
      <c r="AS80">
        <v>37</v>
      </c>
      <c r="AT80">
        <v>63</v>
      </c>
      <c r="AU80">
        <v>1.73</v>
      </c>
      <c r="AV80">
        <v>1.69</v>
      </c>
      <c r="AW80">
        <v>2.5</v>
      </c>
      <c r="AX80">
        <v>63</v>
      </c>
      <c r="AY80">
        <v>88</v>
      </c>
      <c r="AZ80">
        <v>50</v>
      </c>
      <c r="BA80">
        <v>25</v>
      </c>
      <c r="BB80">
        <v>0</v>
      </c>
      <c r="BC80">
        <v>13</v>
      </c>
      <c r="BD80">
        <v>63</v>
      </c>
      <c r="BE80">
        <v>63</v>
      </c>
      <c r="BF80">
        <v>88</v>
      </c>
      <c r="BG80">
        <v>7</v>
      </c>
      <c r="BH80">
        <v>3.5</v>
      </c>
      <c r="BI80">
        <v>2.2000000000000002</v>
      </c>
      <c r="BJ80">
        <v>3.1</v>
      </c>
      <c r="BK80">
        <v>3.3</v>
      </c>
      <c r="BL80">
        <f>(1/Table1[[#This Row],[odds_ft_home_team_win]]+1/Table1[[#This Row],[odds_ft_draw]]+1/Table1[[#This Row],[odds_ft_away_team_win]]-1)/3</f>
        <v>2.6718800912349277E-2</v>
      </c>
      <c r="BM80">
        <v>1.43</v>
      </c>
      <c r="BN80">
        <v>2.15</v>
      </c>
      <c r="BO80">
        <v>3.65</v>
      </c>
      <c r="BP80">
        <v>7</v>
      </c>
      <c r="BQ80">
        <v>1.95</v>
      </c>
      <c r="BR80">
        <v>1.83</v>
      </c>
      <c r="BS80" t="s">
        <v>104</v>
      </c>
      <c r="BT80">
        <f>VLOOKUP(Table1[[#This Row],[Reference]],metron,8,FALSE)</f>
        <v>1.5780106027030405</v>
      </c>
      <c r="BU80">
        <f>VLOOKUP(Table1[[#This Row],[Reference]],metron,9,FALSE)</f>
        <v>1.1353025412447635</v>
      </c>
      <c r="BV80">
        <f>VLOOKUP(Table1[[#This Row],[Reference]],metron,10,FALSE)</f>
        <v>2.4884649511978703</v>
      </c>
      <c r="BW80">
        <f>VLOOKUP(Table1[[#This Row],[Reference]],metron,11,FALSE)</f>
        <v>1.396960958296362</v>
      </c>
      <c r="BX80">
        <f>VLOOKUP(Table1[[#This Row],[Reference]],metron,12,FALSE)</f>
        <v>1.091503992901508</v>
      </c>
      <c r="BY80" s="6">
        <f>VLOOKUP(Table1[[#This Row],[Reference]],metron,13,FALSE)</f>
        <v>0.60765391014975045</v>
      </c>
      <c r="BZ80" s="6">
        <f>VLOOKUP(Table1[[#This Row],[Reference]],metron,14,FALSE)</f>
        <v>0.47276760953965608</v>
      </c>
      <c r="CA80" s="6">
        <f>VLOOKUP(Table1[[#This Row],[Reference]],metron,15,FALSE)</f>
        <v>12.29504785684561</v>
      </c>
      <c r="CB80" s="6">
        <f>VLOOKUP(Table1[[#This Row],[Reference]],metron,16,FALSE)</f>
        <v>10.047232625884311</v>
      </c>
      <c r="CC80" s="6">
        <f>VLOOKUP(Table1[[#This Row],[Reference]],metron,17,FALSE)</f>
        <v>5.2917192097519967</v>
      </c>
      <c r="CD80" s="6">
        <f>VLOOKUP(Table1[[#This Row],[Reference]],metron,18,FALSE)</f>
        <v>4.2580916351408158</v>
      </c>
      <c r="CE80" s="6">
        <f>VLOOKUP(Table1[[#This Row],[Reference]],metron,19,FALSE)</f>
        <v>7.0033286470936131</v>
      </c>
      <c r="CF80" s="6">
        <f>VLOOKUP(Table1[[#This Row],[Reference]],metron,20,FALSE)</f>
        <v>5.789140990743495</v>
      </c>
      <c r="CG80" s="6">
        <f>VLOOKUP(Table1[[#This Row],[Reference]],metron,21,FALSE)</f>
        <v>12.77041895895049</v>
      </c>
      <c r="CH80" s="6">
        <f>VLOOKUP(Table1[[#This Row],[Reference]],metron,22,FALSE)</f>
        <v>13.411129919593741</v>
      </c>
      <c r="CI80" s="6">
        <f>VLOOKUP(Table1[[#This Row],[Reference]],metron,23,FALSE)</f>
        <v>1.556141062018646</v>
      </c>
      <c r="CJ80" s="6">
        <f>VLOOKUP(Table1[[#This Row],[Reference]],metron,24,FALSE)</f>
        <v>1.9114308877178761</v>
      </c>
      <c r="CK80" s="6">
        <f>VLOOKUP(Table1[[#This Row],[Reference]],metron,25,FALSE)</f>
        <v>8.4920956627482766E-2</v>
      </c>
      <c r="CL80" s="6">
        <f>VLOOKUP(Table1[[#This Row],[Reference]],metron,26,FALSE)</f>
        <v>0.1323469801378192</v>
      </c>
    </row>
    <row r="81" spans="1:90" hidden="1" x14ac:dyDescent="0.45">
      <c r="A81" t="s">
        <v>696</v>
      </c>
      <c r="B81">
        <v>1632103560</v>
      </c>
      <c r="C81" s="23" t="s">
        <v>262</v>
      </c>
      <c r="D81" t="s">
        <v>65</v>
      </c>
      <c r="E81" t="s">
        <v>66</v>
      </c>
      <c r="F81" t="s">
        <v>73</v>
      </c>
      <c r="G81" t="s">
        <v>102</v>
      </c>
      <c r="H81" t="s">
        <v>158</v>
      </c>
      <c r="I81">
        <f>MROUND(Table1[[#This Row],[ProbH]]*100,2)/100</f>
        <v>0.54</v>
      </c>
      <c r="J81">
        <f>1/Table1[[#This Row],[odds_ft_home_team_win]]-Table1[[#This Row],[Margin]]</f>
        <v>0.54739297018157584</v>
      </c>
      <c r="K81">
        <f>1/Table1[[#This Row],[odds_ft_draw]]-Table1[[#This Row],[Margin]]</f>
        <v>0.26253539896718309</v>
      </c>
      <c r="L81">
        <f>1/Table1[[#This Row],[odds_ft_away_team_win]]-Table1[[#This Row],[Margin]]</f>
        <v>0.19007163085124107</v>
      </c>
      <c r="M81">
        <v>9</v>
      </c>
      <c r="N81">
        <v>1.5</v>
      </c>
      <c r="O81">
        <v>0.5</v>
      </c>
      <c r="P81">
        <v>1.58</v>
      </c>
      <c r="Q81">
        <v>1.42</v>
      </c>
      <c r="R81" s="9" t="str" cm="1">
        <f t="array" ref="R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1">
        <v>1</v>
      </c>
      <c r="T81">
        <v>1</v>
      </c>
      <c r="U81">
        <v>2</v>
      </c>
      <c r="V81">
        <v>0</v>
      </c>
      <c r="W81">
        <v>0</v>
      </c>
      <c r="X81">
        <v>0</v>
      </c>
      <c r="Y81">
        <v>90</v>
      </c>
      <c r="Z81">
        <v>52</v>
      </c>
      <c r="AA81">
        <v>11</v>
      </c>
      <c r="AB81">
        <v>3</v>
      </c>
      <c r="AC81">
        <v>1</v>
      </c>
      <c r="AD81">
        <v>0</v>
      </c>
      <c r="AE81">
        <v>4</v>
      </c>
      <c r="AF81">
        <v>1</v>
      </c>
      <c r="AG81">
        <v>0</v>
      </c>
      <c r="AH81">
        <v>1</v>
      </c>
      <c r="AI81">
        <v>1</v>
      </c>
      <c r="AJ81">
        <v>4</v>
      </c>
      <c r="AK81">
        <v>12</v>
      </c>
      <c r="AL81">
        <v>13</v>
      </c>
      <c r="AM81">
        <v>5</v>
      </c>
      <c r="AN81">
        <v>4</v>
      </c>
      <c r="AO81">
        <v>7</v>
      </c>
      <c r="AP81">
        <v>9</v>
      </c>
      <c r="AQ81">
        <v>12</v>
      </c>
      <c r="AR81">
        <v>21</v>
      </c>
      <c r="AS81">
        <v>60</v>
      </c>
      <c r="AT81">
        <v>40</v>
      </c>
      <c r="AU81">
        <v>1.5</v>
      </c>
      <c r="AV81">
        <v>1.45</v>
      </c>
      <c r="AW81">
        <v>1.75</v>
      </c>
      <c r="AX81">
        <v>50</v>
      </c>
      <c r="AY81">
        <v>88</v>
      </c>
      <c r="AZ81">
        <v>0</v>
      </c>
      <c r="BA81">
        <v>0</v>
      </c>
      <c r="BB81">
        <v>0</v>
      </c>
      <c r="BC81">
        <v>0</v>
      </c>
      <c r="BD81">
        <v>38</v>
      </c>
      <c r="BE81">
        <v>50</v>
      </c>
      <c r="BF81">
        <v>88</v>
      </c>
      <c r="BG81">
        <v>7.75</v>
      </c>
      <c r="BH81">
        <v>4</v>
      </c>
      <c r="BI81">
        <v>1.74</v>
      </c>
      <c r="BJ81">
        <v>3.45</v>
      </c>
      <c r="BK81">
        <v>4.5999999999999996</v>
      </c>
      <c r="BL81">
        <f>(1/Table1[[#This Row],[odds_ft_home_team_win]]+1/Table1[[#This Row],[odds_ft_draw]]+1/Table1[[#This Row],[odds_ft_away_team_win]]-1)/3</f>
        <v>2.731967349658504E-2</v>
      </c>
      <c r="BM81">
        <v>1.37</v>
      </c>
      <c r="BN81">
        <v>2.0499999999999998</v>
      </c>
      <c r="BO81">
        <v>3.45</v>
      </c>
      <c r="BP81">
        <v>6.75</v>
      </c>
      <c r="BQ81">
        <v>2</v>
      </c>
      <c r="BR81">
        <v>1.8</v>
      </c>
      <c r="BS81" t="s">
        <v>142</v>
      </c>
      <c r="BT81">
        <f>VLOOKUP(Table1[[#This Row],[Reference]],metron,8,FALSE)</f>
        <v>1.915666026436746</v>
      </c>
      <c r="BU81">
        <f>VLOOKUP(Table1[[#This Row],[Reference]],metron,9,FALSE)</f>
        <v>0.82283834599204153</v>
      </c>
      <c r="BV81">
        <f>VLOOKUP(Table1[[#This Row],[Reference]],metron,10,FALSE)</f>
        <v>2.6359702267612941</v>
      </c>
      <c r="BW81">
        <f>VLOOKUP(Table1[[#This Row],[Reference]],metron,11,FALSE)</f>
        <v>1.684957590444867</v>
      </c>
      <c r="BX81">
        <f>VLOOKUP(Table1[[#This Row],[Reference]],metron,12,FALSE)</f>
        <v>0.95101263631642718</v>
      </c>
      <c r="BY81" s="6">
        <f>VLOOKUP(Table1[[#This Row],[Reference]],metron,13,FALSE)</f>
        <v>0.72650164445213783</v>
      </c>
      <c r="BZ81" s="6">
        <f>VLOOKUP(Table1[[#This Row],[Reference]],metron,14,FALSE)</f>
        <v>0.42097974727367138</v>
      </c>
      <c r="CA81" s="6">
        <f>VLOOKUP(Table1[[#This Row],[Reference]],metron,15,FALSE)</f>
        <v>13.338806970509379</v>
      </c>
      <c r="CB81" s="6">
        <f>VLOOKUP(Table1[[#This Row],[Reference]],metron,16,FALSE)</f>
        <v>9.2530160857908843</v>
      </c>
      <c r="CC81" s="6">
        <f>VLOOKUP(Table1[[#This Row],[Reference]],metron,17,FALSE)</f>
        <v>5.9915081521739131</v>
      </c>
      <c r="CD81" s="6">
        <f>VLOOKUP(Table1[[#This Row],[Reference]],metron,18,FALSE)</f>
        <v>3.9772418478260869</v>
      </c>
      <c r="CE81" s="6">
        <f>VLOOKUP(Table1[[#This Row],[Reference]],metron,19,FALSE)</f>
        <v>7.3472988183354664</v>
      </c>
      <c r="CF81" s="6">
        <f>VLOOKUP(Table1[[#This Row],[Reference]],metron,20,FALSE)</f>
        <v>5.2757742379647974</v>
      </c>
      <c r="CG81" s="6">
        <f>VLOOKUP(Table1[[#This Row],[Reference]],metron,21,FALSE)</f>
        <v>12.59428182437032</v>
      </c>
      <c r="CH81" s="6">
        <f>VLOOKUP(Table1[[#This Row],[Reference]],metron,22,FALSE)</f>
        <v>13.577944179714089</v>
      </c>
      <c r="CI81" s="6">
        <f>VLOOKUP(Table1[[#This Row],[Reference]],metron,23,FALSE)</f>
        <v>1.4276913099870301</v>
      </c>
      <c r="CJ81" s="6">
        <f>VLOOKUP(Table1[[#This Row],[Reference]],metron,24,FALSE)</f>
        <v>1.940985732814527</v>
      </c>
      <c r="CK81" s="6">
        <f>VLOOKUP(Table1[[#This Row],[Reference]],metron,25,FALSE)</f>
        <v>8.0739299610894946E-2</v>
      </c>
      <c r="CL81" s="6">
        <f>VLOOKUP(Table1[[#This Row],[Reference]],metron,26,FALSE)</f>
        <v>0.12743190661478601</v>
      </c>
    </row>
    <row r="82" spans="1:90" hidden="1" x14ac:dyDescent="0.45">
      <c r="A82" t="s">
        <v>696</v>
      </c>
      <c r="B82">
        <v>1632276000</v>
      </c>
      <c r="C82" s="23" t="s">
        <v>263</v>
      </c>
      <c r="D82" t="s">
        <v>65</v>
      </c>
      <c r="E82" t="s">
        <v>66</v>
      </c>
      <c r="F82" t="s">
        <v>78</v>
      </c>
      <c r="G82" t="s">
        <v>91</v>
      </c>
      <c r="H82" t="s">
        <v>92</v>
      </c>
      <c r="I82">
        <f>MROUND(Table1[[#This Row],[ProbH]]*100,2)/100</f>
        <v>0.32</v>
      </c>
      <c r="J82">
        <f>1/Table1[[#This Row],[odds_ft_home_team_win]]-Table1[[#This Row],[Margin]]</f>
        <v>0.32410380504754371</v>
      </c>
      <c r="K82">
        <f>1/Table1[[#This Row],[odds_ft_draw]]-Table1[[#This Row],[Margin]]</f>
        <v>0.31805419827198417</v>
      </c>
      <c r="L82">
        <f>1/Table1[[#This Row],[odds_ft_away_team_win]]-Table1[[#This Row],[Margin]]</f>
        <v>0.35784199668047217</v>
      </c>
      <c r="M82">
        <v>14</v>
      </c>
      <c r="N82">
        <v>1</v>
      </c>
      <c r="O82">
        <v>2</v>
      </c>
      <c r="P82">
        <v>0.88</v>
      </c>
      <c r="Q82">
        <v>1.25</v>
      </c>
      <c r="R82" t="str" cm="1">
        <f t="array" ref="R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2">
        <v>1</v>
      </c>
      <c r="T82">
        <v>0</v>
      </c>
      <c r="U82">
        <v>1</v>
      </c>
      <c r="V82">
        <v>1</v>
      </c>
      <c r="W82">
        <v>1</v>
      </c>
      <c r="X82">
        <v>0</v>
      </c>
      <c r="Y82">
        <v>35</v>
      </c>
      <c r="AA82">
        <v>0</v>
      </c>
      <c r="AB82">
        <v>3</v>
      </c>
      <c r="AC82">
        <v>1</v>
      </c>
      <c r="AD82">
        <v>1</v>
      </c>
      <c r="AE82">
        <v>4</v>
      </c>
      <c r="AF82">
        <v>0</v>
      </c>
      <c r="AG82">
        <v>0</v>
      </c>
      <c r="AH82">
        <v>2</v>
      </c>
      <c r="AI82">
        <v>1</v>
      </c>
      <c r="AJ82">
        <v>3</v>
      </c>
      <c r="AK82">
        <v>7</v>
      </c>
      <c r="AL82">
        <v>17</v>
      </c>
      <c r="AM82">
        <v>4</v>
      </c>
      <c r="AN82">
        <v>3</v>
      </c>
      <c r="AO82">
        <v>3</v>
      </c>
      <c r="AP82">
        <v>14</v>
      </c>
      <c r="AQ82">
        <v>3</v>
      </c>
      <c r="AR82">
        <v>14</v>
      </c>
      <c r="AS82">
        <v>46</v>
      </c>
      <c r="AT82">
        <v>54</v>
      </c>
      <c r="AU82">
        <v>0.83</v>
      </c>
      <c r="AV82">
        <v>1.66</v>
      </c>
      <c r="AW82">
        <v>3.38</v>
      </c>
      <c r="AX82">
        <v>100</v>
      </c>
      <c r="AY82">
        <v>100</v>
      </c>
      <c r="AZ82">
        <v>88</v>
      </c>
      <c r="BA82">
        <v>50</v>
      </c>
      <c r="BB82">
        <v>0</v>
      </c>
      <c r="BC82">
        <v>75</v>
      </c>
      <c r="BD82">
        <v>100</v>
      </c>
      <c r="BE82">
        <v>50</v>
      </c>
      <c r="BF82">
        <v>75</v>
      </c>
      <c r="BG82">
        <v>8</v>
      </c>
      <c r="BH82">
        <v>3.75</v>
      </c>
      <c r="BI82">
        <v>2.85</v>
      </c>
      <c r="BJ82">
        <v>2.9</v>
      </c>
      <c r="BK82">
        <v>2.6</v>
      </c>
      <c r="BL82">
        <f>(1/Table1[[#This Row],[odds_ft_home_team_win]]+1/Table1[[#This Row],[odds_ft_draw]]+1/Table1[[#This Row],[odds_ft_away_team_win]]-1)/3</f>
        <v>2.6773387934912424E-2</v>
      </c>
      <c r="BM82">
        <v>1.5</v>
      </c>
      <c r="BN82">
        <v>2.2999999999999998</v>
      </c>
      <c r="BO82">
        <v>4.05</v>
      </c>
      <c r="BP82">
        <v>8</v>
      </c>
      <c r="BQ82">
        <v>2.0499999999999998</v>
      </c>
      <c r="BR82">
        <v>1.77</v>
      </c>
      <c r="BS82" t="s">
        <v>82</v>
      </c>
      <c r="BT82">
        <f>VLOOKUP(Table1[[#This Row],[Reference]],metron,8,FALSE)</f>
        <v>1.274681051426811</v>
      </c>
      <c r="BU82">
        <f>VLOOKUP(Table1[[#This Row],[Reference]],metron,9,FALSE)</f>
        <v>1.4392482240810365</v>
      </c>
      <c r="BV82">
        <f>VLOOKUP(Table1[[#This Row],[Reference]],metron,10,FALSE)</f>
        <v>2.5313454284174597</v>
      </c>
      <c r="BW82">
        <f>VLOOKUP(Table1[[#This Row],[Reference]],metron,11,FALSE)</f>
        <v>1.210167055864918</v>
      </c>
      <c r="BX82">
        <f>VLOOKUP(Table1[[#This Row],[Reference]],metron,12,FALSE)</f>
        <v>1.3211783725525419</v>
      </c>
      <c r="BY82" s="6">
        <f>VLOOKUP(Table1[[#This Row],[Reference]],metron,13,FALSE)</f>
        <v>0.53135669362084459</v>
      </c>
      <c r="BZ82" s="6">
        <f>VLOOKUP(Table1[[#This Row],[Reference]],metron,14,FALSE)</f>
        <v>0.55633423180592989</v>
      </c>
      <c r="CA82" s="6">
        <f>VLOOKUP(Table1[[#This Row],[Reference]],metron,15,FALSE)</f>
        <v>11.21109010712035</v>
      </c>
      <c r="CB82" s="6">
        <f>VLOOKUP(Table1[[#This Row],[Reference]],metron,16,FALSE)</f>
        <v>11.01700787401575</v>
      </c>
      <c r="CC82" s="6">
        <f>VLOOKUP(Table1[[#This Row],[Reference]],metron,17,FALSE)</f>
        <v>4.6792332268370611</v>
      </c>
      <c r="CD82" s="6">
        <f>VLOOKUP(Table1[[#This Row],[Reference]],metron,18,FALSE)</f>
        <v>4.7080804854679013</v>
      </c>
      <c r="CE82" s="6">
        <f>VLOOKUP(Table1[[#This Row],[Reference]],metron,19,FALSE)</f>
        <v>6.5318568802832893</v>
      </c>
      <c r="CF82" s="6">
        <f>VLOOKUP(Table1[[#This Row],[Reference]],metron,20,FALSE)</f>
        <v>6.3089273885478487</v>
      </c>
      <c r="CG82" s="6">
        <f>VLOOKUP(Table1[[#This Row],[Reference]],metron,21,FALSE)</f>
        <v>12.72547770700637</v>
      </c>
      <c r="CH82" s="6">
        <f>VLOOKUP(Table1[[#This Row],[Reference]],metron,22,FALSE)</f>
        <v>13.06847133757962</v>
      </c>
      <c r="CI82" s="6">
        <f>VLOOKUP(Table1[[#This Row],[Reference]],metron,23,FALSE)</f>
        <v>1.6902356902356901</v>
      </c>
      <c r="CJ82" s="6">
        <f>VLOOKUP(Table1[[#This Row],[Reference]],metron,24,FALSE)</f>
        <v>1.8050198959289869</v>
      </c>
      <c r="CK82" s="6">
        <f>VLOOKUP(Table1[[#This Row],[Reference]],metron,25,FALSE)</f>
        <v>0.105907560453015</v>
      </c>
      <c r="CL82" s="6">
        <f>VLOOKUP(Table1[[#This Row],[Reference]],metron,26,FALSE)</f>
        <v>0.1141720232629324</v>
      </c>
    </row>
    <row r="83" spans="1:90" hidden="1" x14ac:dyDescent="0.45">
      <c r="A83" t="s">
        <v>696</v>
      </c>
      <c r="B83">
        <v>1632355560</v>
      </c>
      <c r="C83" s="23" t="s">
        <v>264</v>
      </c>
      <c r="D83" t="s">
        <v>65</v>
      </c>
      <c r="E83" t="s">
        <v>66</v>
      </c>
      <c r="F83" t="s">
        <v>101</v>
      </c>
      <c r="G83" t="s">
        <v>79</v>
      </c>
      <c r="H83" t="s">
        <v>215</v>
      </c>
      <c r="I83">
        <f>MROUND(Table1[[#This Row],[ProbH]]*100,2)/100</f>
        <v>0.66</v>
      </c>
      <c r="J83">
        <f>1/Table1[[#This Row],[odds_ft_home_team_win]]-Table1[[#This Row],[Margin]]</f>
        <v>0.66805659592176447</v>
      </c>
      <c r="K83">
        <f>1/Table1[[#This Row],[odds_ft_draw]]-Table1[[#This Row],[Margin]]</f>
        <v>0.19833125260091553</v>
      </c>
      <c r="L83">
        <f>1/Table1[[#This Row],[odds_ft_away_team_win]]-Table1[[#This Row],[Margin]]</f>
        <v>0.13361215147732003</v>
      </c>
      <c r="M83">
        <v>11</v>
      </c>
      <c r="N83">
        <v>2.2000000000000002</v>
      </c>
      <c r="O83">
        <v>2</v>
      </c>
      <c r="P83">
        <v>1.79</v>
      </c>
      <c r="Q83">
        <v>1.29</v>
      </c>
      <c r="R83" t="str" cm="1">
        <f t="array" ref="R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3">
        <v>2</v>
      </c>
      <c r="T83">
        <v>0</v>
      </c>
      <c r="U83">
        <v>2</v>
      </c>
      <c r="V83">
        <v>1</v>
      </c>
      <c r="W83">
        <v>1</v>
      </c>
      <c r="X83">
        <v>0</v>
      </c>
      <c r="Y83" t="s">
        <v>265</v>
      </c>
      <c r="AA83">
        <v>6</v>
      </c>
      <c r="AB83">
        <v>4</v>
      </c>
      <c r="AC83">
        <v>3</v>
      </c>
      <c r="AD83">
        <v>0</v>
      </c>
      <c r="AE83">
        <v>7</v>
      </c>
      <c r="AF83">
        <v>0</v>
      </c>
      <c r="AG83">
        <v>0</v>
      </c>
      <c r="AH83">
        <v>3</v>
      </c>
      <c r="AI83">
        <v>2</v>
      </c>
      <c r="AJ83">
        <v>5</v>
      </c>
      <c r="AK83">
        <v>17</v>
      </c>
      <c r="AL83">
        <v>15</v>
      </c>
      <c r="AM83">
        <v>6</v>
      </c>
      <c r="AN83">
        <v>6</v>
      </c>
      <c r="AO83">
        <v>11</v>
      </c>
      <c r="AP83">
        <v>9</v>
      </c>
      <c r="AQ83">
        <v>15</v>
      </c>
      <c r="AR83">
        <v>13</v>
      </c>
      <c r="AS83">
        <v>50</v>
      </c>
      <c r="AT83">
        <v>50</v>
      </c>
      <c r="AU83">
        <v>1.78</v>
      </c>
      <c r="AV83">
        <v>1.64</v>
      </c>
      <c r="AW83">
        <v>2.2999999999999998</v>
      </c>
      <c r="AX83">
        <v>40</v>
      </c>
      <c r="AY83">
        <v>80</v>
      </c>
      <c r="AZ83">
        <v>40</v>
      </c>
      <c r="BA83">
        <v>30</v>
      </c>
      <c r="BB83">
        <v>0</v>
      </c>
      <c r="BC83">
        <v>30</v>
      </c>
      <c r="BD83">
        <v>70</v>
      </c>
      <c r="BE83">
        <v>30</v>
      </c>
      <c r="BF83">
        <v>80</v>
      </c>
      <c r="BG83">
        <v>7.2</v>
      </c>
      <c r="BH83">
        <v>3.6</v>
      </c>
      <c r="BI83">
        <v>1.44</v>
      </c>
      <c r="BJ83">
        <v>4.45</v>
      </c>
      <c r="BK83">
        <v>6.25</v>
      </c>
      <c r="BL83">
        <f>(1/Table1[[#This Row],[odds_ft_home_team_win]]+1/Table1[[#This Row],[odds_ft_draw]]+1/Table1[[#This Row],[odds_ft_away_team_win]]-1)/3</f>
        <v>2.6387848522679985E-2</v>
      </c>
      <c r="BM83">
        <v>1.2</v>
      </c>
      <c r="BN83">
        <v>1.62</v>
      </c>
      <c r="BO83">
        <v>2.7</v>
      </c>
      <c r="BP83">
        <v>4.75</v>
      </c>
      <c r="BQ83">
        <v>1.91</v>
      </c>
      <c r="BR83">
        <v>1.87</v>
      </c>
      <c r="BS83" t="s">
        <v>104</v>
      </c>
      <c r="BT83">
        <f>VLOOKUP(Table1[[#This Row],[Reference]],metron,8,FALSE)</f>
        <v>2.2311424831798083</v>
      </c>
      <c r="BU83">
        <f>VLOOKUP(Table1[[#This Row],[Reference]],metron,9,FALSE)</f>
        <v>0.55281092137037047</v>
      </c>
      <c r="BV83">
        <f>VLOOKUP(Table1[[#This Row],[Reference]],metron,10,FALSE)</f>
        <v>2.9251336898395728</v>
      </c>
      <c r="BW83">
        <f>VLOOKUP(Table1[[#This Row],[Reference]],metron,11,FALSE)</f>
        <v>2.089675030851502</v>
      </c>
      <c r="BX83">
        <f>VLOOKUP(Table1[[#This Row],[Reference]],metron,12,FALSE)</f>
        <v>0.8354586589880707</v>
      </c>
      <c r="BY83" s="6">
        <f>VLOOKUP(Table1[[#This Row],[Reference]],metron,13,FALSE)</f>
        <v>0.92472233648704238</v>
      </c>
      <c r="BZ83" s="6">
        <f>VLOOKUP(Table1[[#This Row],[Reference]],metron,14,FALSE)</f>
        <v>0.35252982311805842</v>
      </c>
      <c r="CA83" s="6">
        <f>VLOOKUP(Table1[[#This Row],[Reference]],metron,15,FALSE)</f>
        <v>15.366666666666671</v>
      </c>
      <c r="CB83" s="6">
        <f>VLOOKUP(Table1[[#This Row],[Reference]],metron,16,FALSE)</f>
        <v>8.5234848484848484</v>
      </c>
      <c r="CC83" s="6">
        <f>VLOOKUP(Table1[[#This Row],[Reference]],metron,17,FALSE)</f>
        <v>6.6873065015479876</v>
      </c>
      <c r="CD83" s="6">
        <f>VLOOKUP(Table1[[#This Row],[Reference]],metron,18,FALSE)</f>
        <v>3.3490712074303399</v>
      </c>
      <c r="CE83" s="6">
        <f>VLOOKUP(Table1[[#This Row],[Reference]],metron,19,FALSE)</f>
        <v>8.679360165118684</v>
      </c>
      <c r="CF83" s="6">
        <f>VLOOKUP(Table1[[#This Row],[Reference]],metron,20,FALSE)</f>
        <v>5.1744136410545085</v>
      </c>
      <c r="CG83" s="6">
        <f>VLOOKUP(Table1[[#This Row],[Reference]],metron,21,FALSE)</f>
        <v>12.62384615384615</v>
      </c>
      <c r="CH83" s="6">
        <f>VLOOKUP(Table1[[#This Row],[Reference]],metron,22,FALSE)</f>
        <v>13.844615384615381</v>
      </c>
      <c r="CI83" s="6">
        <f>VLOOKUP(Table1[[#This Row],[Reference]],metron,23,FALSE)</f>
        <v>1.369710467706013</v>
      </c>
      <c r="CJ83" s="6">
        <f>VLOOKUP(Table1[[#This Row],[Reference]],metron,24,FALSE)</f>
        <v>2.0920564216778019</v>
      </c>
      <c r="CK83" s="6">
        <f>VLOOKUP(Table1[[#This Row],[Reference]],metron,25,FALSE)</f>
        <v>7.126948775055679E-2</v>
      </c>
      <c r="CL83" s="6">
        <f>VLOOKUP(Table1[[#This Row],[Reference]],metron,26,FALSE)</f>
        <v>0.13214550853749071</v>
      </c>
    </row>
    <row r="84" spans="1:90" hidden="1" x14ac:dyDescent="0.45">
      <c r="A84" t="s">
        <v>696</v>
      </c>
      <c r="B84">
        <v>1632448800</v>
      </c>
      <c r="C84" s="23" t="s">
        <v>266</v>
      </c>
      <c r="D84" t="s">
        <v>65</v>
      </c>
      <c r="E84" t="s">
        <v>66</v>
      </c>
      <c r="F84" t="s">
        <v>84</v>
      </c>
      <c r="G84" t="s">
        <v>72</v>
      </c>
      <c r="H84" t="s">
        <v>74</v>
      </c>
      <c r="I84">
        <f>MROUND(Table1[[#This Row],[ProbH]]*100,2)/100</f>
        <v>0.5</v>
      </c>
      <c r="J84">
        <f>1/Table1[[#This Row],[odds_ft_home_team_win]]-Table1[[#This Row],[Margin]]</f>
        <v>0.5079103902633314</v>
      </c>
      <c r="K84">
        <f>1/Table1[[#This Row],[odds_ft_draw]]-Table1[[#This Row],[Margin]]</f>
        <v>0.28084333966686909</v>
      </c>
      <c r="L84">
        <f>1/Table1[[#This Row],[odds_ft_away_team_win]]-Table1[[#This Row],[Margin]]</f>
        <v>0.21124627006979949</v>
      </c>
      <c r="M84">
        <v>10</v>
      </c>
      <c r="N84">
        <v>1</v>
      </c>
      <c r="O84">
        <v>0.75</v>
      </c>
      <c r="P84">
        <v>1.89</v>
      </c>
      <c r="Q84">
        <v>1.28</v>
      </c>
      <c r="R84" t="str" cm="1">
        <f t="array" ref="R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4">
        <v>1</v>
      </c>
      <c r="T84">
        <v>0</v>
      </c>
      <c r="U84">
        <v>1</v>
      </c>
      <c r="V84">
        <v>1</v>
      </c>
      <c r="W84">
        <v>1</v>
      </c>
      <c r="X84">
        <v>0</v>
      </c>
      <c r="Y84">
        <v>15</v>
      </c>
      <c r="AA84">
        <v>3</v>
      </c>
      <c r="AB84">
        <v>8</v>
      </c>
      <c r="AC84">
        <v>3</v>
      </c>
      <c r="AD84">
        <v>0</v>
      </c>
      <c r="AE84">
        <v>3</v>
      </c>
      <c r="AF84">
        <v>0</v>
      </c>
      <c r="AG84">
        <v>1</v>
      </c>
      <c r="AH84">
        <v>2</v>
      </c>
      <c r="AI84">
        <v>1</v>
      </c>
      <c r="AJ84">
        <v>2</v>
      </c>
      <c r="AK84">
        <v>11</v>
      </c>
      <c r="AL84">
        <v>12</v>
      </c>
      <c r="AM84">
        <v>3</v>
      </c>
      <c r="AN84">
        <v>5</v>
      </c>
      <c r="AO84">
        <v>8</v>
      </c>
      <c r="AP84">
        <v>7</v>
      </c>
      <c r="AQ84">
        <v>9</v>
      </c>
      <c r="AR84">
        <v>20</v>
      </c>
      <c r="AS84">
        <v>52</v>
      </c>
      <c r="AT84">
        <v>48</v>
      </c>
      <c r="AU84">
        <v>1.2</v>
      </c>
      <c r="AV84">
        <v>1.49</v>
      </c>
      <c r="AW84">
        <v>2.71</v>
      </c>
      <c r="AX84">
        <v>42</v>
      </c>
      <c r="AY84">
        <v>84</v>
      </c>
      <c r="AZ84">
        <v>71</v>
      </c>
      <c r="BA84">
        <v>17</v>
      </c>
      <c r="BB84">
        <v>0</v>
      </c>
      <c r="BC84">
        <v>29</v>
      </c>
      <c r="BD84">
        <v>84</v>
      </c>
      <c r="BE84">
        <v>42</v>
      </c>
      <c r="BF84">
        <v>84</v>
      </c>
      <c r="BG84">
        <v>7.58</v>
      </c>
      <c r="BH84">
        <v>4.83</v>
      </c>
      <c r="BI84">
        <v>1.87</v>
      </c>
      <c r="BJ84">
        <v>3.25</v>
      </c>
      <c r="BK84">
        <v>4.2</v>
      </c>
      <c r="BL84">
        <f>(1/Table1[[#This Row],[odds_ft_home_team_win]]+1/Table1[[#This Row],[odds_ft_draw]]+1/Table1[[#This Row],[odds_ft_away_team_win]]-1)/3</f>
        <v>2.6848968025438607E-2</v>
      </c>
      <c r="BM84">
        <v>1.39</v>
      </c>
      <c r="BN84">
        <v>2.1</v>
      </c>
      <c r="BO84">
        <v>3.5</v>
      </c>
      <c r="BP84">
        <v>6.75</v>
      </c>
      <c r="BQ84">
        <v>1.95</v>
      </c>
      <c r="BR84">
        <v>1.83</v>
      </c>
      <c r="BS84" t="s">
        <v>88</v>
      </c>
      <c r="BT84">
        <f>VLOOKUP(Table1[[#This Row],[Reference]],metron,8,FALSE)</f>
        <v>1.8001937313313046</v>
      </c>
      <c r="BU84">
        <f>VLOOKUP(Table1[[#This Row],[Reference]],metron,9,FALSE)</f>
        <v>0.9268512077832276</v>
      </c>
      <c r="BV84">
        <f>VLOOKUP(Table1[[#This Row],[Reference]],metron,10,FALSE)</f>
        <v>2.5202079886551649</v>
      </c>
      <c r="BW84">
        <f>VLOOKUP(Table1[[#This Row],[Reference]],metron,11,FALSE)</f>
        <v>1.5342708579532029</v>
      </c>
      <c r="BX84">
        <f>VLOOKUP(Table1[[#This Row],[Reference]],metron,12,FALSE)</f>
        <v>0.98593713070196176</v>
      </c>
      <c r="BY84" s="6">
        <f>VLOOKUP(Table1[[#This Row],[Reference]],metron,13,FALSE)</f>
        <v>0.67513590167809023</v>
      </c>
      <c r="BZ84" s="6">
        <f>VLOOKUP(Table1[[#This Row],[Reference]],metron,14,FALSE)</f>
        <v>0.4286727337194185</v>
      </c>
      <c r="CA84" s="6">
        <f>VLOOKUP(Table1[[#This Row],[Reference]],metron,15,FALSE)</f>
        <v>12.98669114272602</v>
      </c>
      <c r="CB84" s="6">
        <f>VLOOKUP(Table1[[#This Row],[Reference]],metron,16,FALSE)</f>
        <v>9.4167049105094076</v>
      </c>
      <c r="CC84" s="6">
        <f>VLOOKUP(Table1[[#This Row],[Reference]],metron,17,FALSE)</f>
        <v>5.6645716945996272</v>
      </c>
      <c r="CD84" s="6">
        <f>VLOOKUP(Table1[[#This Row],[Reference]],metron,18,FALSE)</f>
        <v>4.0242085661080074</v>
      </c>
      <c r="CE84" s="6">
        <f>VLOOKUP(Table1[[#This Row],[Reference]],metron,19,FALSE)</f>
        <v>7.3221194481263927</v>
      </c>
      <c r="CF84" s="6">
        <f>VLOOKUP(Table1[[#This Row],[Reference]],metron,20,FALSE)</f>
        <v>5.3924963444014002</v>
      </c>
      <c r="CG84" s="6">
        <f>VLOOKUP(Table1[[#This Row],[Reference]],metron,21,FALSE)</f>
        <v>12.508162313432839</v>
      </c>
      <c r="CH84" s="6">
        <f>VLOOKUP(Table1[[#This Row],[Reference]],metron,22,FALSE)</f>
        <v>13.36963619402985</v>
      </c>
      <c r="CI84" s="6">
        <f>VLOOKUP(Table1[[#This Row],[Reference]],metron,23,FALSE)</f>
        <v>1.4438014689517029</v>
      </c>
      <c r="CJ84" s="6">
        <f>VLOOKUP(Table1[[#This Row],[Reference]],metron,24,FALSE)</f>
        <v>1.9410193634542621</v>
      </c>
      <c r="CK84" s="6">
        <f>VLOOKUP(Table1[[#This Row],[Reference]],metron,25,FALSE)</f>
        <v>8.4130870242599604E-2</v>
      </c>
      <c r="CL84" s="6">
        <f>VLOOKUP(Table1[[#This Row],[Reference]],metron,26,FALSE)</f>
        <v>0.1275317160026708</v>
      </c>
    </row>
    <row r="85" spans="1:90" hidden="1" x14ac:dyDescent="0.45">
      <c r="A85" t="s">
        <v>696</v>
      </c>
      <c r="B85">
        <v>1632531600</v>
      </c>
      <c r="C85" s="23" t="s">
        <v>267</v>
      </c>
      <c r="D85" t="s">
        <v>65</v>
      </c>
      <c r="E85" t="s">
        <v>66</v>
      </c>
      <c r="F85" t="s">
        <v>102</v>
      </c>
      <c r="G85" t="s">
        <v>112</v>
      </c>
      <c r="H85" t="s">
        <v>103</v>
      </c>
      <c r="I85">
        <f>MROUND(Table1[[#This Row],[ProbH]]*100,2)/100</f>
        <v>0.32</v>
      </c>
      <c r="J85">
        <f>1/Table1[[#This Row],[odds_ft_home_team_win]]-Table1[[#This Row],[Margin]]</f>
        <v>0.31605285792477916</v>
      </c>
      <c r="K85">
        <f>1/Table1[[#This Row],[odds_ft_draw]]-Table1[[#This Row],[Margin]]</f>
        <v>0.3045586050512159</v>
      </c>
      <c r="L85">
        <f>1/Table1[[#This Row],[odds_ft_away_team_win]]-Table1[[#This Row],[Margin]]</f>
        <v>0.37938853702400499</v>
      </c>
      <c r="M85">
        <v>10</v>
      </c>
      <c r="N85">
        <v>1.25</v>
      </c>
      <c r="O85">
        <v>1.25</v>
      </c>
      <c r="P85">
        <v>1.38</v>
      </c>
      <c r="Q85">
        <v>1.5</v>
      </c>
      <c r="R85" t="str" cm="1">
        <f t="array" ref="R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5">
        <v>1</v>
      </c>
      <c r="T85">
        <v>1</v>
      </c>
      <c r="U85">
        <v>2</v>
      </c>
      <c r="V85">
        <v>2</v>
      </c>
      <c r="W85">
        <v>1</v>
      </c>
      <c r="X85">
        <v>1</v>
      </c>
      <c r="Y85">
        <v>13</v>
      </c>
      <c r="Z85">
        <v>38</v>
      </c>
      <c r="AA85">
        <v>4</v>
      </c>
      <c r="AB85">
        <v>6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18</v>
      </c>
      <c r="AL85">
        <v>17</v>
      </c>
      <c r="AM85">
        <v>5</v>
      </c>
      <c r="AN85">
        <v>2</v>
      </c>
      <c r="AO85">
        <v>13</v>
      </c>
      <c r="AP85">
        <v>15</v>
      </c>
      <c r="AQ85">
        <v>13</v>
      </c>
      <c r="AR85">
        <v>3</v>
      </c>
      <c r="AS85">
        <v>46</v>
      </c>
      <c r="AT85">
        <v>54</v>
      </c>
      <c r="AU85">
        <v>1.8</v>
      </c>
      <c r="AV85">
        <v>1.6</v>
      </c>
      <c r="AW85">
        <v>2.13</v>
      </c>
      <c r="AX85">
        <v>63</v>
      </c>
      <c r="AY85">
        <v>75</v>
      </c>
      <c r="AZ85">
        <v>38</v>
      </c>
      <c r="BA85">
        <v>13</v>
      </c>
      <c r="BB85">
        <v>0</v>
      </c>
      <c r="BC85">
        <v>25</v>
      </c>
      <c r="BD85">
        <v>50</v>
      </c>
      <c r="BE85">
        <v>38</v>
      </c>
      <c r="BF85">
        <v>75</v>
      </c>
      <c r="BG85">
        <v>9</v>
      </c>
      <c r="BH85">
        <v>4.5</v>
      </c>
      <c r="BI85">
        <v>2.9</v>
      </c>
      <c r="BJ85">
        <v>3</v>
      </c>
      <c r="BK85">
        <v>2.4500000000000002</v>
      </c>
      <c r="BL85">
        <f>(1/Table1[[#This Row],[odds_ft_home_team_win]]+1/Table1[[#This Row],[odds_ft_draw]]+1/Table1[[#This Row],[odds_ft_away_team_win]]-1)/3</f>
        <v>2.877472828211743E-2</v>
      </c>
      <c r="BM85">
        <v>1.44</v>
      </c>
      <c r="BN85">
        <v>2.2000000000000002</v>
      </c>
      <c r="BO85">
        <v>3.7</v>
      </c>
      <c r="BP85">
        <v>7</v>
      </c>
      <c r="BQ85">
        <v>1.95</v>
      </c>
      <c r="BR85">
        <v>1.83</v>
      </c>
      <c r="BS85" t="s">
        <v>124</v>
      </c>
      <c r="BT85">
        <f>VLOOKUP(Table1[[#This Row],[Reference]],metron,8,FALSE)</f>
        <v>1.274681051426811</v>
      </c>
      <c r="BU85">
        <f>VLOOKUP(Table1[[#This Row],[Reference]],metron,9,FALSE)</f>
        <v>1.4392482240810365</v>
      </c>
      <c r="BV85">
        <f>VLOOKUP(Table1[[#This Row],[Reference]],metron,10,FALSE)</f>
        <v>2.5313454284174597</v>
      </c>
      <c r="BW85">
        <f>VLOOKUP(Table1[[#This Row],[Reference]],metron,11,FALSE)</f>
        <v>1.210167055864918</v>
      </c>
      <c r="BX85">
        <f>VLOOKUP(Table1[[#This Row],[Reference]],metron,12,FALSE)</f>
        <v>1.3211783725525419</v>
      </c>
      <c r="BY85" s="6">
        <f>VLOOKUP(Table1[[#This Row],[Reference]],metron,13,FALSE)</f>
        <v>0.53135669362084459</v>
      </c>
      <c r="BZ85" s="6">
        <f>VLOOKUP(Table1[[#This Row],[Reference]],metron,14,FALSE)</f>
        <v>0.55633423180592989</v>
      </c>
      <c r="CA85" s="6">
        <f>VLOOKUP(Table1[[#This Row],[Reference]],metron,15,FALSE)</f>
        <v>11.21109010712035</v>
      </c>
      <c r="CB85" s="6">
        <f>VLOOKUP(Table1[[#This Row],[Reference]],metron,16,FALSE)</f>
        <v>11.01700787401575</v>
      </c>
      <c r="CC85" s="6">
        <f>VLOOKUP(Table1[[#This Row],[Reference]],metron,17,FALSE)</f>
        <v>4.6792332268370611</v>
      </c>
      <c r="CD85" s="6">
        <f>VLOOKUP(Table1[[#This Row],[Reference]],metron,18,FALSE)</f>
        <v>4.7080804854679013</v>
      </c>
      <c r="CE85" s="6">
        <f>VLOOKUP(Table1[[#This Row],[Reference]],metron,19,FALSE)</f>
        <v>6.5318568802832893</v>
      </c>
      <c r="CF85" s="6">
        <f>VLOOKUP(Table1[[#This Row],[Reference]],metron,20,FALSE)</f>
        <v>6.3089273885478487</v>
      </c>
      <c r="CG85" s="6">
        <f>VLOOKUP(Table1[[#This Row],[Reference]],metron,21,FALSE)</f>
        <v>12.72547770700637</v>
      </c>
      <c r="CH85" s="6">
        <f>VLOOKUP(Table1[[#This Row],[Reference]],metron,22,FALSE)</f>
        <v>13.06847133757962</v>
      </c>
      <c r="CI85" s="6">
        <f>VLOOKUP(Table1[[#This Row],[Reference]],metron,23,FALSE)</f>
        <v>1.6902356902356901</v>
      </c>
      <c r="CJ85" s="6">
        <f>VLOOKUP(Table1[[#This Row],[Reference]],metron,24,FALSE)</f>
        <v>1.8050198959289869</v>
      </c>
      <c r="CK85" s="6">
        <f>VLOOKUP(Table1[[#This Row],[Reference]],metron,25,FALSE)</f>
        <v>0.105907560453015</v>
      </c>
      <c r="CL85" s="6">
        <f>VLOOKUP(Table1[[#This Row],[Reference]],metron,26,FALSE)</f>
        <v>0.1141720232629324</v>
      </c>
    </row>
    <row r="86" spans="1:90" hidden="1" x14ac:dyDescent="0.45">
      <c r="A86" t="s">
        <v>696</v>
      </c>
      <c r="B86">
        <v>1632535560</v>
      </c>
      <c r="C86" s="23" t="s">
        <v>268</v>
      </c>
      <c r="D86" t="s">
        <v>65</v>
      </c>
      <c r="E86" t="s">
        <v>66</v>
      </c>
      <c r="F86" t="s">
        <v>106</v>
      </c>
      <c r="G86" t="s">
        <v>113</v>
      </c>
      <c r="H86" t="s">
        <v>133</v>
      </c>
      <c r="I86">
        <f>MROUND(Table1[[#This Row],[ProbH]]*100,2)/100</f>
        <v>0.5</v>
      </c>
      <c r="J86">
        <f>1/Table1[[#This Row],[odds_ft_home_team_win]]-Table1[[#This Row],[Margin]]</f>
        <v>0.50775112923450516</v>
      </c>
      <c r="K86">
        <f>1/Table1[[#This Row],[odds_ft_draw]]-Table1[[#This Row],[Margin]]</f>
        <v>0.26284684340950332</v>
      </c>
      <c r="L86">
        <f>1/Table1[[#This Row],[odds_ft_away_team_win]]-Table1[[#This Row],[Margin]]</f>
        <v>0.22940202735599163</v>
      </c>
      <c r="M86">
        <v>10</v>
      </c>
      <c r="N86">
        <v>1</v>
      </c>
      <c r="O86">
        <v>1</v>
      </c>
      <c r="P86">
        <v>1.35</v>
      </c>
      <c r="Q86">
        <v>0.72</v>
      </c>
      <c r="R86" t="str" cm="1">
        <f t="array" ref="R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AA86">
        <v>2</v>
      </c>
      <c r="AB86">
        <v>3</v>
      </c>
      <c r="AC86">
        <v>2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9</v>
      </c>
      <c r="AL86">
        <v>7</v>
      </c>
      <c r="AM86">
        <v>4</v>
      </c>
      <c r="AN86">
        <v>2</v>
      </c>
      <c r="AO86">
        <v>5</v>
      </c>
      <c r="AP86">
        <v>5</v>
      </c>
      <c r="AQ86">
        <v>12</v>
      </c>
      <c r="AR86">
        <v>13</v>
      </c>
      <c r="AS86">
        <v>58</v>
      </c>
      <c r="AT86">
        <v>42</v>
      </c>
      <c r="AU86">
        <v>1.19</v>
      </c>
      <c r="AV86">
        <v>0.93</v>
      </c>
      <c r="AW86">
        <v>2.78</v>
      </c>
      <c r="AX86">
        <v>53</v>
      </c>
      <c r="AY86">
        <v>100</v>
      </c>
      <c r="AZ86">
        <v>55</v>
      </c>
      <c r="BA86">
        <v>23</v>
      </c>
      <c r="BB86">
        <v>0</v>
      </c>
      <c r="BC86">
        <v>23</v>
      </c>
      <c r="BD86">
        <v>100</v>
      </c>
      <c r="BE86">
        <v>33</v>
      </c>
      <c r="BF86">
        <v>88</v>
      </c>
      <c r="BG86">
        <v>9.25</v>
      </c>
      <c r="BH86">
        <v>4.7</v>
      </c>
      <c r="BI86">
        <v>1.87</v>
      </c>
      <c r="BJ86">
        <v>3.45</v>
      </c>
      <c r="BK86">
        <v>3.9</v>
      </c>
      <c r="BL86">
        <f>(1/Table1[[#This Row],[odds_ft_home_team_win]]+1/Table1[[#This Row],[odds_ft_draw]]+1/Table1[[#This Row],[odds_ft_away_team_win]]-1)/3</f>
        <v>2.700822905426481E-2</v>
      </c>
      <c r="BM86">
        <v>1.34</v>
      </c>
      <c r="BN86">
        <v>1.95</v>
      </c>
      <c r="BO86">
        <v>3.2</v>
      </c>
      <c r="BP86">
        <v>6</v>
      </c>
      <c r="BQ86">
        <v>1.87</v>
      </c>
      <c r="BR86">
        <v>1.91</v>
      </c>
      <c r="BS86" t="s">
        <v>110</v>
      </c>
      <c r="BT86">
        <f>VLOOKUP(Table1[[#This Row],[Reference]],metron,8,FALSE)</f>
        <v>1.8001937313313046</v>
      </c>
      <c r="BU86">
        <f>VLOOKUP(Table1[[#This Row],[Reference]],metron,9,FALSE)</f>
        <v>0.9268512077832276</v>
      </c>
      <c r="BV86">
        <f>VLOOKUP(Table1[[#This Row],[Reference]],metron,10,FALSE)</f>
        <v>2.5202079886551649</v>
      </c>
      <c r="BW86">
        <f>VLOOKUP(Table1[[#This Row],[Reference]],metron,11,FALSE)</f>
        <v>1.5342708579532029</v>
      </c>
      <c r="BX86">
        <f>VLOOKUP(Table1[[#This Row],[Reference]],metron,12,FALSE)</f>
        <v>0.98593713070196176</v>
      </c>
      <c r="BY86" s="6">
        <f>VLOOKUP(Table1[[#This Row],[Reference]],metron,13,FALSE)</f>
        <v>0.67513590167809023</v>
      </c>
      <c r="BZ86" s="6">
        <f>VLOOKUP(Table1[[#This Row],[Reference]],metron,14,FALSE)</f>
        <v>0.4286727337194185</v>
      </c>
      <c r="CA86" s="6">
        <f>VLOOKUP(Table1[[#This Row],[Reference]],metron,15,FALSE)</f>
        <v>12.98669114272602</v>
      </c>
      <c r="CB86" s="6">
        <f>VLOOKUP(Table1[[#This Row],[Reference]],metron,16,FALSE)</f>
        <v>9.4167049105094076</v>
      </c>
      <c r="CC86" s="6">
        <f>VLOOKUP(Table1[[#This Row],[Reference]],metron,17,FALSE)</f>
        <v>5.6645716945996272</v>
      </c>
      <c r="CD86" s="6">
        <f>VLOOKUP(Table1[[#This Row],[Reference]],metron,18,FALSE)</f>
        <v>4.0242085661080074</v>
      </c>
      <c r="CE86" s="6">
        <f>VLOOKUP(Table1[[#This Row],[Reference]],metron,19,FALSE)</f>
        <v>7.3221194481263927</v>
      </c>
      <c r="CF86" s="6">
        <f>VLOOKUP(Table1[[#This Row],[Reference]],metron,20,FALSE)</f>
        <v>5.3924963444014002</v>
      </c>
      <c r="CG86" s="6">
        <f>VLOOKUP(Table1[[#This Row],[Reference]],metron,21,FALSE)</f>
        <v>12.508162313432839</v>
      </c>
      <c r="CH86" s="6">
        <f>VLOOKUP(Table1[[#This Row],[Reference]],metron,22,FALSE)</f>
        <v>13.36963619402985</v>
      </c>
      <c r="CI86" s="6">
        <f>VLOOKUP(Table1[[#This Row],[Reference]],metron,23,FALSE)</f>
        <v>1.4438014689517029</v>
      </c>
      <c r="CJ86" s="6">
        <f>VLOOKUP(Table1[[#This Row],[Reference]],metron,24,FALSE)</f>
        <v>1.9410193634542621</v>
      </c>
      <c r="CK86" s="6">
        <f>VLOOKUP(Table1[[#This Row],[Reference]],metron,25,FALSE)</f>
        <v>8.4130870242599604E-2</v>
      </c>
      <c r="CL86" s="6">
        <f>VLOOKUP(Table1[[#This Row],[Reference]],metron,26,FALSE)</f>
        <v>0.1275317160026708</v>
      </c>
    </row>
    <row r="87" spans="1:90" hidden="1" x14ac:dyDescent="0.45">
      <c r="A87" t="s">
        <v>696</v>
      </c>
      <c r="B87">
        <v>1632607200</v>
      </c>
      <c r="C87" s="23" t="s">
        <v>269</v>
      </c>
      <c r="D87" t="s">
        <v>65</v>
      </c>
      <c r="E87" t="s">
        <v>66</v>
      </c>
      <c r="F87" t="s">
        <v>97</v>
      </c>
      <c r="G87" t="s">
        <v>85</v>
      </c>
      <c r="H87" t="s">
        <v>80</v>
      </c>
      <c r="I87">
        <f>MROUND(Table1[[#This Row],[ProbH]]*100,2)/100</f>
        <v>0.38</v>
      </c>
      <c r="J87">
        <f>1/Table1[[#This Row],[odds_ft_home_team_win]]-Table1[[#This Row],[Margin]]</f>
        <v>0.38833194096351992</v>
      </c>
      <c r="K87">
        <f>1/Table1[[#This Row],[odds_ft_draw]]-Table1[[#This Row],[Margin]]</f>
        <v>0.28912559175717067</v>
      </c>
      <c r="L87">
        <f>1/Table1[[#This Row],[odds_ft_away_team_win]]-Table1[[#This Row],[Margin]]</f>
        <v>0.32254246727930935</v>
      </c>
      <c r="M87">
        <v>10</v>
      </c>
      <c r="N87">
        <v>1.75</v>
      </c>
      <c r="O87">
        <v>1.75</v>
      </c>
      <c r="P87">
        <v>1.55</v>
      </c>
      <c r="Q87">
        <v>1.4</v>
      </c>
      <c r="R87" t="str" cm="1">
        <f t="array" ref="R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7">
        <v>2</v>
      </c>
      <c r="T87">
        <v>0</v>
      </c>
      <c r="U87">
        <v>2</v>
      </c>
      <c r="V87">
        <v>1</v>
      </c>
      <c r="W87">
        <v>1</v>
      </c>
      <c r="X87">
        <v>0</v>
      </c>
      <c r="Y87" t="s">
        <v>270</v>
      </c>
      <c r="AA87">
        <v>2</v>
      </c>
      <c r="AB87">
        <v>10</v>
      </c>
      <c r="AC87">
        <v>5</v>
      </c>
      <c r="AD87">
        <v>0</v>
      </c>
      <c r="AE87">
        <v>4</v>
      </c>
      <c r="AF87">
        <v>0</v>
      </c>
      <c r="AG87">
        <v>2</v>
      </c>
      <c r="AH87">
        <v>3</v>
      </c>
      <c r="AI87">
        <v>2</v>
      </c>
      <c r="AJ87">
        <v>2</v>
      </c>
      <c r="AK87">
        <v>11</v>
      </c>
      <c r="AL87">
        <v>9</v>
      </c>
      <c r="AM87">
        <v>7</v>
      </c>
      <c r="AN87">
        <v>0</v>
      </c>
      <c r="AO87">
        <v>4</v>
      </c>
      <c r="AP87">
        <v>9</v>
      </c>
      <c r="AQ87">
        <v>11</v>
      </c>
      <c r="AR87">
        <v>7</v>
      </c>
      <c r="AS87">
        <v>29</v>
      </c>
      <c r="AT87">
        <v>71</v>
      </c>
      <c r="AU87">
        <v>1.4</v>
      </c>
      <c r="AV87">
        <v>1</v>
      </c>
      <c r="AW87">
        <v>2.25</v>
      </c>
      <c r="AX87">
        <v>25</v>
      </c>
      <c r="AY87">
        <v>63</v>
      </c>
      <c r="AZ87">
        <v>50</v>
      </c>
      <c r="BA87">
        <v>25</v>
      </c>
      <c r="BB87">
        <v>0</v>
      </c>
      <c r="BC87">
        <v>13</v>
      </c>
      <c r="BD87">
        <v>50</v>
      </c>
      <c r="BE87">
        <v>50</v>
      </c>
      <c r="BF87">
        <v>75</v>
      </c>
      <c r="BG87">
        <v>8</v>
      </c>
      <c r="BH87">
        <v>3.25</v>
      </c>
      <c r="BI87">
        <v>2.4</v>
      </c>
      <c r="BJ87">
        <v>3.15</v>
      </c>
      <c r="BK87">
        <v>2.85</v>
      </c>
      <c r="BL87">
        <f>(1/Table1[[#This Row],[odds_ft_home_team_win]]+1/Table1[[#This Row],[odds_ft_draw]]+1/Table1[[#This Row],[odds_ft_away_team_win]]-1)/3</f>
        <v>2.8334725703146768E-2</v>
      </c>
      <c r="BM87">
        <v>1.42</v>
      </c>
      <c r="BN87">
        <v>2.15</v>
      </c>
      <c r="BO87">
        <v>3.6</v>
      </c>
      <c r="BP87">
        <v>7</v>
      </c>
      <c r="BQ87">
        <v>1.95</v>
      </c>
      <c r="BR87">
        <v>1.83</v>
      </c>
      <c r="BS87" t="s">
        <v>136</v>
      </c>
      <c r="BT87">
        <f>VLOOKUP(Table1[[#This Row],[Reference]],metron,8,FALSE)</f>
        <v>1.464160929441638</v>
      </c>
      <c r="BU87">
        <f>VLOOKUP(Table1[[#This Row],[Reference]],metron,9,FALSE)</f>
        <v>1.2477119808919459</v>
      </c>
      <c r="BV87">
        <f>VLOOKUP(Table1[[#This Row],[Reference]],metron,10,FALSE)</f>
        <v>2.4900895140664963</v>
      </c>
      <c r="BW87">
        <f>VLOOKUP(Table1[[#This Row],[Reference]],metron,11,FALSE)</f>
        <v>1.330562659846547</v>
      </c>
      <c r="BX87">
        <f>VLOOKUP(Table1[[#This Row],[Reference]],metron,12,FALSE)</f>
        <v>1.1595268542199491</v>
      </c>
      <c r="BY87" s="6">
        <f>VLOOKUP(Table1[[#This Row],[Reference]],metron,13,FALSE)</f>
        <v>0.59053607588191415</v>
      </c>
      <c r="BZ87" s="6">
        <f>VLOOKUP(Table1[[#This Row],[Reference]],metron,14,FALSE)</f>
        <v>0.50069274219332838</v>
      </c>
      <c r="CA87" s="6">
        <f>VLOOKUP(Table1[[#This Row],[Reference]],metron,15,FALSE)</f>
        <v>11.79715236686391</v>
      </c>
      <c r="CB87" s="6">
        <f>VLOOKUP(Table1[[#This Row],[Reference]],metron,16,FALSE)</f>
        <v>10.317122781065089</v>
      </c>
      <c r="CC87" s="6">
        <f>VLOOKUP(Table1[[#This Row],[Reference]],metron,17,FALSE)</f>
        <v>5.0637025966747622</v>
      </c>
      <c r="CD87" s="6">
        <f>VLOOKUP(Table1[[#This Row],[Reference]],metron,18,FALSE)</f>
        <v>4.4674014571268454</v>
      </c>
      <c r="CE87" s="6">
        <f>VLOOKUP(Table1[[#This Row],[Reference]],metron,19,FALSE)</f>
        <v>6.7334497701891483</v>
      </c>
      <c r="CF87" s="6">
        <f>VLOOKUP(Table1[[#This Row],[Reference]],metron,20,FALSE)</f>
        <v>5.849721323938244</v>
      </c>
      <c r="CG87" s="6">
        <f>VLOOKUP(Table1[[#This Row],[Reference]],metron,21,FALSE)</f>
        <v>12.89644194756554</v>
      </c>
      <c r="CH87" s="6">
        <f>VLOOKUP(Table1[[#This Row],[Reference]],metron,22,FALSE)</f>
        <v>13.3434456928839</v>
      </c>
      <c r="CI87" s="6">
        <f>VLOOKUP(Table1[[#This Row],[Reference]],metron,23,FALSE)</f>
        <v>1.6144382124117971</v>
      </c>
      <c r="CJ87" s="6">
        <f>VLOOKUP(Table1[[#This Row],[Reference]],metron,24,FALSE)</f>
        <v>1.9032024606477289</v>
      </c>
      <c r="CK87" s="6">
        <f>VLOOKUP(Table1[[#This Row],[Reference]],metron,25,FALSE)</f>
        <v>9.372172969060974E-2</v>
      </c>
      <c r="CL87" s="6">
        <f>VLOOKUP(Table1[[#This Row],[Reference]],metron,26,FALSE)</f>
        <v>0.11669983716301791</v>
      </c>
    </row>
    <row r="88" spans="1:90" hidden="1" x14ac:dyDescent="0.45">
      <c r="A88" t="s">
        <v>696</v>
      </c>
      <c r="B88">
        <v>1632614400</v>
      </c>
      <c r="C88" s="23" t="s">
        <v>271</v>
      </c>
      <c r="D88" t="s">
        <v>65</v>
      </c>
      <c r="E88" t="s">
        <v>66</v>
      </c>
      <c r="F88" t="s">
        <v>107</v>
      </c>
      <c r="G88" t="s">
        <v>96</v>
      </c>
      <c r="H88" t="s">
        <v>108</v>
      </c>
      <c r="I88">
        <f>MROUND(Table1[[#This Row],[ProbH]]*100,2)/100</f>
        <v>0.62</v>
      </c>
      <c r="J88">
        <f>1/Table1[[#This Row],[odds_ft_home_team_win]]-Table1[[#This Row],[Margin]]</f>
        <v>0.62803753980224564</v>
      </c>
      <c r="K88">
        <f>1/Table1[[#This Row],[odds_ft_draw]]-Table1[[#This Row],[Margin]]</f>
        <v>0.23085302497067201</v>
      </c>
      <c r="L88">
        <f>1/Table1[[#This Row],[odds_ft_away_team_win]]-Table1[[#This Row],[Margin]]</f>
        <v>0.14110943522708222</v>
      </c>
      <c r="M88">
        <v>10</v>
      </c>
      <c r="N88">
        <v>1.5</v>
      </c>
      <c r="O88">
        <v>0.25</v>
      </c>
      <c r="P88">
        <v>2</v>
      </c>
      <c r="Q88">
        <v>1.1000000000000001</v>
      </c>
      <c r="R88" t="str" cm="1">
        <f t="array" ref="R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AA88">
        <v>5</v>
      </c>
      <c r="AB88">
        <v>4</v>
      </c>
      <c r="AC88">
        <v>2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23</v>
      </c>
      <c r="AL88">
        <v>19</v>
      </c>
      <c r="AM88">
        <v>9</v>
      </c>
      <c r="AN88">
        <v>5</v>
      </c>
      <c r="AO88">
        <v>14</v>
      </c>
      <c r="AP88">
        <v>14</v>
      </c>
      <c r="AQ88">
        <v>6</v>
      </c>
      <c r="AR88">
        <v>11</v>
      </c>
      <c r="AS88">
        <v>64</v>
      </c>
      <c r="AT88">
        <v>36</v>
      </c>
      <c r="AU88">
        <v>2.65</v>
      </c>
      <c r="AV88">
        <v>1.72</v>
      </c>
      <c r="AW88">
        <v>2.88</v>
      </c>
      <c r="AX88">
        <v>63</v>
      </c>
      <c r="AY88">
        <v>100</v>
      </c>
      <c r="AZ88">
        <v>63</v>
      </c>
      <c r="BA88">
        <v>25</v>
      </c>
      <c r="BB88">
        <v>0</v>
      </c>
      <c r="BC88">
        <v>25</v>
      </c>
      <c r="BD88">
        <v>100</v>
      </c>
      <c r="BE88">
        <v>38</v>
      </c>
      <c r="BF88">
        <v>100</v>
      </c>
      <c r="BG88">
        <v>9.75</v>
      </c>
      <c r="BH88">
        <v>6</v>
      </c>
      <c r="BI88">
        <v>1.53</v>
      </c>
      <c r="BJ88">
        <v>3.9</v>
      </c>
      <c r="BK88">
        <v>6</v>
      </c>
      <c r="BL88">
        <f>(1/Table1[[#This Row],[odds_ft_home_team_win]]+1/Table1[[#This Row],[odds_ft_draw]]+1/Table1[[#This Row],[odds_ft_away_team_win]]-1)/3</f>
        <v>2.5557231439584438E-2</v>
      </c>
      <c r="BM88">
        <v>1.34</v>
      </c>
      <c r="BN88">
        <v>1.95</v>
      </c>
      <c r="BO88">
        <v>3.25</v>
      </c>
      <c r="BP88">
        <v>6</v>
      </c>
      <c r="BQ88">
        <v>2.0499999999999998</v>
      </c>
      <c r="BR88">
        <v>1.77</v>
      </c>
      <c r="BS88" t="s">
        <v>161</v>
      </c>
      <c r="BT88">
        <f>VLOOKUP(Table1[[#This Row],[Reference]],metron,8,FALSE)</f>
        <v>2.1234388909289978</v>
      </c>
      <c r="BU88">
        <f>VLOOKUP(Table1[[#This Row],[Reference]],metron,9,FALSE)</f>
        <v>0.63925141338926716</v>
      </c>
      <c r="BV88">
        <f>VLOOKUP(Table1[[#This Row],[Reference]],metron,10,FALSE)</f>
        <v>2.7366666666666664</v>
      </c>
      <c r="BW88">
        <f>VLOOKUP(Table1[[#This Row],[Reference]],metron,11,FALSE)</f>
        <v>1.8681481481481479</v>
      </c>
      <c r="BX88">
        <f>VLOOKUP(Table1[[#This Row],[Reference]],metron,12,FALSE)</f>
        <v>0.86851851851851847</v>
      </c>
      <c r="BY88" s="6">
        <f>VLOOKUP(Table1[[#This Row],[Reference]],metron,13,FALSE)</f>
        <v>0.81333333333333335</v>
      </c>
      <c r="BZ88" s="6">
        <f>VLOOKUP(Table1[[#This Row],[Reference]],metron,14,FALSE)</f>
        <v>0.38925925925925919</v>
      </c>
      <c r="CA88" s="6">
        <f>VLOOKUP(Table1[[#This Row],[Reference]],metron,15,FALSE)</f>
        <v>14.53422724064926</v>
      </c>
      <c r="CB88" s="6">
        <f>VLOOKUP(Table1[[#This Row],[Reference]],metron,16,FALSE)</f>
        <v>8.7882851093860275</v>
      </c>
      <c r="CC88" s="6">
        <f>VLOOKUP(Table1[[#This Row],[Reference]],metron,17,FALSE)</f>
        <v>6.3007953723788868</v>
      </c>
      <c r="CD88" s="6">
        <f>VLOOKUP(Table1[[#This Row],[Reference]],metron,18,FALSE)</f>
        <v>3.681851048445409</v>
      </c>
      <c r="CE88" s="6">
        <f>VLOOKUP(Table1[[#This Row],[Reference]],metron,19,FALSE)</f>
        <v>8.2334318682703724</v>
      </c>
      <c r="CF88" s="6">
        <f>VLOOKUP(Table1[[#This Row],[Reference]],metron,20,FALSE)</f>
        <v>5.106434060940618</v>
      </c>
      <c r="CG88" s="6">
        <f>VLOOKUP(Table1[[#This Row],[Reference]],metron,21,FALSE)</f>
        <v>12.32150615496017</v>
      </c>
      <c r="CH88" s="6">
        <f>VLOOKUP(Table1[[#This Row],[Reference]],metron,22,FALSE)</f>
        <v>13.337436640115859</v>
      </c>
      <c r="CI88" s="6">
        <f>VLOOKUP(Table1[[#This Row],[Reference]],metron,23,FALSE)</f>
        <v>1.346101231190151</v>
      </c>
      <c r="CJ88" s="6">
        <f>VLOOKUP(Table1[[#This Row],[Reference]],metron,24,FALSE)</f>
        <v>1.995212038303694</v>
      </c>
      <c r="CK88" s="6">
        <f>VLOOKUP(Table1[[#This Row],[Reference]],metron,25,FALSE)</f>
        <v>6.1559507523939808E-2</v>
      </c>
      <c r="CL88" s="6">
        <f>VLOOKUP(Table1[[#This Row],[Reference]],metron,26,FALSE)</f>
        <v>0.13201094391244869</v>
      </c>
    </row>
    <row r="89" spans="1:90" hidden="1" x14ac:dyDescent="0.45">
      <c r="A89" t="s">
        <v>696</v>
      </c>
      <c r="B89">
        <v>1632621600</v>
      </c>
      <c r="C89" s="23" t="s">
        <v>272</v>
      </c>
      <c r="D89" t="s">
        <v>65</v>
      </c>
      <c r="E89" t="s">
        <v>66</v>
      </c>
      <c r="F89" t="s">
        <v>68</v>
      </c>
      <c r="G89" t="s">
        <v>90</v>
      </c>
      <c r="H89" t="s">
        <v>158</v>
      </c>
      <c r="I89">
        <f>MROUND(Table1[[#This Row],[ProbH]]*100,2)/100</f>
        <v>0.56000000000000005</v>
      </c>
      <c r="J89">
        <f>1/Table1[[#This Row],[odds_ft_home_team_win]]-Table1[[#This Row],[Margin]]</f>
        <v>0.55337690631808278</v>
      </c>
      <c r="K89">
        <f>1/Table1[[#This Row],[odds_ft_draw]]-Table1[[#This Row],[Margin]]</f>
        <v>0.25925925925925924</v>
      </c>
      <c r="L89">
        <f>1/Table1[[#This Row],[odds_ft_away_team_win]]-Table1[[#This Row],[Margin]]</f>
        <v>0.18736383442265792</v>
      </c>
      <c r="M89">
        <v>10</v>
      </c>
      <c r="N89">
        <v>3</v>
      </c>
      <c r="O89">
        <v>1.5</v>
      </c>
      <c r="P89">
        <v>1.9</v>
      </c>
      <c r="Q89">
        <v>1.32</v>
      </c>
      <c r="R89" s="9" t="str" cm="1">
        <f t="array" ref="R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AA89">
        <v>9</v>
      </c>
      <c r="AB89">
        <v>3</v>
      </c>
      <c r="AC89">
        <v>1</v>
      </c>
      <c r="AD89">
        <v>0</v>
      </c>
      <c r="AE89">
        <v>2</v>
      </c>
      <c r="AF89">
        <v>0</v>
      </c>
      <c r="AG89">
        <v>1</v>
      </c>
      <c r="AH89">
        <v>0</v>
      </c>
      <c r="AI89">
        <v>1</v>
      </c>
      <c r="AJ89">
        <v>1</v>
      </c>
      <c r="AK89">
        <v>19</v>
      </c>
      <c r="AL89">
        <v>7</v>
      </c>
      <c r="AM89">
        <v>9</v>
      </c>
      <c r="AN89">
        <v>4</v>
      </c>
      <c r="AO89">
        <v>10</v>
      </c>
      <c r="AP89">
        <v>3</v>
      </c>
      <c r="AQ89">
        <v>8</v>
      </c>
      <c r="AR89">
        <v>13</v>
      </c>
      <c r="AS89">
        <v>55</v>
      </c>
      <c r="AT89">
        <v>45</v>
      </c>
      <c r="AU89">
        <v>2.1800000000000002</v>
      </c>
      <c r="AV89">
        <v>0.95</v>
      </c>
      <c r="AW89">
        <v>1.38</v>
      </c>
      <c r="AX89">
        <v>13</v>
      </c>
      <c r="AY89">
        <v>63</v>
      </c>
      <c r="AZ89">
        <v>13</v>
      </c>
      <c r="BA89">
        <v>0</v>
      </c>
      <c r="BB89">
        <v>0</v>
      </c>
      <c r="BC89">
        <v>0</v>
      </c>
      <c r="BD89">
        <v>38</v>
      </c>
      <c r="BE89">
        <v>38</v>
      </c>
      <c r="BF89">
        <v>63</v>
      </c>
      <c r="BG89">
        <v>8.75</v>
      </c>
      <c r="BH89">
        <v>3.5</v>
      </c>
      <c r="BI89">
        <v>1.7</v>
      </c>
      <c r="BJ89">
        <v>3.4</v>
      </c>
      <c r="BK89">
        <v>4.5</v>
      </c>
      <c r="BL89">
        <f>(1/Table1[[#This Row],[odds_ft_home_team_win]]+1/Table1[[#This Row],[odds_ft_draw]]+1/Table1[[#This Row],[odds_ft_away_team_win]]-1)/3</f>
        <v>3.4858387799564294E-2</v>
      </c>
      <c r="BM89">
        <v>1.33</v>
      </c>
      <c r="BN89">
        <v>1.91</v>
      </c>
      <c r="BO89">
        <v>3.35</v>
      </c>
      <c r="BP89">
        <v>6.5</v>
      </c>
      <c r="BQ89">
        <v>2</v>
      </c>
      <c r="BR89">
        <v>1.8</v>
      </c>
      <c r="BS89" t="s">
        <v>116</v>
      </c>
      <c r="BT89">
        <f>VLOOKUP(Table1[[#This Row],[Reference]],metron,8,FALSE)</f>
        <v>1.9673156855724254</v>
      </c>
      <c r="BU89">
        <f>VLOOKUP(Table1[[#This Row],[Reference]],metron,9,FALSE)</f>
        <v>0.77729484582409181</v>
      </c>
      <c r="BV89">
        <f>VLOOKUP(Table1[[#This Row],[Reference]],metron,10,FALSE)</f>
        <v>2.6892488954344627</v>
      </c>
      <c r="BW89">
        <f>VLOOKUP(Table1[[#This Row],[Reference]],metron,11,FALSE)</f>
        <v>1.7546812539448771</v>
      </c>
      <c r="BX89">
        <f>VLOOKUP(Table1[[#This Row],[Reference]],metron,12,FALSE)</f>
        <v>0.93456764148958549</v>
      </c>
      <c r="BY89" s="6">
        <f>VLOOKUP(Table1[[#This Row],[Reference]],metron,13,FALSE)</f>
        <v>0.77824531874605507</v>
      </c>
      <c r="BZ89" s="6">
        <f>VLOOKUP(Table1[[#This Row],[Reference]],metron,14,FALSE)</f>
        <v>0.41237113402061848</v>
      </c>
      <c r="CA89" s="6">
        <f>VLOOKUP(Table1[[#This Row],[Reference]],metron,15,FALSE)</f>
        <v>13.77153558052435</v>
      </c>
      <c r="CB89" s="6">
        <f>VLOOKUP(Table1[[#This Row],[Reference]],metron,16,FALSE)</f>
        <v>9.0445692883895124</v>
      </c>
      <c r="CC89" s="6">
        <f>VLOOKUP(Table1[[#This Row],[Reference]],metron,17,FALSE)</f>
        <v>6.0821292775665396</v>
      </c>
      <c r="CD89" s="6">
        <f>VLOOKUP(Table1[[#This Row],[Reference]],metron,18,FALSE)</f>
        <v>3.8201520912547529</v>
      </c>
      <c r="CE89" s="6">
        <f>VLOOKUP(Table1[[#This Row],[Reference]],metron,19,FALSE)</f>
        <v>7.6894063029578108</v>
      </c>
      <c r="CF89" s="6">
        <f>VLOOKUP(Table1[[#This Row],[Reference]],metron,20,FALSE)</f>
        <v>5.224417197134759</v>
      </c>
      <c r="CG89" s="6">
        <f>VLOOKUP(Table1[[#This Row],[Reference]],metron,21,FALSE)</f>
        <v>12.297605473204101</v>
      </c>
      <c r="CH89" s="6">
        <f>VLOOKUP(Table1[[#This Row],[Reference]],metron,22,FALSE)</f>
        <v>13.310908399847969</v>
      </c>
      <c r="CI89" s="6">
        <f>VLOOKUP(Table1[[#This Row],[Reference]],metron,23,FALSE)</f>
        <v>1.3713126843657819</v>
      </c>
      <c r="CJ89" s="6">
        <f>VLOOKUP(Table1[[#This Row],[Reference]],metron,24,FALSE)</f>
        <v>1.9516961651917399</v>
      </c>
      <c r="CK89" s="6">
        <f>VLOOKUP(Table1[[#This Row],[Reference]],metron,25,FALSE)</f>
        <v>6.6002949852507375E-2</v>
      </c>
      <c r="CL89" s="6">
        <f>VLOOKUP(Table1[[#This Row],[Reference]],metron,26,FALSE)</f>
        <v>0.1297935103244838</v>
      </c>
    </row>
    <row r="90" spans="1:90" hidden="1" x14ac:dyDescent="0.45">
      <c r="A90" t="s">
        <v>696</v>
      </c>
      <c r="B90">
        <v>1632675600</v>
      </c>
      <c r="C90" s="23" t="s">
        <v>273</v>
      </c>
      <c r="D90" t="s">
        <v>65</v>
      </c>
      <c r="E90" t="s">
        <v>66</v>
      </c>
      <c r="F90" t="s">
        <v>79</v>
      </c>
      <c r="G90" t="s">
        <v>91</v>
      </c>
      <c r="H90" t="s">
        <v>98</v>
      </c>
      <c r="I90">
        <f>MROUND(Table1[[#This Row],[ProbH]]*100,2)/100</f>
        <v>0.48</v>
      </c>
      <c r="J90">
        <f>1/Table1[[#This Row],[odds_ft_home_team_win]]-Table1[[#This Row],[Margin]]</f>
        <v>0.4831185950588936</v>
      </c>
      <c r="K90">
        <f>1/Table1[[#This Row],[odds_ft_draw]]-Table1[[#This Row],[Margin]]</f>
        <v>0.26880554492494785</v>
      </c>
      <c r="L90">
        <f>1/Table1[[#This Row],[odds_ft_away_team_win]]-Table1[[#This Row],[Margin]]</f>
        <v>0.24807586001615853</v>
      </c>
      <c r="M90">
        <v>10</v>
      </c>
      <c r="N90">
        <v>2.5</v>
      </c>
      <c r="O90">
        <v>1.6</v>
      </c>
      <c r="P90">
        <v>1.17</v>
      </c>
      <c r="Q90">
        <v>1.25</v>
      </c>
      <c r="R90" t="str" cm="1">
        <f t="array" ref="R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0">
        <v>1</v>
      </c>
      <c r="T90">
        <v>2</v>
      </c>
      <c r="U90">
        <v>3</v>
      </c>
      <c r="V90">
        <v>3</v>
      </c>
      <c r="W90">
        <v>1</v>
      </c>
      <c r="X90">
        <v>2</v>
      </c>
      <c r="Y90">
        <v>45</v>
      </c>
      <c r="Z90" t="s">
        <v>274</v>
      </c>
      <c r="AA90">
        <v>5</v>
      </c>
      <c r="AB90">
        <v>4</v>
      </c>
      <c r="AC90">
        <v>3</v>
      </c>
      <c r="AD90">
        <v>0</v>
      </c>
      <c r="AE90">
        <v>2</v>
      </c>
      <c r="AF90">
        <v>0</v>
      </c>
      <c r="AG90">
        <v>1</v>
      </c>
      <c r="AH90">
        <v>2</v>
      </c>
      <c r="AI90">
        <v>1</v>
      </c>
      <c r="AJ90">
        <v>1</v>
      </c>
      <c r="AK90">
        <v>20</v>
      </c>
      <c r="AL90">
        <v>15</v>
      </c>
      <c r="AM90">
        <v>5</v>
      </c>
      <c r="AN90">
        <v>6</v>
      </c>
      <c r="AO90">
        <v>15</v>
      </c>
      <c r="AP90">
        <v>9</v>
      </c>
      <c r="AQ90">
        <v>15</v>
      </c>
      <c r="AR90">
        <v>14</v>
      </c>
      <c r="AS90">
        <v>70</v>
      </c>
      <c r="AT90">
        <v>30</v>
      </c>
      <c r="AU90">
        <v>2.0299999999999998</v>
      </c>
      <c r="AV90">
        <v>1.57</v>
      </c>
      <c r="AW90">
        <v>3.48</v>
      </c>
      <c r="AX90">
        <v>90</v>
      </c>
      <c r="AY90">
        <v>90</v>
      </c>
      <c r="AZ90">
        <v>90</v>
      </c>
      <c r="BA90">
        <v>68</v>
      </c>
      <c r="BB90">
        <v>0</v>
      </c>
      <c r="BC90">
        <v>70</v>
      </c>
      <c r="BD90">
        <v>100</v>
      </c>
      <c r="BE90">
        <v>43</v>
      </c>
      <c r="BF90">
        <v>78</v>
      </c>
      <c r="BG90">
        <v>10</v>
      </c>
      <c r="BH90">
        <v>4.55</v>
      </c>
      <c r="BI90">
        <v>1.95</v>
      </c>
      <c r="BJ90">
        <v>3.35</v>
      </c>
      <c r="BK90">
        <v>3.6</v>
      </c>
      <c r="BL90">
        <f>(1/Table1[[#This Row],[odds_ft_home_team_win]]+1/Table1[[#This Row],[odds_ft_draw]]+1/Table1[[#This Row],[odds_ft_away_team_win]]-1)/3</f>
        <v>2.9701917761619272E-2</v>
      </c>
      <c r="BM90">
        <v>1.31</v>
      </c>
      <c r="BN90">
        <v>1.83</v>
      </c>
      <c r="BO90">
        <v>3.15</v>
      </c>
      <c r="BP90">
        <v>5.75</v>
      </c>
      <c r="BQ90">
        <v>1.74</v>
      </c>
      <c r="BR90">
        <v>2</v>
      </c>
      <c r="BS90" t="s">
        <v>140</v>
      </c>
      <c r="BT90">
        <f>VLOOKUP(Table1[[#This Row],[Reference]],metron,8,FALSE)</f>
        <v>1.743992017160418</v>
      </c>
      <c r="BU90">
        <f>VLOOKUP(Table1[[#This Row],[Reference]],metron,9,FALSE)</f>
        <v>0.97803937284245479</v>
      </c>
      <c r="BV90">
        <f>VLOOKUP(Table1[[#This Row],[Reference]],metron,10,FALSE)</f>
        <v>2.5271929824561399</v>
      </c>
      <c r="BW90">
        <f>VLOOKUP(Table1[[#This Row],[Reference]],metron,11,FALSE)</f>
        <v>1.510877192982456</v>
      </c>
      <c r="BX90">
        <f>VLOOKUP(Table1[[#This Row],[Reference]],metron,12,FALSE)</f>
        <v>1.0163157894736841</v>
      </c>
      <c r="BY90" s="6">
        <f>VLOOKUP(Table1[[#This Row],[Reference]],metron,13,FALSE)</f>
        <v>0.67350877192982461</v>
      </c>
      <c r="BZ90" s="6">
        <f>VLOOKUP(Table1[[#This Row],[Reference]],metron,14,FALSE)</f>
        <v>0.4442105263157895</v>
      </c>
      <c r="CA90" s="6">
        <f>VLOOKUP(Table1[[#This Row],[Reference]],metron,15,FALSE)</f>
        <v>12.80980392156863</v>
      </c>
      <c r="CB90" s="6">
        <f>VLOOKUP(Table1[[#This Row],[Reference]],metron,16,FALSE)</f>
        <v>9.6872549019607845</v>
      </c>
      <c r="CC90" s="6">
        <f>VLOOKUP(Table1[[#This Row],[Reference]],metron,17,FALSE)</f>
        <v>5.6491169610129957</v>
      </c>
      <c r="CD90" s="6">
        <f>VLOOKUP(Table1[[#This Row],[Reference]],metron,18,FALSE)</f>
        <v>4.1379540153282237</v>
      </c>
      <c r="CE90" s="6">
        <f>VLOOKUP(Table1[[#This Row],[Reference]],metron,19,FALSE)</f>
        <v>7.1606869605556343</v>
      </c>
      <c r="CF90" s="6">
        <f>VLOOKUP(Table1[[#This Row],[Reference]],metron,20,FALSE)</f>
        <v>5.5493008866325608</v>
      </c>
      <c r="CG90" s="6">
        <f>VLOOKUP(Table1[[#This Row],[Reference]],metron,21,FALSE)</f>
        <v>12.9029029029029</v>
      </c>
      <c r="CH90" s="6">
        <f>VLOOKUP(Table1[[#This Row],[Reference]],metron,22,FALSE)</f>
        <v>13.75508842175509</v>
      </c>
      <c r="CI90" s="6">
        <f>VLOOKUP(Table1[[#This Row],[Reference]],metron,23,FALSE)</f>
        <v>1.5287356321839081</v>
      </c>
      <c r="CJ90" s="6">
        <f>VLOOKUP(Table1[[#This Row],[Reference]],metron,24,FALSE)</f>
        <v>1.9664750957854411</v>
      </c>
      <c r="CK90" s="6">
        <f>VLOOKUP(Table1[[#This Row],[Reference]],metron,25,FALSE)</f>
        <v>8.8441890166028103E-2</v>
      </c>
      <c r="CL90" s="6">
        <f>VLOOKUP(Table1[[#This Row],[Reference]],metron,26,FALSE)</f>
        <v>0.13409961685823751</v>
      </c>
    </row>
    <row r="91" spans="1:90" hidden="1" x14ac:dyDescent="0.45">
      <c r="A91" t="s">
        <v>696</v>
      </c>
      <c r="B91">
        <v>1632701160</v>
      </c>
      <c r="C91" s="23" t="s">
        <v>275</v>
      </c>
      <c r="D91" t="s">
        <v>65</v>
      </c>
      <c r="E91" t="s">
        <v>66</v>
      </c>
      <c r="F91" t="s">
        <v>73</v>
      </c>
      <c r="G91" t="s">
        <v>101</v>
      </c>
      <c r="H91" t="s">
        <v>69</v>
      </c>
      <c r="I91">
        <f>MROUND(Table1[[#This Row],[ProbH]]*100,2)/100</f>
        <v>0.36</v>
      </c>
      <c r="J91">
        <f>1/Table1[[#This Row],[odds_ft_home_team_win]]-Table1[[#This Row],[Margin]]</f>
        <v>0.35517568850902181</v>
      </c>
      <c r="K91">
        <f>1/Table1[[#This Row],[odds_ft_draw]]-Table1[[#This Row],[Margin]]</f>
        <v>0.30389363722697055</v>
      </c>
      <c r="L91">
        <f>1/Table1[[#This Row],[odds_ft_away_team_win]]-Table1[[#This Row],[Margin]]</f>
        <v>0.34093067426400758</v>
      </c>
      <c r="M91">
        <v>10</v>
      </c>
      <c r="N91">
        <v>1.4</v>
      </c>
      <c r="O91">
        <v>0.75</v>
      </c>
      <c r="P91">
        <v>1.58</v>
      </c>
      <c r="Q91">
        <v>1.05</v>
      </c>
      <c r="R91" t="str" cm="1">
        <f t="array" ref="R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1">
        <v>1</v>
      </c>
      <c r="T91">
        <v>2</v>
      </c>
      <c r="U91">
        <v>3</v>
      </c>
      <c r="V91">
        <v>0</v>
      </c>
      <c r="W91">
        <v>0</v>
      </c>
      <c r="X91">
        <v>0</v>
      </c>
      <c r="Y91">
        <v>75</v>
      </c>
      <c r="Z91" t="s">
        <v>276</v>
      </c>
      <c r="AA91">
        <v>9</v>
      </c>
      <c r="AB91">
        <v>2</v>
      </c>
      <c r="AC91">
        <v>2</v>
      </c>
      <c r="AD91">
        <v>0</v>
      </c>
      <c r="AE91">
        <v>5</v>
      </c>
      <c r="AF91">
        <v>0</v>
      </c>
      <c r="AG91">
        <v>1</v>
      </c>
      <c r="AH91">
        <v>1</v>
      </c>
      <c r="AI91">
        <v>1</v>
      </c>
      <c r="AJ91">
        <v>4</v>
      </c>
      <c r="AK91">
        <v>18</v>
      </c>
      <c r="AL91">
        <v>16</v>
      </c>
      <c r="AM91">
        <v>7</v>
      </c>
      <c r="AN91">
        <v>7</v>
      </c>
      <c r="AO91">
        <v>11</v>
      </c>
      <c r="AP91">
        <v>9</v>
      </c>
      <c r="AQ91">
        <v>12</v>
      </c>
      <c r="AR91">
        <v>10</v>
      </c>
      <c r="AS91">
        <v>52</v>
      </c>
      <c r="AT91">
        <v>48</v>
      </c>
      <c r="AU91">
        <v>2.0099999999999998</v>
      </c>
      <c r="AV91">
        <v>1.75</v>
      </c>
      <c r="AW91">
        <v>2.1800000000000002</v>
      </c>
      <c r="AX91">
        <v>80</v>
      </c>
      <c r="AY91">
        <v>90</v>
      </c>
      <c r="AZ91">
        <v>25</v>
      </c>
      <c r="BA91">
        <v>13</v>
      </c>
      <c r="BB91">
        <v>0</v>
      </c>
      <c r="BC91">
        <v>25</v>
      </c>
      <c r="BD91">
        <v>48</v>
      </c>
      <c r="BE91">
        <v>55</v>
      </c>
      <c r="BF91">
        <v>78</v>
      </c>
      <c r="BG91">
        <v>9.85</v>
      </c>
      <c r="BH91">
        <v>4.25</v>
      </c>
      <c r="BI91">
        <v>2.6</v>
      </c>
      <c r="BJ91">
        <v>3</v>
      </c>
      <c r="BK91">
        <v>2.7</v>
      </c>
      <c r="BL91">
        <f>(1/Table1[[#This Row],[odds_ft_home_team_win]]+1/Table1[[#This Row],[odds_ft_draw]]+1/Table1[[#This Row],[odds_ft_away_team_win]]-1)/3</f>
        <v>2.9439696106362767E-2</v>
      </c>
      <c r="BM91">
        <v>1.44</v>
      </c>
      <c r="BN91">
        <v>2.2000000000000002</v>
      </c>
      <c r="BO91">
        <v>3.75</v>
      </c>
      <c r="BP91">
        <v>7.25</v>
      </c>
      <c r="BQ91">
        <v>1.95</v>
      </c>
      <c r="BR91">
        <v>1.83</v>
      </c>
      <c r="BS91" t="s">
        <v>142</v>
      </c>
      <c r="BT91">
        <f>VLOOKUP(Table1[[#This Row],[Reference]],metron,8,FALSE)</f>
        <v>1.4023864615972674</v>
      </c>
      <c r="BU91">
        <f>VLOOKUP(Table1[[#This Row],[Reference]],metron,9,FALSE)</f>
        <v>1.3093265904245279</v>
      </c>
      <c r="BV91">
        <f>VLOOKUP(Table1[[#This Row],[Reference]],metron,10,FALSE)</f>
        <v>2.5110350525197691</v>
      </c>
      <c r="BW91">
        <f>VLOOKUP(Table1[[#This Row],[Reference]],metron,11,FALSE)</f>
        <v>1.269326094653606</v>
      </c>
      <c r="BX91">
        <f>VLOOKUP(Table1[[#This Row],[Reference]],metron,12,FALSE)</f>
        <v>1.2417089578661631</v>
      </c>
      <c r="BY91" s="6">
        <f>VLOOKUP(Table1[[#This Row],[Reference]],metron,13,FALSE)</f>
        <v>0.56586402266288949</v>
      </c>
      <c r="BZ91" s="6">
        <f>VLOOKUP(Table1[[#This Row],[Reference]],metron,14,FALSE)</f>
        <v>0.55158168083097259</v>
      </c>
      <c r="CA91" s="6">
        <f>VLOOKUP(Table1[[#This Row],[Reference]],metron,15,FALSE)</f>
        <v>11.49400826446281</v>
      </c>
      <c r="CB91" s="6">
        <f>VLOOKUP(Table1[[#This Row],[Reference]],metron,16,FALSE)</f>
        <v>10.507231404958681</v>
      </c>
      <c r="CC91" s="6">
        <f>VLOOKUP(Table1[[#This Row],[Reference]],metron,17,FALSE)</f>
        <v>4.9238790406673623</v>
      </c>
      <c r="CD91" s="6">
        <f>VLOOKUP(Table1[[#This Row],[Reference]],metron,18,FALSE)</f>
        <v>4.6296141814389991</v>
      </c>
      <c r="CE91" s="6">
        <f>VLOOKUP(Table1[[#This Row],[Reference]],metron,19,FALSE)</f>
        <v>6.5701292237954476</v>
      </c>
      <c r="CF91" s="6">
        <f>VLOOKUP(Table1[[#This Row],[Reference]],metron,20,FALSE)</f>
        <v>5.8776172235196817</v>
      </c>
      <c r="CG91" s="6">
        <f>VLOOKUP(Table1[[#This Row],[Reference]],metron,21,FALSE)</f>
        <v>12.798739495798319</v>
      </c>
      <c r="CH91" s="6">
        <f>VLOOKUP(Table1[[#This Row],[Reference]],metron,22,FALSE)</f>
        <v>12.98844537815126</v>
      </c>
      <c r="CI91" s="6">
        <f>VLOOKUP(Table1[[#This Row],[Reference]],metron,23,FALSE)</f>
        <v>1.604928297313674</v>
      </c>
      <c r="CJ91" s="6">
        <f>VLOOKUP(Table1[[#This Row],[Reference]],metron,24,FALSE)</f>
        <v>1.791961219955565</v>
      </c>
      <c r="CK91" s="6">
        <f>VLOOKUP(Table1[[#This Row],[Reference]],metron,25,FALSE)</f>
        <v>8.887093516461321E-2</v>
      </c>
      <c r="CL91" s="6">
        <f>VLOOKUP(Table1[[#This Row],[Reference]],metron,26,FALSE)</f>
        <v>0.11694607150070691</v>
      </c>
    </row>
    <row r="92" spans="1:90" hidden="1" x14ac:dyDescent="0.45">
      <c r="A92" t="s">
        <v>696</v>
      </c>
      <c r="B92">
        <v>1632866400</v>
      </c>
      <c r="C92" s="23" t="s">
        <v>277</v>
      </c>
      <c r="D92" t="s">
        <v>65</v>
      </c>
      <c r="E92" t="s">
        <v>66</v>
      </c>
      <c r="F92" t="s">
        <v>72</v>
      </c>
      <c r="G92" t="s">
        <v>106</v>
      </c>
      <c r="H92" t="s">
        <v>165</v>
      </c>
      <c r="I92">
        <f>MROUND(Table1[[#This Row],[ProbH]]*100,2)/100</f>
        <v>0.5</v>
      </c>
      <c r="J92">
        <f>1/Table1[[#This Row],[odds_ft_home_team_win]]-Table1[[#This Row],[Margin]]</f>
        <v>0.50359921156239063</v>
      </c>
      <c r="K92">
        <f>1/Table1[[#This Row],[odds_ft_draw]]-Table1[[#This Row],[Margin]]</f>
        <v>0.27401932713321675</v>
      </c>
      <c r="L92">
        <f>1/Table1[[#This Row],[odds_ft_away_team_win]]-Table1[[#This Row],[Margin]]</f>
        <v>0.22238146130439268</v>
      </c>
      <c r="M92">
        <v>11</v>
      </c>
      <c r="N92">
        <v>1.2</v>
      </c>
      <c r="O92">
        <v>0.25</v>
      </c>
      <c r="P92">
        <v>1.24</v>
      </c>
      <c r="Q92">
        <v>0.53</v>
      </c>
      <c r="R92" t="str" cm="1">
        <f t="array" ref="R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2">
        <v>3</v>
      </c>
      <c r="T92">
        <v>0</v>
      </c>
      <c r="U92">
        <v>3</v>
      </c>
      <c r="V92">
        <v>0</v>
      </c>
      <c r="W92">
        <v>0</v>
      </c>
      <c r="X92">
        <v>0</v>
      </c>
      <c r="Y92" t="s">
        <v>278</v>
      </c>
      <c r="AA92">
        <v>4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0</v>
      </c>
      <c r="AJ92">
        <v>2</v>
      </c>
      <c r="AK92">
        <v>24</v>
      </c>
      <c r="AL92">
        <v>10</v>
      </c>
      <c r="AM92">
        <v>10</v>
      </c>
      <c r="AN92">
        <v>2</v>
      </c>
      <c r="AO92">
        <v>14</v>
      </c>
      <c r="AP92">
        <v>8</v>
      </c>
      <c r="AQ92">
        <v>11</v>
      </c>
      <c r="AR92">
        <v>7</v>
      </c>
      <c r="AS92">
        <v>62</v>
      </c>
      <c r="AT92">
        <v>38</v>
      </c>
      <c r="AU92">
        <v>2.61</v>
      </c>
      <c r="AV92">
        <v>0.96</v>
      </c>
      <c r="AW92">
        <v>2.8</v>
      </c>
      <c r="AX92">
        <v>48</v>
      </c>
      <c r="AY92">
        <v>90</v>
      </c>
      <c r="AZ92">
        <v>65</v>
      </c>
      <c r="BA92">
        <v>13</v>
      </c>
      <c r="BB92">
        <v>13</v>
      </c>
      <c r="BC92">
        <v>55</v>
      </c>
      <c r="BD92">
        <v>78</v>
      </c>
      <c r="BE92">
        <v>35</v>
      </c>
      <c r="BF92">
        <v>88</v>
      </c>
      <c r="BG92">
        <v>7.85</v>
      </c>
      <c r="BH92">
        <v>3.35</v>
      </c>
      <c r="BI92">
        <v>1.9</v>
      </c>
      <c r="BJ92">
        <v>3.37</v>
      </c>
      <c r="BK92">
        <v>4.08</v>
      </c>
      <c r="BL92">
        <f>(1/Table1[[#This Row],[odds_ft_home_team_win]]+1/Table1[[#This Row],[odds_ft_draw]]+1/Table1[[#This Row],[odds_ft_away_team_win]]-1)/3</f>
        <v>2.2716577911293594E-2</v>
      </c>
      <c r="BM92">
        <v>1.4</v>
      </c>
      <c r="BN92">
        <v>2.1</v>
      </c>
      <c r="BO92">
        <v>3.45</v>
      </c>
      <c r="BP92">
        <v>6.75</v>
      </c>
      <c r="BQ92">
        <v>1.87</v>
      </c>
      <c r="BR92">
        <v>1.91</v>
      </c>
      <c r="BS92" t="s">
        <v>76</v>
      </c>
      <c r="BT92">
        <f>VLOOKUP(Table1[[#This Row],[Reference]],metron,8,FALSE)</f>
        <v>1.8001937313313046</v>
      </c>
      <c r="BU92">
        <f>VLOOKUP(Table1[[#This Row],[Reference]],metron,9,FALSE)</f>
        <v>0.9268512077832276</v>
      </c>
      <c r="BV92">
        <f>VLOOKUP(Table1[[#This Row],[Reference]],metron,10,FALSE)</f>
        <v>2.5202079886551649</v>
      </c>
      <c r="BW92">
        <f>VLOOKUP(Table1[[#This Row],[Reference]],metron,11,FALSE)</f>
        <v>1.5342708579532029</v>
      </c>
      <c r="BX92">
        <f>VLOOKUP(Table1[[#This Row],[Reference]],metron,12,FALSE)</f>
        <v>0.98593713070196176</v>
      </c>
      <c r="BY92" s="6">
        <f>VLOOKUP(Table1[[#This Row],[Reference]],metron,13,FALSE)</f>
        <v>0.67513590167809023</v>
      </c>
      <c r="BZ92" s="6">
        <f>VLOOKUP(Table1[[#This Row],[Reference]],metron,14,FALSE)</f>
        <v>0.4286727337194185</v>
      </c>
      <c r="CA92" s="6">
        <f>VLOOKUP(Table1[[#This Row],[Reference]],metron,15,FALSE)</f>
        <v>12.98669114272602</v>
      </c>
      <c r="CB92" s="6">
        <f>VLOOKUP(Table1[[#This Row],[Reference]],metron,16,FALSE)</f>
        <v>9.4167049105094076</v>
      </c>
      <c r="CC92" s="6">
        <f>VLOOKUP(Table1[[#This Row],[Reference]],metron,17,FALSE)</f>
        <v>5.6645716945996272</v>
      </c>
      <c r="CD92" s="6">
        <f>VLOOKUP(Table1[[#This Row],[Reference]],metron,18,FALSE)</f>
        <v>4.0242085661080074</v>
      </c>
      <c r="CE92" s="6">
        <f>VLOOKUP(Table1[[#This Row],[Reference]],metron,19,FALSE)</f>
        <v>7.3221194481263927</v>
      </c>
      <c r="CF92" s="6">
        <f>VLOOKUP(Table1[[#This Row],[Reference]],metron,20,FALSE)</f>
        <v>5.3924963444014002</v>
      </c>
      <c r="CG92" s="6">
        <f>VLOOKUP(Table1[[#This Row],[Reference]],metron,21,FALSE)</f>
        <v>12.508162313432839</v>
      </c>
      <c r="CH92" s="6">
        <f>VLOOKUP(Table1[[#This Row],[Reference]],metron,22,FALSE)</f>
        <v>13.36963619402985</v>
      </c>
      <c r="CI92" s="6">
        <f>VLOOKUP(Table1[[#This Row],[Reference]],metron,23,FALSE)</f>
        <v>1.4438014689517029</v>
      </c>
      <c r="CJ92" s="6">
        <f>VLOOKUP(Table1[[#This Row],[Reference]],metron,24,FALSE)</f>
        <v>1.9410193634542621</v>
      </c>
      <c r="CK92" s="6">
        <f>VLOOKUP(Table1[[#This Row],[Reference]],metron,25,FALSE)</f>
        <v>8.4130870242599604E-2</v>
      </c>
      <c r="CL92" s="6">
        <f>VLOOKUP(Table1[[#This Row],[Reference]],metron,26,FALSE)</f>
        <v>0.1275317160026708</v>
      </c>
    </row>
    <row r="93" spans="1:90" hidden="1" x14ac:dyDescent="0.45">
      <c r="A93" t="s">
        <v>696</v>
      </c>
      <c r="B93">
        <v>1632873600</v>
      </c>
      <c r="C93" s="23" t="s">
        <v>279</v>
      </c>
      <c r="D93" t="s">
        <v>65</v>
      </c>
      <c r="E93" t="s">
        <v>66</v>
      </c>
      <c r="F93" t="s">
        <v>113</v>
      </c>
      <c r="G93" t="s">
        <v>78</v>
      </c>
      <c r="H93" t="s">
        <v>74</v>
      </c>
      <c r="I93">
        <f>MROUND(Table1[[#This Row],[ProbH]]*100,2)/100</f>
        <v>0.4</v>
      </c>
      <c r="J93">
        <f>1/Table1[[#This Row],[odds_ft_home_team_win]]-Table1[[#This Row],[Margin]]</f>
        <v>0.39537500768301986</v>
      </c>
      <c r="K93">
        <f>1/Table1[[#This Row],[odds_ft_draw]]-Table1[[#This Row],[Margin]]</f>
        <v>0.31710102026378439</v>
      </c>
      <c r="L93">
        <f>1/Table1[[#This Row],[odds_ft_away_team_win]]-Table1[[#This Row],[Margin]]</f>
        <v>0.2875239720531958</v>
      </c>
      <c r="M93">
        <v>11</v>
      </c>
      <c r="N93">
        <v>1.2</v>
      </c>
      <c r="O93">
        <v>0.8</v>
      </c>
      <c r="P93">
        <v>1.71</v>
      </c>
      <c r="Q93">
        <v>0.71</v>
      </c>
      <c r="R93" t="str" cm="1">
        <f t="array" ref="R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3">
        <v>3</v>
      </c>
      <c r="T93">
        <v>1</v>
      </c>
      <c r="U93">
        <v>4</v>
      </c>
      <c r="V93">
        <v>2</v>
      </c>
      <c r="W93">
        <v>2</v>
      </c>
      <c r="X93">
        <v>0</v>
      </c>
      <c r="Y93" t="s">
        <v>280</v>
      </c>
      <c r="Z93">
        <v>77</v>
      </c>
      <c r="AA93">
        <v>0</v>
      </c>
      <c r="AB93">
        <v>1</v>
      </c>
      <c r="AC93">
        <v>4</v>
      </c>
      <c r="AD93">
        <v>0</v>
      </c>
      <c r="AE93">
        <v>2</v>
      </c>
      <c r="AF93">
        <v>0</v>
      </c>
      <c r="AG93">
        <v>2</v>
      </c>
      <c r="AH93">
        <v>2</v>
      </c>
      <c r="AI93">
        <v>1</v>
      </c>
      <c r="AJ93">
        <v>1</v>
      </c>
      <c r="AK93">
        <v>2</v>
      </c>
      <c r="AL93">
        <v>10</v>
      </c>
      <c r="AM93">
        <v>0</v>
      </c>
      <c r="AN93">
        <v>4</v>
      </c>
      <c r="AO93">
        <v>2</v>
      </c>
      <c r="AP93">
        <v>6</v>
      </c>
      <c r="AQ93">
        <v>15</v>
      </c>
      <c r="AR93">
        <v>15</v>
      </c>
      <c r="AS93">
        <v>44</v>
      </c>
      <c r="AT93">
        <v>56</v>
      </c>
      <c r="AU93">
        <v>0.32</v>
      </c>
      <c r="AV93">
        <v>1.37</v>
      </c>
      <c r="AW93">
        <v>2.6</v>
      </c>
      <c r="AX93">
        <v>50</v>
      </c>
      <c r="AY93">
        <v>80</v>
      </c>
      <c r="AZ93">
        <v>50</v>
      </c>
      <c r="BA93">
        <v>30</v>
      </c>
      <c r="BB93">
        <v>0</v>
      </c>
      <c r="BC93">
        <v>40</v>
      </c>
      <c r="BD93">
        <v>50</v>
      </c>
      <c r="BE93">
        <v>60</v>
      </c>
      <c r="BF93">
        <v>90</v>
      </c>
      <c r="BG93">
        <v>5.6</v>
      </c>
      <c r="BH93">
        <v>4.5999999999999996</v>
      </c>
      <c r="BI93">
        <v>2.39</v>
      </c>
      <c r="BJ93">
        <v>2.94</v>
      </c>
      <c r="BK93">
        <v>3.22</v>
      </c>
      <c r="BL93">
        <f>(1/Table1[[#This Row],[odds_ft_home_team_win]]+1/Table1[[#This Row],[odds_ft_draw]]+1/Table1[[#This Row],[odds_ft_away_team_win]]-1)/3</f>
        <v>2.3035034157984285E-2</v>
      </c>
      <c r="BM93">
        <v>1.4</v>
      </c>
      <c r="BN93">
        <v>2.1</v>
      </c>
      <c r="BO93">
        <v>3.45</v>
      </c>
      <c r="BP93">
        <v>6.75</v>
      </c>
      <c r="BQ93">
        <v>1.87</v>
      </c>
      <c r="BR93">
        <v>1.91</v>
      </c>
      <c r="BS93" t="s">
        <v>120</v>
      </c>
      <c r="BT93">
        <f>VLOOKUP(Table1[[#This Row],[Reference]],metron,8,FALSE)</f>
        <v>1.5181603563290151</v>
      </c>
      <c r="BU93">
        <f>VLOOKUP(Table1[[#This Row],[Reference]],metron,9,FALSE)</f>
        <v>1.1952730370775513</v>
      </c>
      <c r="BV93">
        <f>VLOOKUP(Table1[[#This Row],[Reference]],metron,10,FALSE)</f>
        <v>2.4956155335383219</v>
      </c>
      <c r="BW93">
        <f>VLOOKUP(Table1[[#This Row],[Reference]],metron,11,FALSE)</f>
        <v>1.344038264434575</v>
      </c>
      <c r="BX93">
        <f>VLOOKUP(Table1[[#This Row],[Reference]],metron,12,FALSE)</f>
        <v>1.1515772691037469</v>
      </c>
      <c r="BY93" s="6">
        <f>VLOOKUP(Table1[[#This Row],[Reference]],metron,13,FALSE)</f>
        <v>0.59936225942375587</v>
      </c>
      <c r="BZ93" s="6">
        <f>VLOOKUP(Table1[[#This Row],[Reference]],metron,14,FALSE)</f>
        <v>0.50723152260562576</v>
      </c>
      <c r="CA93" s="6">
        <f>VLOOKUP(Table1[[#This Row],[Reference]],metron,15,FALSE)</f>
        <v>11.99278846153846</v>
      </c>
      <c r="CB93" s="6">
        <f>VLOOKUP(Table1[[#This Row],[Reference]],metron,16,FALSE)</f>
        <v>10.0277534965035</v>
      </c>
      <c r="CC93" s="6">
        <f>VLOOKUP(Table1[[#This Row],[Reference]],metron,17,FALSE)</f>
        <v>5.2857459543338514</v>
      </c>
      <c r="CD93" s="6">
        <f>VLOOKUP(Table1[[#This Row],[Reference]],metron,18,FALSE)</f>
        <v>4.4067834183107957</v>
      </c>
      <c r="CE93" s="6">
        <f>VLOOKUP(Table1[[#This Row],[Reference]],metron,19,FALSE)</f>
        <v>6.7070425072046085</v>
      </c>
      <c r="CF93" s="6">
        <f>VLOOKUP(Table1[[#This Row],[Reference]],metron,20,FALSE)</f>
        <v>5.6209700781927046</v>
      </c>
      <c r="CG93" s="6">
        <f>VLOOKUP(Table1[[#This Row],[Reference]],metron,21,FALSE)</f>
        <v>13.04463690872752</v>
      </c>
      <c r="CH93" s="6">
        <f>VLOOKUP(Table1[[#This Row],[Reference]],metron,22,FALSE)</f>
        <v>13.49811236953142</v>
      </c>
      <c r="CI93" s="6">
        <f>VLOOKUP(Table1[[#This Row],[Reference]],metron,23,FALSE)</f>
        <v>1.5836526181353769</v>
      </c>
      <c r="CJ93" s="6">
        <f>VLOOKUP(Table1[[#This Row],[Reference]],metron,24,FALSE)</f>
        <v>1.8744146445295871</v>
      </c>
      <c r="CK93" s="6">
        <f>VLOOKUP(Table1[[#This Row],[Reference]],metron,25,FALSE)</f>
        <v>8.5994040017028525E-2</v>
      </c>
      <c r="CL93" s="6">
        <f>VLOOKUP(Table1[[#This Row],[Reference]],metron,26,FALSE)</f>
        <v>0.13452532992762881</v>
      </c>
    </row>
    <row r="94" spans="1:90" hidden="1" x14ac:dyDescent="0.45">
      <c r="A94" t="s">
        <v>696</v>
      </c>
      <c r="B94">
        <v>1632880800</v>
      </c>
      <c r="C94" s="23" t="s">
        <v>281</v>
      </c>
      <c r="D94" t="s">
        <v>65</v>
      </c>
      <c r="E94" t="s">
        <v>66</v>
      </c>
      <c r="F94" t="s">
        <v>97</v>
      </c>
      <c r="G94" t="s">
        <v>102</v>
      </c>
      <c r="H94" t="s">
        <v>130</v>
      </c>
      <c r="I94">
        <f>MROUND(Table1[[#This Row],[ProbH]]*100,2)/100</f>
        <v>0.57999999999999996</v>
      </c>
      <c r="J94">
        <f>1/Table1[[#This Row],[odds_ft_home_team_win]]-Table1[[#This Row],[Margin]]</f>
        <v>0.57921974670188625</v>
      </c>
      <c r="K94">
        <f>1/Table1[[#This Row],[odds_ft_draw]]-Table1[[#This Row],[Margin]]</f>
        <v>0.2666651806114374</v>
      </c>
      <c r="L94">
        <f>1/Table1[[#This Row],[odds_ft_away_team_win]]-Table1[[#This Row],[Margin]]</f>
        <v>0.1541150726866764</v>
      </c>
      <c r="M94">
        <v>11</v>
      </c>
      <c r="N94">
        <v>2</v>
      </c>
      <c r="O94">
        <v>0.6</v>
      </c>
      <c r="P94">
        <v>1.55</v>
      </c>
      <c r="Q94">
        <v>1.42</v>
      </c>
      <c r="R94" t="str" cm="1">
        <f t="array" ref="R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4">
        <v>0</v>
      </c>
      <c r="T94">
        <v>1</v>
      </c>
      <c r="U94">
        <v>1</v>
      </c>
      <c r="V94">
        <v>1</v>
      </c>
      <c r="W94">
        <v>0</v>
      </c>
      <c r="X94">
        <v>1</v>
      </c>
      <c r="Z94" t="s">
        <v>172</v>
      </c>
      <c r="AA94">
        <v>6</v>
      </c>
      <c r="AB94">
        <v>2</v>
      </c>
      <c r="AC94">
        <v>4</v>
      </c>
      <c r="AD94">
        <v>0</v>
      </c>
      <c r="AE94">
        <v>2</v>
      </c>
      <c r="AF94">
        <v>1</v>
      </c>
      <c r="AG94">
        <v>1</v>
      </c>
      <c r="AH94">
        <v>3</v>
      </c>
      <c r="AI94">
        <v>2</v>
      </c>
      <c r="AJ94">
        <v>1</v>
      </c>
      <c r="AK94">
        <v>18</v>
      </c>
      <c r="AL94">
        <v>12</v>
      </c>
      <c r="AM94">
        <v>5</v>
      </c>
      <c r="AN94">
        <v>3</v>
      </c>
      <c r="AO94">
        <v>13</v>
      </c>
      <c r="AP94">
        <v>9</v>
      </c>
      <c r="AQ94">
        <v>15</v>
      </c>
      <c r="AR94">
        <v>17</v>
      </c>
      <c r="AS94">
        <v>64</v>
      </c>
      <c r="AT94">
        <v>36</v>
      </c>
      <c r="AU94">
        <v>1.88</v>
      </c>
      <c r="AV94">
        <v>1.2</v>
      </c>
      <c r="AW94">
        <v>1.8</v>
      </c>
      <c r="AX94">
        <v>40</v>
      </c>
      <c r="AY94">
        <v>80</v>
      </c>
      <c r="AZ94">
        <v>10</v>
      </c>
      <c r="BA94">
        <v>0</v>
      </c>
      <c r="BB94">
        <v>0</v>
      </c>
      <c r="BC94">
        <v>0</v>
      </c>
      <c r="BD94">
        <v>40</v>
      </c>
      <c r="BE94">
        <v>50</v>
      </c>
      <c r="BF94">
        <v>90</v>
      </c>
      <c r="BG94">
        <v>7.4</v>
      </c>
      <c r="BH94">
        <v>5.4</v>
      </c>
      <c r="BI94">
        <v>1.66</v>
      </c>
      <c r="BJ94">
        <v>3.45</v>
      </c>
      <c r="BK94">
        <v>5.64</v>
      </c>
      <c r="BL94">
        <f>(1/Table1[[#This Row],[odds_ft_home_team_win]]+1/Table1[[#This Row],[odds_ft_draw]]+1/Table1[[#This Row],[odds_ft_away_team_win]]-1)/3</f>
        <v>2.3189891852330707E-2</v>
      </c>
      <c r="BM94">
        <v>1.43</v>
      </c>
      <c r="BN94">
        <v>2.15</v>
      </c>
      <c r="BO94">
        <v>3.8</v>
      </c>
      <c r="BP94">
        <v>7.25</v>
      </c>
      <c r="BQ94">
        <v>2.0499999999999998</v>
      </c>
      <c r="BR94">
        <v>1.74</v>
      </c>
      <c r="BS94" t="s">
        <v>136</v>
      </c>
      <c r="BT94">
        <f>VLOOKUP(Table1[[#This Row],[Reference]],metron,8,FALSE)</f>
        <v>2.0230889143600308</v>
      </c>
      <c r="BU94">
        <f>VLOOKUP(Table1[[#This Row],[Reference]],metron,9,FALSE)</f>
        <v>0.72731480520165426</v>
      </c>
      <c r="BV94">
        <f>VLOOKUP(Table1[[#This Row],[Reference]],metron,10,FALSE)</f>
        <v>2.6362999299229148</v>
      </c>
      <c r="BW94">
        <f>VLOOKUP(Table1[[#This Row],[Reference]],metron,11,FALSE)</f>
        <v>1.7619715019855171</v>
      </c>
      <c r="BX94">
        <f>VLOOKUP(Table1[[#This Row],[Reference]],metron,12,FALSE)</f>
        <v>0.87432842793739785</v>
      </c>
      <c r="BY94" s="6">
        <f>VLOOKUP(Table1[[#This Row],[Reference]],metron,13,FALSE)</f>
        <v>0.78411214953271025</v>
      </c>
      <c r="BZ94" s="6">
        <f>VLOOKUP(Table1[[#This Row],[Reference]],metron,14,FALSE)</f>
        <v>0.38060747663551397</v>
      </c>
      <c r="CA94" s="6">
        <f>VLOOKUP(Table1[[#This Row],[Reference]],metron,15,FALSE)</f>
        <v>14.215499378367181</v>
      </c>
      <c r="CB94" s="6">
        <f>VLOOKUP(Table1[[#This Row],[Reference]],metron,16,FALSE)</f>
        <v>8.9523612261806136</v>
      </c>
      <c r="CC94" s="6">
        <f>VLOOKUP(Table1[[#This Row],[Reference]],metron,17,FALSE)</f>
        <v>6.3083121289228163</v>
      </c>
      <c r="CD94" s="6">
        <f>VLOOKUP(Table1[[#This Row],[Reference]],metron,18,FALSE)</f>
        <v>3.7757524374735061</v>
      </c>
      <c r="CE94" s="6">
        <f>VLOOKUP(Table1[[#This Row],[Reference]],metron,19,FALSE)</f>
        <v>7.9071872494443642</v>
      </c>
      <c r="CF94" s="6">
        <f>VLOOKUP(Table1[[#This Row],[Reference]],metron,20,FALSE)</f>
        <v>5.1766087887071075</v>
      </c>
      <c r="CG94" s="6">
        <f>VLOOKUP(Table1[[#This Row],[Reference]],metron,21,FALSE)</f>
        <v>12.634239592183521</v>
      </c>
      <c r="CH94" s="6">
        <f>VLOOKUP(Table1[[#This Row],[Reference]],metron,22,FALSE)</f>
        <v>13.597706032285471</v>
      </c>
      <c r="CI94" s="6">
        <f>VLOOKUP(Table1[[#This Row],[Reference]],metron,23,FALSE)</f>
        <v>1.365400161681487</v>
      </c>
      <c r="CJ94" s="6">
        <f>VLOOKUP(Table1[[#This Row],[Reference]],metron,24,FALSE)</f>
        <v>1.963621665319321</v>
      </c>
      <c r="CK94" s="6">
        <f>VLOOKUP(Table1[[#This Row],[Reference]],metron,25,FALSE)</f>
        <v>7.1544058205335492E-2</v>
      </c>
      <c r="CL94" s="6">
        <f>VLOOKUP(Table1[[#This Row],[Reference]],metron,26,FALSE)</f>
        <v>0.1216653193209378</v>
      </c>
    </row>
    <row r="95" spans="1:90" hidden="1" x14ac:dyDescent="0.45">
      <c r="A95" t="s">
        <v>696</v>
      </c>
      <c r="B95">
        <v>1632881100</v>
      </c>
      <c r="C95" s="23" t="s">
        <v>282</v>
      </c>
      <c r="D95" t="s">
        <v>65</v>
      </c>
      <c r="E95" t="s">
        <v>66</v>
      </c>
      <c r="F95" t="s">
        <v>84</v>
      </c>
      <c r="G95" t="s">
        <v>68</v>
      </c>
      <c r="H95" t="s">
        <v>122</v>
      </c>
      <c r="I95">
        <f>MROUND(Table1[[#This Row],[ProbH]]*100,2)/100</f>
        <v>0.32</v>
      </c>
      <c r="J95">
        <f>1/Table1[[#This Row],[odds_ft_home_team_win]]-Table1[[#This Row],[Margin]]</f>
        <v>0.32280624668167923</v>
      </c>
      <c r="K95">
        <f>1/Table1[[#This Row],[odds_ft_draw]]-Table1[[#This Row],[Margin]]</f>
        <v>0.30358287105691956</v>
      </c>
      <c r="L95">
        <f>1/Table1[[#This Row],[odds_ft_away_team_win]]-Table1[[#This Row],[Margin]]</f>
        <v>0.37361088226140132</v>
      </c>
      <c r="M95">
        <v>11</v>
      </c>
      <c r="N95">
        <v>1.5</v>
      </c>
      <c r="O95">
        <v>1.6</v>
      </c>
      <c r="P95">
        <v>1.89</v>
      </c>
      <c r="Q95">
        <v>1.53</v>
      </c>
      <c r="R95" t="str" cm="1">
        <f t="array" ref="R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95">
        <v>1</v>
      </c>
      <c r="T95">
        <v>1</v>
      </c>
      <c r="U95">
        <v>2</v>
      </c>
      <c r="V95">
        <v>2</v>
      </c>
      <c r="W95">
        <v>1</v>
      </c>
      <c r="X95">
        <v>1</v>
      </c>
      <c r="Y95">
        <v>33</v>
      </c>
      <c r="Z95" t="s">
        <v>148</v>
      </c>
      <c r="AA95">
        <v>3</v>
      </c>
      <c r="AB95">
        <v>4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10</v>
      </c>
      <c r="AL95">
        <v>20</v>
      </c>
      <c r="AM95">
        <v>4</v>
      </c>
      <c r="AN95">
        <v>5</v>
      </c>
      <c r="AO95">
        <v>6</v>
      </c>
      <c r="AP95">
        <v>15</v>
      </c>
      <c r="AQ95">
        <v>14</v>
      </c>
      <c r="AR95">
        <v>7</v>
      </c>
      <c r="AS95">
        <v>46</v>
      </c>
      <c r="AT95">
        <v>54</v>
      </c>
      <c r="AU95">
        <v>1.18</v>
      </c>
      <c r="AV95">
        <v>2.0299999999999998</v>
      </c>
      <c r="AW95">
        <v>2.13</v>
      </c>
      <c r="AX95">
        <v>43</v>
      </c>
      <c r="AY95">
        <v>55</v>
      </c>
      <c r="AZ95">
        <v>45</v>
      </c>
      <c r="BA95">
        <v>23</v>
      </c>
      <c r="BB95">
        <v>0</v>
      </c>
      <c r="BC95">
        <v>43</v>
      </c>
      <c r="BD95">
        <v>68</v>
      </c>
      <c r="BE95">
        <v>13</v>
      </c>
      <c r="BF95">
        <v>55</v>
      </c>
      <c r="BG95">
        <v>9</v>
      </c>
      <c r="BH95">
        <v>5.9</v>
      </c>
      <c r="BI95">
        <v>2.89</v>
      </c>
      <c r="BJ95">
        <v>3.06</v>
      </c>
      <c r="BK95">
        <v>2.52</v>
      </c>
      <c r="BL95">
        <f>(1/Table1[[#This Row],[odds_ft_home_team_win]]+1/Table1[[#This Row],[odds_ft_draw]]+1/Table1[[#This Row],[odds_ft_away_team_win]]-1)/3</f>
        <v>2.3214514563995481E-2</v>
      </c>
      <c r="BM95">
        <v>1.36</v>
      </c>
      <c r="BN95">
        <v>1.95</v>
      </c>
      <c r="BO95">
        <v>3.2</v>
      </c>
      <c r="BP95">
        <v>6</v>
      </c>
      <c r="BQ95">
        <v>1.77</v>
      </c>
      <c r="BR95">
        <v>2</v>
      </c>
      <c r="BS95" t="s">
        <v>88</v>
      </c>
      <c r="BT95">
        <f>VLOOKUP(Table1[[#This Row],[Reference]],metron,8,FALSE)</f>
        <v>1.274681051426811</v>
      </c>
      <c r="BU95">
        <f>VLOOKUP(Table1[[#This Row],[Reference]],metron,9,FALSE)</f>
        <v>1.4392482240810365</v>
      </c>
      <c r="BV95">
        <f>VLOOKUP(Table1[[#This Row],[Reference]],metron,10,FALSE)</f>
        <v>2.5313454284174597</v>
      </c>
      <c r="BW95">
        <f>VLOOKUP(Table1[[#This Row],[Reference]],metron,11,FALSE)</f>
        <v>1.210167055864918</v>
      </c>
      <c r="BX95">
        <f>VLOOKUP(Table1[[#This Row],[Reference]],metron,12,FALSE)</f>
        <v>1.3211783725525419</v>
      </c>
      <c r="BY95" s="6">
        <f>VLOOKUP(Table1[[#This Row],[Reference]],metron,13,FALSE)</f>
        <v>0.53135669362084459</v>
      </c>
      <c r="BZ95" s="6">
        <f>VLOOKUP(Table1[[#This Row],[Reference]],metron,14,FALSE)</f>
        <v>0.55633423180592989</v>
      </c>
      <c r="CA95" s="6">
        <f>VLOOKUP(Table1[[#This Row],[Reference]],metron,15,FALSE)</f>
        <v>11.21109010712035</v>
      </c>
      <c r="CB95" s="6">
        <f>VLOOKUP(Table1[[#This Row],[Reference]],metron,16,FALSE)</f>
        <v>11.01700787401575</v>
      </c>
      <c r="CC95" s="6">
        <f>VLOOKUP(Table1[[#This Row],[Reference]],metron,17,FALSE)</f>
        <v>4.6792332268370611</v>
      </c>
      <c r="CD95" s="6">
        <f>VLOOKUP(Table1[[#This Row],[Reference]],metron,18,FALSE)</f>
        <v>4.7080804854679013</v>
      </c>
      <c r="CE95" s="6">
        <f>VLOOKUP(Table1[[#This Row],[Reference]],metron,19,FALSE)</f>
        <v>6.5318568802832893</v>
      </c>
      <c r="CF95" s="6">
        <f>VLOOKUP(Table1[[#This Row],[Reference]],metron,20,FALSE)</f>
        <v>6.3089273885478487</v>
      </c>
      <c r="CG95" s="6">
        <f>VLOOKUP(Table1[[#This Row],[Reference]],metron,21,FALSE)</f>
        <v>12.72547770700637</v>
      </c>
      <c r="CH95" s="6">
        <f>VLOOKUP(Table1[[#This Row],[Reference]],metron,22,FALSE)</f>
        <v>13.06847133757962</v>
      </c>
      <c r="CI95" s="6">
        <f>VLOOKUP(Table1[[#This Row],[Reference]],metron,23,FALSE)</f>
        <v>1.6902356902356901</v>
      </c>
      <c r="CJ95" s="6">
        <f>VLOOKUP(Table1[[#This Row],[Reference]],metron,24,FALSE)</f>
        <v>1.8050198959289869</v>
      </c>
      <c r="CK95" s="6">
        <f>VLOOKUP(Table1[[#This Row],[Reference]],metron,25,FALSE)</f>
        <v>0.105907560453015</v>
      </c>
      <c r="CL95" s="6">
        <f>VLOOKUP(Table1[[#This Row],[Reference]],metron,26,FALSE)</f>
        <v>0.1141720232629324</v>
      </c>
    </row>
    <row r="96" spans="1:90" hidden="1" x14ac:dyDescent="0.45">
      <c r="A96" t="s">
        <v>696</v>
      </c>
      <c r="B96">
        <v>1632952800</v>
      </c>
      <c r="C96" s="23" t="s">
        <v>283</v>
      </c>
      <c r="D96" t="s">
        <v>65</v>
      </c>
      <c r="E96" t="s">
        <v>66</v>
      </c>
      <c r="F96" t="s">
        <v>91</v>
      </c>
      <c r="G96" t="s">
        <v>107</v>
      </c>
      <c r="H96" t="s">
        <v>80</v>
      </c>
      <c r="I96">
        <f>MROUND(Table1[[#This Row],[ProbH]]*100,2)/100</f>
        <v>0.4</v>
      </c>
      <c r="J96">
        <f>1/Table1[[#This Row],[odds_ft_home_team_win]]-Table1[[#This Row],[Margin]]</f>
        <v>0.39405586260932174</v>
      </c>
      <c r="K96">
        <f>1/Table1[[#This Row],[odds_ft_draw]]-Table1[[#This Row],[Margin]]</f>
        <v>0.29185460474768649</v>
      </c>
      <c r="L96">
        <f>1/Table1[[#This Row],[odds_ft_away_team_win]]-Table1[[#This Row],[Margin]]</f>
        <v>0.31408953264299172</v>
      </c>
      <c r="M96">
        <v>11</v>
      </c>
      <c r="N96">
        <v>1.25</v>
      </c>
      <c r="O96">
        <v>1.4</v>
      </c>
      <c r="P96">
        <v>1.1100000000000001</v>
      </c>
      <c r="Q96">
        <v>1.48</v>
      </c>
      <c r="R96" t="str" cm="1">
        <f t="array" ref="R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6">
        <v>0</v>
      </c>
      <c r="T96">
        <v>3</v>
      </c>
      <c r="U96">
        <v>3</v>
      </c>
      <c r="V96">
        <v>1</v>
      </c>
      <c r="W96">
        <v>0</v>
      </c>
      <c r="X96">
        <v>1</v>
      </c>
      <c r="Z96" t="s">
        <v>284</v>
      </c>
      <c r="AA96">
        <v>6</v>
      </c>
      <c r="AB96">
        <v>0</v>
      </c>
      <c r="AC96">
        <v>2</v>
      </c>
      <c r="AD96">
        <v>0</v>
      </c>
      <c r="AE96">
        <v>2</v>
      </c>
      <c r="AF96">
        <v>0</v>
      </c>
      <c r="AG96">
        <v>0</v>
      </c>
      <c r="AH96">
        <v>2</v>
      </c>
      <c r="AI96">
        <v>0</v>
      </c>
      <c r="AJ96">
        <v>2</v>
      </c>
      <c r="AK96">
        <v>18</v>
      </c>
      <c r="AL96">
        <v>15</v>
      </c>
      <c r="AM96">
        <v>4</v>
      </c>
      <c r="AN96">
        <v>7</v>
      </c>
      <c r="AO96">
        <v>14</v>
      </c>
      <c r="AP96">
        <v>8</v>
      </c>
      <c r="AQ96">
        <v>8</v>
      </c>
      <c r="AR96">
        <v>10</v>
      </c>
      <c r="AS96">
        <v>44</v>
      </c>
      <c r="AT96">
        <v>56</v>
      </c>
      <c r="AU96">
        <v>1.75</v>
      </c>
      <c r="AV96">
        <v>1.72</v>
      </c>
      <c r="AW96">
        <v>2.5299999999999998</v>
      </c>
      <c r="AX96">
        <v>55</v>
      </c>
      <c r="AY96">
        <v>88</v>
      </c>
      <c r="AZ96">
        <v>43</v>
      </c>
      <c r="BA96">
        <v>23</v>
      </c>
      <c r="BB96">
        <v>13</v>
      </c>
      <c r="BC96">
        <v>23</v>
      </c>
      <c r="BD96">
        <v>78</v>
      </c>
      <c r="BE96">
        <v>30</v>
      </c>
      <c r="BF96">
        <v>88</v>
      </c>
      <c r="BG96">
        <v>10.1</v>
      </c>
      <c r="BH96">
        <v>4</v>
      </c>
      <c r="BI96">
        <v>2.4</v>
      </c>
      <c r="BJ96">
        <v>3.18</v>
      </c>
      <c r="BK96">
        <v>2.97</v>
      </c>
      <c r="BL96">
        <f>(1/Table1[[#This Row],[odds_ft_home_team_win]]+1/Table1[[#This Row],[odds_ft_draw]]+1/Table1[[#This Row],[odds_ft_away_team_win]]-1)/3</f>
        <v>2.2610804057344946E-2</v>
      </c>
      <c r="BM96">
        <v>1.43</v>
      </c>
      <c r="BN96">
        <v>2.15</v>
      </c>
      <c r="BO96">
        <v>3.65</v>
      </c>
      <c r="BP96">
        <v>7</v>
      </c>
      <c r="BQ96">
        <v>1.95</v>
      </c>
      <c r="BR96">
        <v>1.83</v>
      </c>
      <c r="BS96" t="s">
        <v>144</v>
      </c>
      <c r="BT96">
        <f>VLOOKUP(Table1[[#This Row],[Reference]],metron,8,FALSE)</f>
        <v>1.5181603563290151</v>
      </c>
      <c r="BU96">
        <f>VLOOKUP(Table1[[#This Row],[Reference]],metron,9,FALSE)</f>
        <v>1.1952730370775513</v>
      </c>
      <c r="BV96">
        <f>VLOOKUP(Table1[[#This Row],[Reference]],metron,10,FALSE)</f>
        <v>2.4956155335383219</v>
      </c>
      <c r="BW96">
        <f>VLOOKUP(Table1[[#This Row],[Reference]],metron,11,FALSE)</f>
        <v>1.344038264434575</v>
      </c>
      <c r="BX96">
        <f>VLOOKUP(Table1[[#This Row],[Reference]],metron,12,FALSE)</f>
        <v>1.1515772691037469</v>
      </c>
      <c r="BY96" s="6">
        <f>VLOOKUP(Table1[[#This Row],[Reference]],metron,13,FALSE)</f>
        <v>0.59936225942375587</v>
      </c>
      <c r="BZ96" s="6">
        <f>VLOOKUP(Table1[[#This Row],[Reference]],metron,14,FALSE)</f>
        <v>0.50723152260562576</v>
      </c>
      <c r="CA96" s="6">
        <f>VLOOKUP(Table1[[#This Row],[Reference]],metron,15,FALSE)</f>
        <v>11.99278846153846</v>
      </c>
      <c r="CB96" s="6">
        <f>VLOOKUP(Table1[[#This Row],[Reference]],metron,16,FALSE)</f>
        <v>10.0277534965035</v>
      </c>
      <c r="CC96" s="6">
        <f>VLOOKUP(Table1[[#This Row],[Reference]],metron,17,FALSE)</f>
        <v>5.2857459543338514</v>
      </c>
      <c r="CD96" s="6">
        <f>VLOOKUP(Table1[[#This Row],[Reference]],metron,18,FALSE)</f>
        <v>4.4067834183107957</v>
      </c>
      <c r="CE96" s="6">
        <f>VLOOKUP(Table1[[#This Row],[Reference]],metron,19,FALSE)</f>
        <v>6.7070425072046085</v>
      </c>
      <c r="CF96" s="6">
        <f>VLOOKUP(Table1[[#This Row],[Reference]],metron,20,FALSE)</f>
        <v>5.6209700781927046</v>
      </c>
      <c r="CG96" s="6">
        <f>VLOOKUP(Table1[[#This Row],[Reference]],metron,21,FALSE)</f>
        <v>13.04463690872752</v>
      </c>
      <c r="CH96" s="6">
        <f>VLOOKUP(Table1[[#This Row],[Reference]],metron,22,FALSE)</f>
        <v>13.49811236953142</v>
      </c>
      <c r="CI96" s="6">
        <f>VLOOKUP(Table1[[#This Row],[Reference]],metron,23,FALSE)</f>
        <v>1.5836526181353769</v>
      </c>
      <c r="CJ96" s="6">
        <f>VLOOKUP(Table1[[#This Row],[Reference]],metron,24,FALSE)</f>
        <v>1.8744146445295871</v>
      </c>
      <c r="CK96" s="6">
        <f>VLOOKUP(Table1[[#This Row],[Reference]],metron,25,FALSE)</f>
        <v>8.5994040017028525E-2</v>
      </c>
      <c r="CL96" s="6">
        <f>VLOOKUP(Table1[[#This Row],[Reference]],metron,26,FALSE)</f>
        <v>0.13452532992762881</v>
      </c>
    </row>
    <row r="97" spans="1:90" hidden="1" x14ac:dyDescent="0.45">
      <c r="A97" t="s">
        <v>696</v>
      </c>
      <c r="B97">
        <v>1632968100</v>
      </c>
      <c r="C97" s="23" t="s">
        <v>285</v>
      </c>
      <c r="D97" t="s">
        <v>65</v>
      </c>
      <c r="E97" t="s">
        <v>66</v>
      </c>
      <c r="F97" t="s">
        <v>67</v>
      </c>
      <c r="G97" t="s">
        <v>90</v>
      </c>
      <c r="H97" t="s">
        <v>98</v>
      </c>
      <c r="I97">
        <f>MROUND(Table1[[#This Row],[ProbH]]*100,2)/100</f>
        <v>0.28000000000000003</v>
      </c>
      <c r="J97">
        <f>1/Table1[[#This Row],[odds_ft_home_team_win]]-Table1[[#This Row],[Margin]]</f>
        <v>0.28397231273292345</v>
      </c>
      <c r="K97">
        <f>1/Table1[[#This Row],[odds_ft_draw]]-Table1[[#This Row],[Margin]]</f>
        <v>0.30402123209616977</v>
      </c>
      <c r="L97">
        <f>1/Table1[[#This Row],[odds_ft_away_team_win]]-Table1[[#This Row],[Margin]]</f>
        <v>0.41200645517090695</v>
      </c>
      <c r="M97">
        <v>11</v>
      </c>
      <c r="N97">
        <v>1</v>
      </c>
      <c r="O97">
        <v>1.4</v>
      </c>
      <c r="P97">
        <v>1.24</v>
      </c>
      <c r="Q97">
        <v>1.32</v>
      </c>
      <c r="R97" t="str" cm="1">
        <f t="array" ref="R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7">
        <v>1</v>
      </c>
      <c r="T97">
        <v>0</v>
      </c>
      <c r="U97">
        <v>1</v>
      </c>
      <c r="V97">
        <v>0</v>
      </c>
      <c r="W97">
        <v>0</v>
      </c>
      <c r="X97">
        <v>0</v>
      </c>
      <c r="Y97">
        <v>48</v>
      </c>
      <c r="AA97">
        <v>2</v>
      </c>
      <c r="AB97">
        <v>4</v>
      </c>
      <c r="AC97">
        <v>4</v>
      </c>
      <c r="AD97">
        <v>0</v>
      </c>
      <c r="AE97">
        <v>3</v>
      </c>
      <c r="AF97">
        <v>0</v>
      </c>
      <c r="AG97">
        <v>1</v>
      </c>
      <c r="AH97">
        <v>3</v>
      </c>
      <c r="AI97">
        <v>1</v>
      </c>
      <c r="AJ97">
        <v>2</v>
      </c>
      <c r="AK97">
        <v>15</v>
      </c>
      <c r="AL97">
        <v>20</v>
      </c>
      <c r="AM97">
        <v>5</v>
      </c>
      <c r="AN97">
        <v>11</v>
      </c>
      <c r="AO97">
        <v>10</v>
      </c>
      <c r="AP97">
        <v>9</v>
      </c>
      <c r="AQ97">
        <v>9</v>
      </c>
      <c r="AR97">
        <v>11</v>
      </c>
      <c r="AS97">
        <v>32</v>
      </c>
      <c r="AT97">
        <v>68</v>
      </c>
      <c r="AU97">
        <v>1.53</v>
      </c>
      <c r="AV97">
        <v>2.2599999999999998</v>
      </c>
      <c r="AW97">
        <v>0.95</v>
      </c>
      <c r="AX97">
        <v>0</v>
      </c>
      <c r="AY97">
        <v>35</v>
      </c>
      <c r="AZ97">
        <v>13</v>
      </c>
      <c r="BA97">
        <v>0</v>
      </c>
      <c r="BB97">
        <v>0</v>
      </c>
      <c r="BC97">
        <v>13</v>
      </c>
      <c r="BD97">
        <v>38</v>
      </c>
      <c r="BE97">
        <v>10</v>
      </c>
      <c r="BF97">
        <v>35</v>
      </c>
      <c r="BG97">
        <v>6.65</v>
      </c>
      <c r="BH97">
        <v>5.0999999999999996</v>
      </c>
      <c r="BI97">
        <v>3.26</v>
      </c>
      <c r="BJ97">
        <v>3.06</v>
      </c>
      <c r="BK97">
        <v>2.2999999999999998</v>
      </c>
      <c r="BL97">
        <f>(1/Table1[[#This Row],[odds_ft_home_team_win]]+1/Table1[[#This Row],[odds_ft_draw]]+1/Table1[[#This Row],[odds_ft_away_team_win]]-1)/3</f>
        <v>2.2776153524745268E-2</v>
      </c>
      <c r="BM97">
        <v>1.43</v>
      </c>
      <c r="BN97">
        <v>2.15</v>
      </c>
      <c r="BO97">
        <v>3.65</v>
      </c>
      <c r="BP97">
        <v>7</v>
      </c>
      <c r="BQ97">
        <v>1.91</v>
      </c>
      <c r="BR97">
        <v>1.87</v>
      </c>
      <c r="BS97" t="s">
        <v>70</v>
      </c>
      <c r="BT97">
        <f>VLOOKUP(Table1[[#This Row],[Reference]],metron,8,FALSE)</f>
        <v>1.1529533168233341</v>
      </c>
      <c r="BU97">
        <f>VLOOKUP(Table1[[#This Row],[Reference]],metron,9,FALSE)</f>
        <v>1.5628535554286829</v>
      </c>
      <c r="BV97">
        <f>VLOOKUP(Table1[[#This Row],[Reference]],metron,10,FALSE)</f>
        <v>2.5445607358071678</v>
      </c>
      <c r="BW97">
        <f>VLOOKUP(Table1[[#This Row],[Reference]],metron,11,FALSE)</f>
        <v>1.128766254360926</v>
      </c>
      <c r="BX97">
        <f>VLOOKUP(Table1[[#This Row],[Reference]],metron,12,FALSE)</f>
        <v>1.415794481446242</v>
      </c>
      <c r="BY97" s="6">
        <f>VLOOKUP(Table1[[#This Row],[Reference]],metron,13,FALSE)</f>
        <v>0.49635267998731369</v>
      </c>
      <c r="BZ97" s="6">
        <f>VLOOKUP(Table1[[#This Row],[Reference]],metron,14,FALSE)</f>
        <v>0.61084681255946716</v>
      </c>
      <c r="CA97" s="6">
        <f>VLOOKUP(Table1[[#This Row],[Reference]],metron,15,FALSE)</f>
        <v>11.04442036836403</v>
      </c>
      <c r="CB97" s="6">
        <f>VLOOKUP(Table1[[#This Row],[Reference]],metron,16,FALSE)</f>
        <v>11.38840736728061</v>
      </c>
      <c r="CC97" s="6">
        <f>VLOOKUP(Table1[[#This Row],[Reference]],metron,17,FALSE)</f>
        <v>4.5379574003276897</v>
      </c>
      <c r="CD97" s="6">
        <f>VLOOKUP(Table1[[#This Row],[Reference]],metron,18,FALSE)</f>
        <v>4.8481703986892413</v>
      </c>
      <c r="CE97" s="6">
        <f>VLOOKUP(Table1[[#This Row],[Reference]],metron,19,FALSE)</f>
        <v>6.5064629680363399</v>
      </c>
      <c r="CF97" s="6">
        <f>VLOOKUP(Table1[[#This Row],[Reference]],metron,20,FALSE)</f>
        <v>6.540236968591369</v>
      </c>
      <c r="CG97" s="6">
        <f>VLOOKUP(Table1[[#This Row],[Reference]],metron,21,FALSE)</f>
        <v>13.117582417582421</v>
      </c>
      <c r="CH97" s="6">
        <f>VLOOKUP(Table1[[#This Row],[Reference]],metron,22,FALSE)</f>
        <v>13.28241758241758</v>
      </c>
      <c r="CI97" s="6">
        <f>VLOOKUP(Table1[[#This Row],[Reference]],metron,23,FALSE)</f>
        <v>1.792592592592593</v>
      </c>
      <c r="CJ97" s="6">
        <f>VLOOKUP(Table1[[#This Row],[Reference]],metron,24,FALSE)</f>
        <v>1.806980433632998</v>
      </c>
      <c r="CK97" s="6">
        <f>VLOOKUP(Table1[[#This Row],[Reference]],metron,25,FALSE)</f>
        <v>0.1047065044949762</v>
      </c>
      <c r="CL97" s="6">
        <f>VLOOKUP(Table1[[#This Row],[Reference]],metron,26,FALSE)</f>
        <v>0.1073506081438392</v>
      </c>
    </row>
    <row r="98" spans="1:90" hidden="1" x14ac:dyDescent="0.45">
      <c r="A98" t="s">
        <v>696</v>
      </c>
      <c r="B98">
        <v>1633132800</v>
      </c>
      <c r="C98" s="23" t="s">
        <v>286</v>
      </c>
      <c r="D98" t="s">
        <v>65</v>
      </c>
      <c r="E98" t="s">
        <v>66</v>
      </c>
      <c r="F98" t="s">
        <v>102</v>
      </c>
      <c r="G98" t="s">
        <v>84</v>
      </c>
      <c r="H98" t="s">
        <v>66</v>
      </c>
      <c r="I98">
        <f>MROUND(Table1[[#This Row],[ProbH]]*100,2)/100</f>
        <v>0.3</v>
      </c>
      <c r="J98">
        <f>1/Table1[[#This Row],[odds_ft_home_team_win]]-Table1[[#This Row],[Margin]]</f>
        <v>0.29977358355482769</v>
      </c>
      <c r="K98">
        <f>1/Table1[[#This Row],[odds_ft_draw]]-Table1[[#This Row],[Margin]]</f>
        <v>0.29977358355482769</v>
      </c>
      <c r="L98">
        <f>1/Table1[[#This Row],[odds_ft_away_team_win]]-Table1[[#This Row],[Margin]]</f>
        <v>0.40045283289034467</v>
      </c>
      <c r="M98">
        <v>12</v>
      </c>
      <c r="N98">
        <v>1.2</v>
      </c>
      <c r="O98">
        <v>0.8</v>
      </c>
      <c r="P98">
        <v>1.38</v>
      </c>
      <c r="Q98">
        <v>1.42</v>
      </c>
      <c r="R98" t="str" cm="1">
        <f t="array" ref="R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8">
        <v>1</v>
      </c>
      <c r="T98">
        <v>2</v>
      </c>
      <c r="U98">
        <v>3</v>
      </c>
      <c r="V98">
        <v>2</v>
      </c>
      <c r="W98">
        <v>1</v>
      </c>
      <c r="X98">
        <v>1</v>
      </c>
      <c r="Y98">
        <v>23</v>
      </c>
      <c r="Z98" t="s">
        <v>287</v>
      </c>
      <c r="AA98">
        <v>5</v>
      </c>
      <c r="AB98">
        <v>0</v>
      </c>
      <c r="AC98">
        <v>4</v>
      </c>
      <c r="AD98">
        <v>0</v>
      </c>
      <c r="AE98">
        <v>4</v>
      </c>
      <c r="AF98">
        <v>1</v>
      </c>
      <c r="AG98">
        <v>2</v>
      </c>
      <c r="AH98">
        <v>2</v>
      </c>
      <c r="AI98">
        <v>1</v>
      </c>
      <c r="AJ98">
        <v>4</v>
      </c>
      <c r="AK98">
        <v>21</v>
      </c>
      <c r="AL98">
        <v>8</v>
      </c>
      <c r="AM98">
        <v>7</v>
      </c>
      <c r="AN98">
        <v>3</v>
      </c>
      <c r="AO98">
        <v>14</v>
      </c>
      <c r="AP98">
        <v>5</v>
      </c>
      <c r="AQ98">
        <v>12</v>
      </c>
      <c r="AR98">
        <v>7</v>
      </c>
      <c r="AS98">
        <v>56</v>
      </c>
      <c r="AT98">
        <v>44</v>
      </c>
      <c r="AU98">
        <v>2.17</v>
      </c>
      <c r="AV98">
        <v>0.91</v>
      </c>
      <c r="AW98">
        <v>2.2999999999999998</v>
      </c>
      <c r="AX98">
        <v>60</v>
      </c>
      <c r="AY98">
        <v>80</v>
      </c>
      <c r="AZ98">
        <v>30</v>
      </c>
      <c r="BA98">
        <v>20</v>
      </c>
      <c r="BB98">
        <v>0</v>
      </c>
      <c r="BC98">
        <v>20</v>
      </c>
      <c r="BD98">
        <v>70</v>
      </c>
      <c r="BE98">
        <v>30</v>
      </c>
      <c r="BF98">
        <v>90</v>
      </c>
      <c r="BG98">
        <v>10.8</v>
      </c>
      <c r="BH98">
        <v>2.4</v>
      </c>
      <c r="BI98">
        <v>3.13</v>
      </c>
      <c r="BJ98">
        <v>3.13</v>
      </c>
      <c r="BK98">
        <v>2.38</v>
      </c>
      <c r="BL98">
        <f>(1/Table1[[#This Row],[odds_ft_home_team_win]]+1/Table1[[#This Row],[odds_ft_draw]]+1/Table1[[#This Row],[odds_ft_away_team_win]]-1)/3</f>
        <v>1.9715234336546095E-2</v>
      </c>
      <c r="BM98">
        <v>1.4</v>
      </c>
      <c r="BN98">
        <v>2.15</v>
      </c>
      <c r="BO98">
        <v>4.13</v>
      </c>
      <c r="BP98">
        <v>8.15</v>
      </c>
      <c r="BQ98">
        <v>1.92</v>
      </c>
      <c r="BR98">
        <v>1.79</v>
      </c>
      <c r="BS98" t="s">
        <v>124</v>
      </c>
      <c r="BT98">
        <f>VLOOKUP(Table1[[#This Row],[Reference]],metron,8,FALSE)</f>
        <v>1.2142445227270171</v>
      </c>
      <c r="BU98">
        <f>VLOOKUP(Table1[[#This Row],[Reference]],metron,9,FALSE)</f>
        <v>1.4993969533036628</v>
      </c>
      <c r="BV98">
        <f>VLOOKUP(Table1[[#This Row],[Reference]],metron,10,FALSE)</f>
        <v>2.5726407816919519</v>
      </c>
      <c r="BW98">
        <f>VLOOKUP(Table1[[#This Row],[Reference]],metron,11,FALSE)</f>
        <v>1.1805091283106199</v>
      </c>
      <c r="BX98">
        <f>VLOOKUP(Table1[[#This Row],[Reference]],metron,12,FALSE)</f>
        <v>1.3921316533813319</v>
      </c>
      <c r="BY98" s="6">
        <f>VLOOKUP(Table1[[#This Row],[Reference]],metron,13,FALSE)</f>
        <v>0.5209673269873939</v>
      </c>
      <c r="BZ98" s="6">
        <f>VLOOKUP(Table1[[#This Row],[Reference]],metron,14,FALSE)</f>
        <v>0.61847182917417032</v>
      </c>
      <c r="CA98" s="6">
        <f>VLOOKUP(Table1[[#This Row],[Reference]],metron,15,FALSE)</f>
        <v>11.149200710479571</v>
      </c>
      <c r="CB98" s="6">
        <f>VLOOKUP(Table1[[#This Row],[Reference]],metron,16,FALSE)</f>
        <v>11.444049733570161</v>
      </c>
      <c r="CC98" s="6">
        <f>VLOOKUP(Table1[[#This Row],[Reference]],metron,17,FALSE)</f>
        <v>4.5257270693512304</v>
      </c>
      <c r="CD98" s="6">
        <f>VLOOKUP(Table1[[#This Row],[Reference]],metron,18,FALSE)</f>
        <v>4.8465324384787474</v>
      </c>
      <c r="CE98" s="6">
        <f>VLOOKUP(Table1[[#This Row],[Reference]],metron,19,FALSE)</f>
        <v>6.6234736411283404</v>
      </c>
      <c r="CF98" s="6">
        <f>VLOOKUP(Table1[[#This Row],[Reference]],metron,20,FALSE)</f>
        <v>6.5975172950914134</v>
      </c>
      <c r="CG98" s="6">
        <f>VLOOKUP(Table1[[#This Row],[Reference]],metron,21,FALSE)</f>
        <v>12.90081154192967</v>
      </c>
      <c r="CH98" s="6">
        <f>VLOOKUP(Table1[[#This Row],[Reference]],metron,22,FALSE)</f>
        <v>13.00360685302074</v>
      </c>
      <c r="CI98" s="6">
        <f>VLOOKUP(Table1[[#This Row],[Reference]],metron,23,FALSE)</f>
        <v>1.7502145922746779</v>
      </c>
      <c r="CJ98" s="6">
        <f>VLOOKUP(Table1[[#This Row],[Reference]],metron,24,FALSE)</f>
        <v>1.831402831402831</v>
      </c>
      <c r="CK98" s="6">
        <f>VLOOKUP(Table1[[#This Row],[Reference]],metron,25,FALSE)</f>
        <v>9.6525096525096526E-2</v>
      </c>
      <c r="CL98" s="6">
        <f>VLOOKUP(Table1[[#This Row],[Reference]],metron,26,FALSE)</f>
        <v>0.1244101244101244</v>
      </c>
    </row>
    <row r="99" spans="1:90" hidden="1" x14ac:dyDescent="0.45">
      <c r="A99" t="s">
        <v>696</v>
      </c>
      <c r="B99">
        <v>1633140000</v>
      </c>
      <c r="C99" s="23" t="s">
        <v>288</v>
      </c>
      <c r="D99" t="s">
        <v>65</v>
      </c>
      <c r="E99" t="s">
        <v>66</v>
      </c>
      <c r="F99" t="s">
        <v>78</v>
      </c>
      <c r="G99" t="s">
        <v>101</v>
      </c>
      <c r="H99" t="s">
        <v>130</v>
      </c>
      <c r="I99">
        <f>MROUND(Table1[[#This Row],[ProbH]]*100,2)/100</f>
        <v>0.22</v>
      </c>
      <c r="J99">
        <f>1/Table1[[#This Row],[odds_ft_home_team_win]]-Table1[[#This Row],[Margin]]</f>
        <v>0.21653332124536309</v>
      </c>
      <c r="K99">
        <f>1/Table1[[#This Row],[odds_ft_draw]]-Table1[[#This Row],[Margin]]</f>
        <v>0.28146838618042802</v>
      </c>
      <c r="L99">
        <f>1/Table1[[#This Row],[odds_ft_away_team_win]]-Table1[[#This Row],[Margin]]</f>
        <v>0.5019982925742088</v>
      </c>
      <c r="M99">
        <v>12</v>
      </c>
      <c r="N99">
        <v>1.4</v>
      </c>
      <c r="O99">
        <v>1.2</v>
      </c>
      <c r="P99">
        <v>0.88</v>
      </c>
      <c r="Q99">
        <v>1.05</v>
      </c>
      <c r="R99" t="str" cm="1">
        <f t="array" ref="R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9">
        <v>3</v>
      </c>
      <c r="T99">
        <v>1</v>
      </c>
      <c r="U99">
        <v>4</v>
      </c>
      <c r="V99">
        <v>3</v>
      </c>
      <c r="W99">
        <v>2</v>
      </c>
      <c r="X99">
        <v>1</v>
      </c>
      <c r="Y99" t="s">
        <v>289</v>
      </c>
      <c r="Z99">
        <v>39</v>
      </c>
      <c r="AA99">
        <v>2</v>
      </c>
      <c r="AB99">
        <v>5</v>
      </c>
      <c r="AC99">
        <v>2</v>
      </c>
      <c r="AD99">
        <v>0</v>
      </c>
      <c r="AE99">
        <v>4</v>
      </c>
      <c r="AF99">
        <v>0</v>
      </c>
      <c r="AG99">
        <v>0</v>
      </c>
      <c r="AH99">
        <v>2</v>
      </c>
      <c r="AI99">
        <v>3</v>
      </c>
      <c r="AJ99">
        <v>1</v>
      </c>
      <c r="AK99">
        <v>9</v>
      </c>
      <c r="AL99">
        <v>19</v>
      </c>
      <c r="AM99">
        <v>5</v>
      </c>
      <c r="AN99">
        <v>6</v>
      </c>
      <c r="AO99">
        <v>4</v>
      </c>
      <c r="AP99">
        <v>13</v>
      </c>
      <c r="AQ99">
        <v>3</v>
      </c>
      <c r="AR99">
        <v>8</v>
      </c>
      <c r="AS99">
        <v>39</v>
      </c>
      <c r="AT99">
        <v>61</v>
      </c>
      <c r="AU99">
        <v>1.17</v>
      </c>
      <c r="AV99">
        <v>2.04</v>
      </c>
      <c r="AW99">
        <v>2.7</v>
      </c>
      <c r="AX99">
        <v>90</v>
      </c>
      <c r="AY99">
        <v>90</v>
      </c>
      <c r="AZ99">
        <v>60</v>
      </c>
      <c r="BA99">
        <v>20</v>
      </c>
      <c r="BB99">
        <v>0</v>
      </c>
      <c r="BC99">
        <v>60</v>
      </c>
      <c r="BD99">
        <v>80</v>
      </c>
      <c r="BE99">
        <v>40</v>
      </c>
      <c r="BF99">
        <v>60</v>
      </c>
      <c r="BG99">
        <v>6.8</v>
      </c>
      <c r="BH99">
        <v>6.2</v>
      </c>
      <c r="BI99">
        <v>4.2</v>
      </c>
      <c r="BJ99">
        <v>3.3</v>
      </c>
      <c r="BK99">
        <v>1.91</v>
      </c>
      <c r="BL99">
        <f>(1/Table1[[#This Row],[odds_ft_home_team_win]]+1/Table1[[#This Row],[odds_ft_draw]]+1/Table1[[#This Row],[odds_ft_away_team_win]]-1)/3</f>
        <v>2.1561916849875001E-2</v>
      </c>
      <c r="BM99">
        <v>1.33</v>
      </c>
      <c r="BN99">
        <v>2.25</v>
      </c>
      <c r="BO99">
        <v>3.6</v>
      </c>
      <c r="BP99">
        <v>6.95</v>
      </c>
      <c r="BQ99">
        <v>1.88</v>
      </c>
      <c r="BR99">
        <v>1.83</v>
      </c>
      <c r="BS99" t="s">
        <v>82</v>
      </c>
      <c r="BT99">
        <f>VLOOKUP(Table1[[#This Row],[Reference]],metron,8,FALSE)</f>
        <v>0.95722909461760497</v>
      </c>
      <c r="BU99">
        <f>VLOOKUP(Table1[[#This Row],[Reference]],metron,9,FALSE)</f>
        <v>1.7723830340511415</v>
      </c>
      <c r="BV99">
        <f>VLOOKUP(Table1[[#This Row],[Reference]],metron,10,FALSE)</f>
        <v>2.7115135834411381</v>
      </c>
      <c r="BW99">
        <f>VLOOKUP(Table1[[#This Row],[Reference]],metron,11,FALSE)</f>
        <v>1.0633893919793009</v>
      </c>
      <c r="BX99">
        <f>VLOOKUP(Table1[[#This Row],[Reference]],metron,12,FALSE)</f>
        <v>1.648124191461837</v>
      </c>
      <c r="BY99" s="6">
        <f>VLOOKUP(Table1[[#This Row],[Reference]],metron,13,FALSE)</f>
        <v>0.47218628719275552</v>
      </c>
      <c r="BZ99" s="6">
        <f>VLOOKUP(Table1[[#This Row],[Reference]],metron,14,FALSE)</f>
        <v>0.70181112548512292</v>
      </c>
      <c r="CA99" s="6">
        <f>VLOOKUP(Table1[[#This Row],[Reference]],metron,15,FALSE)</f>
        <v>10.38488783943329</v>
      </c>
      <c r="CB99" s="6">
        <f>VLOOKUP(Table1[[#This Row],[Reference]],metron,16,FALSE)</f>
        <v>12.349468713105081</v>
      </c>
      <c r="CC99" s="6">
        <f>VLOOKUP(Table1[[#This Row],[Reference]],metron,17,FALSE)</f>
        <v>4.0990453460620522</v>
      </c>
      <c r="CD99" s="6">
        <f>VLOOKUP(Table1[[#This Row],[Reference]],metron,18,FALSE)</f>
        <v>5.2720763723150359</v>
      </c>
      <c r="CE99" s="6">
        <f>VLOOKUP(Table1[[#This Row],[Reference]],metron,19,FALSE)</f>
        <v>6.2858424933712378</v>
      </c>
      <c r="CF99" s="6">
        <f>VLOOKUP(Table1[[#This Row],[Reference]],metron,20,FALSE)</f>
        <v>7.0773923407900448</v>
      </c>
      <c r="CG99" s="6">
        <f>VLOOKUP(Table1[[#This Row],[Reference]],metron,21,FALSE)</f>
        <v>13.235083532219569</v>
      </c>
      <c r="CH99" s="6">
        <f>VLOOKUP(Table1[[#This Row],[Reference]],metron,22,FALSE)</f>
        <v>13.05131264916468</v>
      </c>
      <c r="CI99" s="6">
        <f>VLOOKUP(Table1[[#This Row],[Reference]],metron,23,FALSE)</f>
        <v>1.834292289988493</v>
      </c>
      <c r="CJ99" s="6">
        <f>VLOOKUP(Table1[[#This Row],[Reference]],metron,24,FALSE)</f>
        <v>1.806674338319908</v>
      </c>
      <c r="CK99" s="6">
        <f>VLOOKUP(Table1[[#This Row],[Reference]],metron,25,FALSE)</f>
        <v>0.1196777905638665</v>
      </c>
      <c r="CL99" s="6">
        <f>VLOOKUP(Table1[[#This Row],[Reference]],metron,26,FALSE)</f>
        <v>0.1185270425776755</v>
      </c>
    </row>
    <row r="100" spans="1:90" hidden="1" x14ac:dyDescent="0.45">
      <c r="A100" t="s">
        <v>696</v>
      </c>
      <c r="B100">
        <v>1633212000</v>
      </c>
      <c r="C100" s="23" t="s">
        <v>290</v>
      </c>
      <c r="D100" t="s">
        <v>65</v>
      </c>
      <c r="E100" t="s">
        <v>66</v>
      </c>
      <c r="F100" t="s">
        <v>85</v>
      </c>
      <c r="G100" t="s">
        <v>91</v>
      </c>
      <c r="H100" t="s">
        <v>138</v>
      </c>
      <c r="I100">
        <f>MROUND(Table1[[#This Row],[ProbH]]*100,2)/100</f>
        <v>0.56000000000000005</v>
      </c>
      <c r="J100">
        <f>1/Table1[[#This Row],[odds_ft_home_team_win]]-Table1[[#This Row],[Margin]]</f>
        <v>0.5685378818426029</v>
      </c>
      <c r="K100">
        <f>1/Table1[[#This Row],[odds_ft_draw]]-Table1[[#This Row],[Margin]]</f>
        <v>0.2435700568747779</v>
      </c>
      <c r="L100">
        <f>1/Table1[[#This Row],[odds_ft_away_team_win]]-Table1[[#This Row],[Margin]]</f>
        <v>0.18789206128261926</v>
      </c>
      <c r="M100">
        <v>12</v>
      </c>
      <c r="N100">
        <v>1.6</v>
      </c>
      <c r="O100">
        <v>1.83</v>
      </c>
      <c r="P100">
        <v>1.55</v>
      </c>
      <c r="Q100">
        <v>1.25</v>
      </c>
      <c r="R100" t="str" cm="1">
        <f t="array" ref="R1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AA100">
        <v>5</v>
      </c>
      <c r="AB100">
        <v>4</v>
      </c>
      <c r="AC100">
        <v>2</v>
      </c>
      <c r="AD100">
        <v>1</v>
      </c>
      <c r="AE100">
        <v>2</v>
      </c>
      <c r="AF100">
        <v>1</v>
      </c>
      <c r="AG100">
        <v>3</v>
      </c>
      <c r="AH100">
        <v>0</v>
      </c>
      <c r="AI100">
        <v>2</v>
      </c>
      <c r="AJ100">
        <v>1</v>
      </c>
      <c r="AK100">
        <v>13</v>
      </c>
      <c r="AL100">
        <v>9</v>
      </c>
      <c r="AM100">
        <v>4</v>
      </c>
      <c r="AN100">
        <v>3</v>
      </c>
      <c r="AO100">
        <v>9</v>
      </c>
      <c r="AP100">
        <v>6</v>
      </c>
      <c r="AQ100">
        <v>10</v>
      </c>
      <c r="AR100">
        <v>10</v>
      </c>
      <c r="AS100">
        <v>59</v>
      </c>
      <c r="AT100">
        <v>41</v>
      </c>
      <c r="AU100">
        <v>1.6</v>
      </c>
      <c r="AV100">
        <v>0.96</v>
      </c>
      <c r="AW100">
        <v>2.69</v>
      </c>
      <c r="AX100">
        <v>72</v>
      </c>
      <c r="AY100">
        <v>82</v>
      </c>
      <c r="AZ100">
        <v>62</v>
      </c>
      <c r="BA100">
        <v>25</v>
      </c>
      <c r="BB100">
        <v>0</v>
      </c>
      <c r="BC100">
        <v>35</v>
      </c>
      <c r="BD100">
        <v>90</v>
      </c>
      <c r="BE100">
        <v>45</v>
      </c>
      <c r="BF100">
        <v>74</v>
      </c>
      <c r="BG100">
        <v>9.6</v>
      </c>
      <c r="BH100">
        <v>3.83</v>
      </c>
      <c r="BI100">
        <v>1.68</v>
      </c>
      <c r="BJ100">
        <v>3.7</v>
      </c>
      <c r="BK100">
        <v>4.66</v>
      </c>
      <c r="BL100">
        <f>(1/Table1[[#This Row],[odds_ft_home_team_win]]+1/Table1[[#This Row],[odds_ft_draw]]+1/Table1[[#This Row],[odds_ft_away_team_win]]-1)/3</f>
        <v>2.6700213395492334E-2</v>
      </c>
      <c r="BM100">
        <v>1.25</v>
      </c>
      <c r="BN100">
        <v>1.77</v>
      </c>
      <c r="BO100">
        <v>3.25</v>
      </c>
      <c r="BP100">
        <v>5.4</v>
      </c>
      <c r="BQ100">
        <v>1.77</v>
      </c>
      <c r="BR100">
        <v>1.95</v>
      </c>
      <c r="BS100" t="s">
        <v>128</v>
      </c>
      <c r="BT100">
        <f>VLOOKUP(Table1[[#This Row],[Reference]],metron,8,FALSE)</f>
        <v>1.9673156855724254</v>
      </c>
      <c r="BU100">
        <f>VLOOKUP(Table1[[#This Row],[Reference]],metron,9,FALSE)</f>
        <v>0.77729484582409181</v>
      </c>
      <c r="BV100">
        <f>VLOOKUP(Table1[[#This Row],[Reference]],metron,10,FALSE)</f>
        <v>2.6892488954344627</v>
      </c>
      <c r="BW100">
        <f>VLOOKUP(Table1[[#This Row],[Reference]],metron,11,FALSE)</f>
        <v>1.7546812539448771</v>
      </c>
      <c r="BX100">
        <f>VLOOKUP(Table1[[#This Row],[Reference]],metron,12,FALSE)</f>
        <v>0.93456764148958549</v>
      </c>
      <c r="BY100" s="6">
        <f>VLOOKUP(Table1[[#This Row],[Reference]],metron,13,FALSE)</f>
        <v>0.77824531874605507</v>
      </c>
      <c r="BZ100" s="6">
        <f>VLOOKUP(Table1[[#This Row],[Reference]],metron,14,FALSE)</f>
        <v>0.41237113402061848</v>
      </c>
      <c r="CA100" s="6">
        <f>VLOOKUP(Table1[[#This Row],[Reference]],metron,15,FALSE)</f>
        <v>13.77153558052435</v>
      </c>
      <c r="CB100" s="6">
        <f>VLOOKUP(Table1[[#This Row],[Reference]],metron,16,FALSE)</f>
        <v>9.0445692883895124</v>
      </c>
      <c r="CC100" s="6">
        <f>VLOOKUP(Table1[[#This Row],[Reference]],metron,17,FALSE)</f>
        <v>6.0821292775665396</v>
      </c>
      <c r="CD100" s="6">
        <f>VLOOKUP(Table1[[#This Row],[Reference]],metron,18,FALSE)</f>
        <v>3.8201520912547529</v>
      </c>
      <c r="CE100" s="6">
        <f>VLOOKUP(Table1[[#This Row],[Reference]],metron,19,FALSE)</f>
        <v>7.6894063029578108</v>
      </c>
      <c r="CF100" s="6">
        <f>VLOOKUP(Table1[[#This Row],[Reference]],metron,20,FALSE)</f>
        <v>5.224417197134759</v>
      </c>
      <c r="CG100" s="6">
        <f>VLOOKUP(Table1[[#This Row],[Reference]],metron,21,FALSE)</f>
        <v>12.297605473204101</v>
      </c>
      <c r="CH100" s="6">
        <f>VLOOKUP(Table1[[#This Row],[Reference]],metron,22,FALSE)</f>
        <v>13.310908399847969</v>
      </c>
      <c r="CI100" s="6">
        <f>VLOOKUP(Table1[[#This Row],[Reference]],metron,23,FALSE)</f>
        <v>1.3713126843657819</v>
      </c>
      <c r="CJ100" s="6">
        <f>VLOOKUP(Table1[[#This Row],[Reference]],metron,24,FALSE)</f>
        <v>1.9516961651917399</v>
      </c>
      <c r="CK100" s="6">
        <f>VLOOKUP(Table1[[#This Row],[Reference]],metron,25,FALSE)</f>
        <v>6.6002949852507375E-2</v>
      </c>
      <c r="CL100" s="6">
        <f>VLOOKUP(Table1[[#This Row],[Reference]],metron,26,FALSE)</f>
        <v>0.1297935103244838</v>
      </c>
    </row>
    <row r="101" spans="1:90" hidden="1" x14ac:dyDescent="0.45">
      <c r="A101" t="s">
        <v>696</v>
      </c>
      <c r="B101">
        <v>1633219560</v>
      </c>
      <c r="C101" s="23" t="s">
        <v>291</v>
      </c>
      <c r="D101" t="s">
        <v>65</v>
      </c>
      <c r="E101" t="s">
        <v>66</v>
      </c>
      <c r="F101" t="s">
        <v>73</v>
      </c>
      <c r="G101" t="s">
        <v>113</v>
      </c>
      <c r="H101" t="s">
        <v>215</v>
      </c>
      <c r="I101">
        <f>MROUND(Table1[[#This Row],[ProbH]]*100,2)/100</f>
        <v>0.62</v>
      </c>
      <c r="J101">
        <f>1/Table1[[#This Row],[odds_ft_home_team_win]]-Table1[[#This Row],[Margin]]</f>
        <v>0.61550742121152102</v>
      </c>
      <c r="K101">
        <f>1/Table1[[#This Row],[odds_ft_draw]]-Table1[[#This Row],[Margin]]</f>
        <v>0.23739474363360283</v>
      </c>
      <c r="L101">
        <f>1/Table1[[#This Row],[odds_ft_away_team_win]]-Table1[[#This Row],[Margin]]</f>
        <v>0.14709783515487615</v>
      </c>
      <c r="M101">
        <v>12</v>
      </c>
      <c r="N101">
        <v>1.17</v>
      </c>
      <c r="O101">
        <v>1</v>
      </c>
      <c r="P101">
        <v>1.58</v>
      </c>
      <c r="Q101">
        <v>0.72</v>
      </c>
      <c r="R101" t="str" cm="1">
        <f t="array" ref="R1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0</v>
      </c>
      <c r="Y101" t="s">
        <v>148</v>
      </c>
      <c r="AA101">
        <v>6</v>
      </c>
      <c r="AB101">
        <v>2</v>
      </c>
      <c r="AC101">
        <v>2</v>
      </c>
      <c r="AD101">
        <v>0</v>
      </c>
      <c r="AE101">
        <v>5</v>
      </c>
      <c r="AF101">
        <v>0</v>
      </c>
      <c r="AG101">
        <v>1</v>
      </c>
      <c r="AH101">
        <v>1</v>
      </c>
      <c r="AI101">
        <v>1</v>
      </c>
      <c r="AJ101">
        <v>4</v>
      </c>
      <c r="AK101">
        <v>10</v>
      </c>
      <c r="AL101">
        <v>8</v>
      </c>
      <c r="AM101">
        <v>3</v>
      </c>
      <c r="AN101">
        <v>0</v>
      </c>
      <c r="AO101">
        <v>7</v>
      </c>
      <c r="AP101">
        <v>8</v>
      </c>
      <c r="AQ101">
        <v>12</v>
      </c>
      <c r="AR101">
        <v>21</v>
      </c>
      <c r="AS101">
        <v>62</v>
      </c>
      <c r="AT101">
        <v>38</v>
      </c>
      <c r="AU101">
        <v>1.26</v>
      </c>
      <c r="AV101">
        <v>0.69</v>
      </c>
      <c r="AW101">
        <v>2.02</v>
      </c>
      <c r="AX101">
        <v>44</v>
      </c>
      <c r="AY101">
        <v>82</v>
      </c>
      <c r="AZ101">
        <v>29</v>
      </c>
      <c r="BA101">
        <v>10</v>
      </c>
      <c r="BB101">
        <v>0</v>
      </c>
      <c r="BC101">
        <v>10</v>
      </c>
      <c r="BD101">
        <v>49</v>
      </c>
      <c r="BE101">
        <v>44</v>
      </c>
      <c r="BF101">
        <v>72</v>
      </c>
      <c r="BG101">
        <v>8.57</v>
      </c>
      <c r="BH101">
        <v>3.17</v>
      </c>
      <c r="BI101">
        <v>1.53</v>
      </c>
      <c r="BJ101">
        <v>3.63</v>
      </c>
      <c r="BK101">
        <v>5.4</v>
      </c>
      <c r="BL101">
        <f>(1/Table1[[#This Row],[odds_ft_home_team_win]]+1/Table1[[#This Row],[odds_ft_draw]]+1/Table1[[#This Row],[odds_ft_away_team_win]]-1)/3</f>
        <v>3.8087350030309018E-2</v>
      </c>
      <c r="BM101">
        <v>0</v>
      </c>
      <c r="BN101">
        <v>1.95</v>
      </c>
      <c r="BO101">
        <v>3.25</v>
      </c>
      <c r="BP101">
        <v>0</v>
      </c>
      <c r="BQ101">
        <v>0</v>
      </c>
      <c r="BR101">
        <v>0</v>
      </c>
      <c r="BS101" t="s">
        <v>142</v>
      </c>
      <c r="BT101">
        <f>VLOOKUP(Table1[[#This Row],[Reference]],metron,8,FALSE)</f>
        <v>2.1234388909289978</v>
      </c>
      <c r="BU101">
        <f>VLOOKUP(Table1[[#This Row],[Reference]],metron,9,FALSE)</f>
        <v>0.63925141338926716</v>
      </c>
      <c r="BV101">
        <f>VLOOKUP(Table1[[#This Row],[Reference]],metron,10,FALSE)</f>
        <v>2.7366666666666664</v>
      </c>
      <c r="BW101">
        <f>VLOOKUP(Table1[[#This Row],[Reference]],metron,11,FALSE)</f>
        <v>1.8681481481481479</v>
      </c>
      <c r="BX101">
        <f>VLOOKUP(Table1[[#This Row],[Reference]],metron,12,FALSE)</f>
        <v>0.86851851851851847</v>
      </c>
      <c r="BY101" s="6">
        <f>VLOOKUP(Table1[[#This Row],[Reference]],metron,13,FALSE)</f>
        <v>0.81333333333333335</v>
      </c>
      <c r="BZ101" s="6">
        <f>VLOOKUP(Table1[[#This Row],[Reference]],metron,14,FALSE)</f>
        <v>0.38925925925925919</v>
      </c>
      <c r="CA101" s="6">
        <f>VLOOKUP(Table1[[#This Row],[Reference]],metron,15,FALSE)</f>
        <v>14.53422724064926</v>
      </c>
      <c r="CB101" s="6">
        <f>VLOOKUP(Table1[[#This Row],[Reference]],metron,16,FALSE)</f>
        <v>8.7882851093860275</v>
      </c>
      <c r="CC101" s="6">
        <f>VLOOKUP(Table1[[#This Row],[Reference]],metron,17,FALSE)</f>
        <v>6.3007953723788868</v>
      </c>
      <c r="CD101" s="6">
        <f>VLOOKUP(Table1[[#This Row],[Reference]],metron,18,FALSE)</f>
        <v>3.681851048445409</v>
      </c>
      <c r="CE101" s="6">
        <f>VLOOKUP(Table1[[#This Row],[Reference]],metron,19,FALSE)</f>
        <v>8.2334318682703724</v>
      </c>
      <c r="CF101" s="6">
        <f>VLOOKUP(Table1[[#This Row],[Reference]],metron,20,FALSE)</f>
        <v>5.106434060940618</v>
      </c>
      <c r="CG101" s="6">
        <f>VLOOKUP(Table1[[#This Row],[Reference]],metron,21,FALSE)</f>
        <v>12.32150615496017</v>
      </c>
      <c r="CH101" s="6">
        <f>VLOOKUP(Table1[[#This Row],[Reference]],metron,22,FALSE)</f>
        <v>13.337436640115859</v>
      </c>
      <c r="CI101" s="6">
        <f>VLOOKUP(Table1[[#This Row],[Reference]],metron,23,FALSE)</f>
        <v>1.346101231190151</v>
      </c>
      <c r="CJ101" s="6">
        <f>VLOOKUP(Table1[[#This Row],[Reference]],metron,24,FALSE)</f>
        <v>1.995212038303694</v>
      </c>
      <c r="CK101" s="6">
        <f>VLOOKUP(Table1[[#This Row],[Reference]],metron,25,FALSE)</f>
        <v>6.1559507523939808E-2</v>
      </c>
      <c r="CL101" s="6">
        <f>VLOOKUP(Table1[[#This Row],[Reference]],metron,26,FALSE)</f>
        <v>0.13201094391244869</v>
      </c>
    </row>
    <row r="102" spans="1:90" hidden="1" x14ac:dyDescent="0.45">
      <c r="A102" t="s">
        <v>696</v>
      </c>
      <c r="B102">
        <v>1633226400</v>
      </c>
      <c r="C102" s="23" t="s">
        <v>292</v>
      </c>
      <c r="D102" t="s">
        <v>65</v>
      </c>
      <c r="E102" t="s">
        <v>66</v>
      </c>
      <c r="F102" t="s">
        <v>90</v>
      </c>
      <c r="G102" t="s">
        <v>97</v>
      </c>
      <c r="H102" t="s">
        <v>122</v>
      </c>
      <c r="I102">
        <f>MROUND(Table1[[#This Row],[ProbH]]*100,2)/100</f>
        <v>0.34</v>
      </c>
      <c r="J102">
        <f>1/Table1[[#This Row],[odds_ft_home_team_win]]-Table1[[#This Row],[Margin]]</f>
        <v>0.34769474068367057</v>
      </c>
      <c r="K102">
        <f>1/Table1[[#This Row],[odds_ft_draw]]-Table1[[#This Row],[Margin]]</f>
        <v>0.32022221321114314</v>
      </c>
      <c r="L102">
        <f>1/Table1[[#This Row],[odds_ft_away_team_win]]-Table1[[#This Row],[Margin]]</f>
        <v>0.33208304610518635</v>
      </c>
      <c r="M102">
        <v>12</v>
      </c>
      <c r="N102">
        <v>1.4</v>
      </c>
      <c r="O102">
        <v>1.8</v>
      </c>
      <c r="P102">
        <v>1.47</v>
      </c>
      <c r="Q102">
        <v>1.68</v>
      </c>
      <c r="R102" t="str" cm="1">
        <f t="array" ref="R1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Z102">
        <v>27</v>
      </c>
      <c r="AA102">
        <v>4</v>
      </c>
      <c r="AB102">
        <v>10</v>
      </c>
      <c r="AC102">
        <v>1</v>
      </c>
      <c r="AD102">
        <v>2</v>
      </c>
      <c r="AE102">
        <v>4</v>
      </c>
      <c r="AF102">
        <v>0</v>
      </c>
      <c r="AG102">
        <v>3</v>
      </c>
      <c r="AH102">
        <v>0</v>
      </c>
      <c r="AI102">
        <v>3</v>
      </c>
      <c r="AJ102">
        <v>1</v>
      </c>
      <c r="AK102">
        <v>8</v>
      </c>
      <c r="AL102">
        <v>17</v>
      </c>
      <c r="AM102">
        <v>2</v>
      </c>
      <c r="AN102">
        <v>4</v>
      </c>
      <c r="AO102">
        <v>6</v>
      </c>
      <c r="AP102">
        <v>13</v>
      </c>
      <c r="AQ102">
        <v>4</v>
      </c>
      <c r="AR102">
        <v>13</v>
      </c>
      <c r="AS102">
        <v>31</v>
      </c>
      <c r="AT102">
        <v>69</v>
      </c>
      <c r="AU102">
        <v>0.77</v>
      </c>
      <c r="AV102">
        <v>1.78</v>
      </c>
      <c r="AW102">
        <v>2.2000000000000002</v>
      </c>
      <c r="AX102">
        <v>50</v>
      </c>
      <c r="AY102">
        <v>70</v>
      </c>
      <c r="AZ102">
        <v>50</v>
      </c>
      <c r="BA102">
        <v>10</v>
      </c>
      <c r="BB102">
        <v>0</v>
      </c>
      <c r="BC102">
        <v>20</v>
      </c>
      <c r="BD102">
        <v>80</v>
      </c>
      <c r="BE102">
        <v>40</v>
      </c>
      <c r="BF102">
        <v>80</v>
      </c>
      <c r="BG102">
        <v>12.2</v>
      </c>
      <c r="BH102">
        <v>2.6</v>
      </c>
      <c r="BI102">
        <v>2.6</v>
      </c>
      <c r="BJ102">
        <v>2.8</v>
      </c>
      <c r="BK102">
        <v>2.71</v>
      </c>
      <c r="BL102">
        <f>(1/Table1[[#This Row],[odds_ft_home_team_win]]+1/Table1[[#This Row],[odds_ft_draw]]+1/Table1[[#This Row],[odds_ft_away_team_win]]-1)/3</f>
        <v>3.6920643931714014E-2</v>
      </c>
      <c r="BM102">
        <v>1.5</v>
      </c>
      <c r="BN102">
        <v>2.25</v>
      </c>
      <c r="BO102">
        <v>4.6500000000000004</v>
      </c>
      <c r="BP102">
        <v>9.35</v>
      </c>
      <c r="BQ102">
        <v>2.0099999999999998</v>
      </c>
      <c r="BR102">
        <v>1.72</v>
      </c>
      <c r="BS102" t="s">
        <v>94</v>
      </c>
      <c r="BT102">
        <f>VLOOKUP(Table1[[#This Row],[Reference]],metron,8,FALSE)</f>
        <v>1.3382439854569812</v>
      </c>
      <c r="BU102">
        <f>VLOOKUP(Table1[[#This Row],[Reference]],metron,9,FALSE)</f>
        <v>1.3740319615582339</v>
      </c>
      <c r="BV102">
        <f>VLOOKUP(Table1[[#This Row],[Reference]],metron,10,FALSE)</f>
        <v>2.5229727551184897</v>
      </c>
      <c r="BW102">
        <f>VLOOKUP(Table1[[#This Row],[Reference]],metron,11,FALSE)</f>
        <v>1.228921489601805</v>
      </c>
      <c r="BX102">
        <f>VLOOKUP(Table1[[#This Row],[Reference]],metron,12,FALSE)</f>
        <v>1.2940512655166849</v>
      </c>
      <c r="BY102" s="6">
        <f>VLOOKUP(Table1[[#This Row],[Reference]],metron,13,FALSE)</f>
        <v>0.53240890035472432</v>
      </c>
      <c r="BZ102" s="6">
        <f>VLOOKUP(Table1[[#This Row],[Reference]],metron,14,FALSE)</f>
        <v>0.56514027732989358</v>
      </c>
      <c r="CA102" s="6">
        <f>VLOOKUP(Table1[[#This Row],[Reference]],metron,15,FALSE)</f>
        <v>11.417888124439131</v>
      </c>
      <c r="CB102" s="6">
        <f>VLOOKUP(Table1[[#This Row],[Reference]],metron,16,FALSE)</f>
        <v>10.76308704756207</v>
      </c>
      <c r="CC102" s="6">
        <f>VLOOKUP(Table1[[#This Row],[Reference]],metron,17,FALSE)</f>
        <v>4.8317672021824798</v>
      </c>
      <c r="CD102" s="6">
        <f>VLOOKUP(Table1[[#This Row],[Reference]],metron,18,FALSE)</f>
        <v>4.6698999696877843</v>
      </c>
      <c r="CE102" s="6">
        <f>VLOOKUP(Table1[[#This Row],[Reference]],metron,19,FALSE)</f>
        <v>6.5861209222566508</v>
      </c>
      <c r="CF102" s="6">
        <f>VLOOKUP(Table1[[#This Row],[Reference]],metron,20,FALSE)</f>
        <v>6.093187077874286</v>
      </c>
      <c r="CG102" s="6">
        <f>VLOOKUP(Table1[[#This Row],[Reference]],metron,21,FALSE)</f>
        <v>12.685679611650491</v>
      </c>
      <c r="CH102" s="6">
        <f>VLOOKUP(Table1[[#This Row],[Reference]],metron,22,FALSE)</f>
        <v>13.02639563106796</v>
      </c>
      <c r="CI102" s="6">
        <f>VLOOKUP(Table1[[#This Row],[Reference]],metron,23,FALSE)</f>
        <v>1.6481211768132831</v>
      </c>
      <c r="CJ102" s="6">
        <f>VLOOKUP(Table1[[#This Row],[Reference]],metron,24,FALSE)</f>
        <v>1.8572676958928049</v>
      </c>
      <c r="CK102" s="6">
        <f>VLOOKUP(Table1[[#This Row],[Reference]],metron,25,FALSE)</f>
        <v>9.641712787649287E-2</v>
      </c>
      <c r="CL102" s="6">
        <f>VLOOKUP(Table1[[#This Row],[Reference]],metron,26,FALSE)</f>
        <v>0.11302068161957469</v>
      </c>
    </row>
    <row r="103" spans="1:90" hidden="1" x14ac:dyDescent="0.45">
      <c r="A103" t="s">
        <v>696</v>
      </c>
      <c r="B103">
        <v>1633280400</v>
      </c>
      <c r="C103" s="23" t="s">
        <v>293</v>
      </c>
      <c r="D103" t="s">
        <v>65</v>
      </c>
      <c r="E103" t="s">
        <v>66</v>
      </c>
      <c r="F103" t="s">
        <v>79</v>
      </c>
      <c r="G103" t="s">
        <v>67</v>
      </c>
      <c r="H103" t="s">
        <v>103</v>
      </c>
      <c r="I103">
        <f>MROUND(Table1[[#This Row],[ProbH]]*100,2)/100</f>
        <v>0.48</v>
      </c>
      <c r="J103">
        <f>1/Table1[[#This Row],[odds_ft_home_team_win]]-Table1[[#This Row],[Margin]]</f>
        <v>0.48185257932779718</v>
      </c>
      <c r="K103">
        <f>1/Table1[[#This Row],[odds_ft_draw]]-Table1[[#This Row],[Margin]]</f>
        <v>0.26058323543950379</v>
      </c>
      <c r="L103">
        <f>1/Table1[[#This Row],[odds_ft_away_team_win]]-Table1[[#This Row],[Margin]]</f>
        <v>0.25756418523269881</v>
      </c>
      <c r="M103">
        <v>12</v>
      </c>
      <c r="N103">
        <v>2</v>
      </c>
      <c r="O103">
        <v>0.4</v>
      </c>
      <c r="P103">
        <v>1.17</v>
      </c>
      <c r="Q103">
        <v>0.65</v>
      </c>
      <c r="R103" t="str" cm="1">
        <f t="array" ref="R1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3">
        <v>1</v>
      </c>
      <c r="T103">
        <v>1</v>
      </c>
      <c r="U103">
        <v>2</v>
      </c>
      <c r="V103">
        <v>0</v>
      </c>
      <c r="W103">
        <v>0</v>
      </c>
      <c r="X103">
        <v>0</v>
      </c>
      <c r="Y103">
        <v>63</v>
      </c>
      <c r="Z103">
        <v>88</v>
      </c>
      <c r="AA103">
        <v>4</v>
      </c>
      <c r="AB103">
        <v>6</v>
      </c>
      <c r="AC103">
        <v>3</v>
      </c>
      <c r="AD103">
        <v>0</v>
      </c>
      <c r="AE103">
        <v>2</v>
      </c>
      <c r="AF103">
        <v>0</v>
      </c>
      <c r="AG103">
        <v>1</v>
      </c>
      <c r="AH103">
        <v>2</v>
      </c>
      <c r="AI103">
        <v>2</v>
      </c>
      <c r="AJ103">
        <v>0</v>
      </c>
      <c r="AK103">
        <v>19</v>
      </c>
      <c r="AL103">
        <v>16</v>
      </c>
      <c r="AM103">
        <v>3</v>
      </c>
      <c r="AN103">
        <v>6</v>
      </c>
      <c r="AO103">
        <v>16</v>
      </c>
      <c r="AP103">
        <v>10</v>
      </c>
      <c r="AQ103">
        <v>13</v>
      </c>
      <c r="AR103">
        <v>14</v>
      </c>
      <c r="AS103">
        <v>58</v>
      </c>
      <c r="AT103">
        <v>42</v>
      </c>
      <c r="AU103">
        <v>1.89</v>
      </c>
      <c r="AV103">
        <v>1.93</v>
      </c>
      <c r="AW103">
        <v>2.6</v>
      </c>
      <c r="AX103">
        <v>60</v>
      </c>
      <c r="AY103">
        <v>80</v>
      </c>
      <c r="AZ103">
        <v>60</v>
      </c>
      <c r="BA103">
        <v>30</v>
      </c>
      <c r="BB103">
        <v>0</v>
      </c>
      <c r="BC103">
        <v>50</v>
      </c>
      <c r="BD103">
        <v>80</v>
      </c>
      <c r="BE103">
        <v>20</v>
      </c>
      <c r="BF103">
        <v>70</v>
      </c>
      <c r="BG103">
        <v>11.2</v>
      </c>
      <c r="BH103">
        <v>6</v>
      </c>
      <c r="BI103">
        <v>2.0099999999999998</v>
      </c>
      <c r="BJ103">
        <v>3.62</v>
      </c>
      <c r="BK103">
        <v>3.66</v>
      </c>
      <c r="BL103">
        <f>(1/Table1[[#This Row],[odds_ft_home_team_win]]+1/Table1[[#This Row],[odds_ft_draw]]+1/Table1[[#This Row],[odds_ft_away_team_win]]-1)/3</f>
        <v>1.5659858483148142E-2</v>
      </c>
      <c r="BM103">
        <v>1.28</v>
      </c>
      <c r="BN103">
        <v>1.86</v>
      </c>
      <c r="BO103">
        <v>3.2</v>
      </c>
      <c r="BP103">
        <v>6</v>
      </c>
      <c r="BQ103">
        <v>1.75</v>
      </c>
      <c r="BR103">
        <v>2</v>
      </c>
      <c r="BS103" t="s">
        <v>140</v>
      </c>
      <c r="BT103">
        <f>VLOOKUP(Table1[[#This Row],[Reference]],metron,8,FALSE)</f>
        <v>1.743992017160418</v>
      </c>
      <c r="BU103">
        <f>VLOOKUP(Table1[[#This Row],[Reference]],metron,9,FALSE)</f>
        <v>0.97803937284245479</v>
      </c>
      <c r="BV103">
        <f>VLOOKUP(Table1[[#This Row],[Reference]],metron,10,FALSE)</f>
        <v>2.5271929824561399</v>
      </c>
      <c r="BW103">
        <f>VLOOKUP(Table1[[#This Row],[Reference]],metron,11,FALSE)</f>
        <v>1.510877192982456</v>
      </c>
      <c r="BX103">
        <f>VLOOKUP(Table1[[#This Row],[Reference]],metron,12,FALSE)</f>
        <v>1.0163157894736841</v>
      </c>
      <c r="BY103" s="6">
        <f>VLOOKUP(Table1[[#This Row],[Reference]],metron,13,FALSE)</f>
        <v>0.67350877192982461</v>
      </c>
      <c r="BZ103" s="6">
        <f>VLOOKUP(Table1[[#This Row],[Reference]],metron,14,FALSE)</f>
        <v>0.4442105263157895</v>
      </c>
      <c r="CA103" s="6">
        <f>VLOOKUP(Table1[[#This Row],[Reference]],metron,15,FALSE)</f>
        <v>12.80980392156863</v>
      </c>
      <c r="CB103" s="6">
        <f>VLOOKUP(Table1[[#This Row],[Reference]],metron,16,FALSE)</f>
        <v>9.6872549019607845</v>
      </c>
      <c r="CC103" s="6">
        <f>VLOOKUP(Table1[[#This Row],[Reference]],metron,17,FALSE)</f>
        <v>5.6491169610129957</v>
      </c>
      <c r="CD103" s="6">
        <f>VLOOKUP(Table1[[#This Row],[Reference]],metron,18,FALSE)</f>
        <v>4.1379540153282237</v>
      </c>
      <c r="CE103" s="6">
        <f>VLOOKUP(Table1[[#This Row],[Reference]],metron,19,FALSE)</f>
        <v>7.1606869605556343</v>
      </c>
      <c r="CF103" s="6">
        <f>VLOOKUP(Table1[[#This Row],[Reference]],metron,20,FALSE)</f>
        <v>5.5493008866325608</v>
      </c>
      <c r="CG103" s="6">
        <f>VLOOKUP(Table1[[#This Row],[Reference]],metron,21,FALSE)</f>
        <v>12.9029029029029</v>
      </c>
      <c r="CH103" s="6">
        <f>VLOOKUP(Table1[[#This Row],[Reference]],metron,22,FALSE)</f>
        <v>13.75508842175509</v>
      </c>
      <c r="CI103" s="6">
        <f>VLOOKUP(Table1[[#This Row],[Reference]],metron,23,FALSE)</f>
        <v>1.5287356321839081</v>
      </c>
      <c r="CJ103" s="6">
        <f>VLOOKUP(Table1[[#This Row],[Reference]],metron,24,FALSE)</f>
        <v>1.9664750957854411</v>
      </c>
      <c r="CK103" s="6">
        <f>VLOOKUP(Table1[[#This Row],[Reference]],metron,25,FALSE)</f>
        <v>8.8441890166028103E-2</v>
      </c>
      <c r="CL103" s="6">
        <f>VLOOKUP(Table1[[#This Row],[Reference]],metron,26,FALSE)</f>
        <v>0.13409961685823751</v>
      </c>
    </row>
    <row r="104" spans="1:90" hidden="1" x14ac:dyDescent="0.45">
      <c r="A104" t="s">
        <v>696</v>
      </c>
      <c r="B104">
        <v>1633298400</v>
      </c>
      <c r="C104" s="23" t="s">
        <v>294</v>
      </c>
      <c r="D104" t="s">
        <v>65</v>
      </c>
      <c r="E104" t="s">
        <v>66</v>
      </c>
      <c r="F104" t="s">
        <v>68</v>
      </c>
      <c r="G104" t="s">
        <v>96</v>
      </c>
      <c r="H104" t="s">
        <v>74</v>
      </c>
      <c r="I104">
        <f>MROUND(Table1[[#This Row],[ProbH]]*100,2)/100</f>
        <v>0.72</v>
      </c>
      <c r="J104">
        <f>1/Table1[[#This Row],[odds_ft_home_team_win]]-Table1[[#This Row],[Margin]]</f>
        <v>0.71353135084973474</v>
      </c>
      <c r="K104">
        <f>1/Table1[[#This Row],[odds_ft_draw]]-Table1[[#This Row],[Margin]]</f>
        <v>0.18521724677627113</v>
      </c>
      <c r="L104">
        <f>1/Table1[[#This Row],[odds_ft_away_team_win]]-Table1[[#This Row],[Margin]]</f>
        <v>0.10125140237399408</v>
      </c>
      <c r="M104">
        <v>12</v>
      </c>
      <c r="N104">
        <v>2.6</v>
      </c>
      <c r="O104">
        <v>0.4</v>
      </c>
      <c r="P104">
        <v>1.9</v>
      </c>
      <c r="Q104">
        <v>1.1000000000000001</v>
      </c>
      <c r="R104" t="str" cm="1">
        <f t="array" ref="R1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04">
        <v>2</v>
      </c>
      <c r="T104">
        <v>0</v>
      </c>
      <c r="U104">
        <v>2</v>
      </c>
      <c r="V104">
        <v>1</v>
      </c>
      <c r="W104">
        <v>1</v>
      </c>
      <c r="X104">
        <v>0</v>
      </c>
      <c r="Y104" t="s">
        <v>295</v>
      </c>
      <c r="AA104">
        <v>2</v>
      </c>
      <c r="AB104">
        <v>4</v>
      </c>
      <c r="AC104">
        <v>2</v>
      </c>
      <c r="AD104">
        <v>0</v>
      </c>
      <c r="AE104">
        <v>3</v>
      </c>
      <c r="AF104">
        <v>0</v>
      </c>
      <c r="AG104">
        <v>1</v>
      </c>
      <c r="AH104">
        <v>1</v>
      </c>
      <c r="AI104">
        <v>1</v>
      </c>
      <c r="AJ104">
        <v>2</v>
      </c>
      <c r="AK104">
        <v>18</v>
      </c>
      <c r="AL104">
        <v>16</v>
      </c>
      <c r="AM104">
        <v>10</v>
      </c>
      <c r="AN104">
        <v>5</v>
      </c>
      <c r="AO104">
        <v>8</v>
      </c>
      <c r="AP104">
        <v>11</v>
      </c>
      <c r="AQ104">
        <v>8</v>
      </c>
      <c r="AR104">
        <v>14</v>
      </c>
      <c r="AS104">
        <v>55</v>
      </c>
      <c r="AT104">
        <v>45</v>
      </c>
      <c r="AU104">
        <v>2.11</v>
      </c>
      <c r="AV104">
        <v>1.51</v>
      </c>
      <c r="AW104">
        <v>2.1</v>
      </c>
      <c r="AX104">
        <v>30</v>
      </c>
      <c r="AY104">
        <v>80</v>
      </c>
      <c r="AZ104">
        <v>40</v>
      </c>
      <c r="BA104">
        <v>10</v>
      </c>
      <c r="BB104">
        <v>0</v>
      </c>
      <c r="BC104">
        <v>10</v>
      </c>
      <c r="BD104">
        <v>70</v>
      </c>
      <c r="BE104">
        <v>40</v>
      </c>
      <c r="BF104">
        <v>80</v>
      </c>
      <c r="BG104">
        <v>9.8000000000000007</v>
      </c>
      <c r="BH104">
        <v>3.8</v>
      </c>
      <c r="BI104">
        <v>1.37</v>
      </c>
      <c r="BJ104">
        <v>4.96</v>
      </c>
      <c r="BK104">
        <v>8.5</v>
      </c>
      <c r="BL104">
        <f>(1/Table1[[#This Row],[odds_ft_home_team_win]]+1/Table1[[#This Row],[odds_ft_draw]]+1/Table1[[#This Row],[odds_ft_away_team_win]]-1)/3</f>
        <v>1.6395656449535334E-2</v>
      </c>
      <c r="BM104">
        <v>1.25</v>
      </c>
      <c r="BN104">
        <v>1.72</v>
      </c>
      <c r="BO104">
        <v>2.9</v>
      </c>
      <c r="BP104">
        <v>5.4</v>
      </c>
      <c r="BQ104">
        <v>2.02</v>
      </c>
      <c r="BR104">
        <v>1.73</v>
      </c>
      <c r="BS104" t="s">
        <v>116</v>
      </c>
      <c r="BT104">
        <f>VLOOKUP(Table1[[#This Row],[Reference]],metron,8,FALSE)</f>
        <v>2.3749635199551693</v>
      </c>
      <c r="BU104">
        <f>VLOOKUP(Table1[[#This Row],[Reference]],metron,9,FALSE)</f>
        <v>0.44130366263957893</v>
      </c>
      <c r="BV104">
        <f>VLOOKUP(Table1[[#This Row],[Reference]],metron,10,FALSE)</f>
        <v>2.9969924812030078</v>
      </c>
      <c r="BW104">
        <f>VLOOKUP(Table1[[#This Row],[Reference]],metron,11,FALSE)</f>
        <v>2.2436090225563912</v>
      </c>
      <c r="BX104">
        <f>VLOOKUP(Table1[[#This Row],[Reference]],metron,12,FALSE)</f>
        <v>0.75338345864661649</v>
      </c>
      <c r="BY104" s="6">
        <f>VLOOKUP(Table1[[#This Row],[Reference]],metron,13,FALSE)</f>
        <v>1.018796992481203</v>
      </c>
      <c r="BZ104" s="6">
        <f>VLOOKUP(Table1[[#This Row],[Reference]],metron,14,FALSE)</f>
        <v>0.35112781954887218</v>
      </c>
      <c r="CA104" s="6">
        <f>VLOOKUP(Table1[[#This Row],[Reference]],metron,15,FALSE)</f>
        <v>16.67069486404834</v>
      </c>
      <c r="CB104" s="6">
        <f>VLOOKUP(Table1[[#This Row],[Reference]],metron,16,FALSE)</f>
        <v>8.2024169184290034</v>
      </c>
      <c r="CC104" s="6">
        <f>VLOOKUP(Table1[[#This Row],[Reference]],metron,17,FALSE)</f>
        <v>7.274390243902439</v>
      </c>
      <c r="CD104" s="6">
        <f>VLOOKUP(Table1[[#This Row],[Reference]],metron,18,FALSE)</f>
        <v>3.282012195121951</v>
      </c>
      <c r="CE104" s="6">
        <f>VLOOKUP(Table1[[#This Row],[Reference]],metron,19,FALSE)</f>
        <v>9.3963046201459015</v>
      </c>
      <c r="CF104" s="6">
        <f>VLOOKUP(Table1[[#This Row],[Reference]],metron,20,FALSE)</f>
        <v>4.9204047233070529</v>
      </c>
      <c r="CG104" s="6">
        <f>VLOOKUP(Table1[[#This Row],[Reference]],metron,21,FALSE)</f>
        <v>11.79352850539291</v>
      </c>
      <c r="CH104" s="6">
        <f>VLOOKUP(Table1[[#This Row],[Reference]],metron,22,FALSE)</f>
        <v>13.348228043143299</v>
      </c>
      <c r="CI104" s="6">
        <f>VLOOKUP(Table1[[#This Row],[Reference]],metron,23,FALSE)</f>
        <v>1.2705530642750369</v>
      </c>
      <c r="CJ104" s="6">
        <f>VLOOKUP(Table1[[#This Row],[Reference]],metron,24,FALSE)</f>
        <v>2.0822122571001489</v>
      </c>
      <c r="CK104" s="6">
        <f>VLOOKUP(Table1[[#This Row],[Reference]],metron,25,FALSE)</f>
        <v>5.6801195814648729E-2</v>
      </c>
      <c r="CL104" s="6">
        <f>VLOOKUP(Table1[[#This Row],[Reference]],metron,26,FALSE)</f>
        <v>0.12257100149476829</v>
      </c>
    </row>
    <row r="105" spans="1:90" hidden="1" x14ac:dyDescent="0.45">
      <c r="A105" t="s">
        <v>696</v>
      </c>
      <c r="B105">
        <v>1633305600</v>
      </c>
      <c r="C105" s="23" t="s">
        <v>296</v>
      </c>
      <c r="D105" t="s">
        <v>65</v>
      </c>
      <c r="E105" t="s">
        <v>66</v>
      </c>
      <c r="F105" t="s">
        <v>107</v>
      </c>
      <c r="G105" t="s">
        <v>72</v>
      </c>
      <c r="H105" t="s">
        <v>69</v>
      </c>
      <c r="I105">
        <f>MROUND(Table1[[#This Row],[ProbH]]*100,2)/100</f>
        <v>0.56000000000000005</v>
      </c>
      <c r="J105">
        <f>1/Table1[[#This Row],[odds_ft_home_team_win]]-Table1[[#This Row],[Margin]]</f>
        <v>0.56345280453585589</v>
      </c>
      <c r="K105">
        <f>1/Table1[[#This Row],[odds_ft_draw]]-Table1[[#This Row],[Margin]]</f>
        <v>0.25450548179004306</v>
      </c>
      <c r="L105">
        <f>1/Table1[[#This Row],[odds_ft_away_team_win]]-Table1[[#This Row],[Margin]]</f>
        <v>0.18204171367410107</v>
      </c>
      <c r="M105">
        <v>12</v>
      </c>
      <c r="N105">
        <v>1.4</v>
      </c>
      <c r="O105">
        <v>0.6</v>
      </c>
      <c r="P105">
        <v>2</v>
      </c>
      <c r="Q105">
        <v>1.28</v>
      </c>
      <c r="R105" t="str" cm="1">
        <f t="array" ref="R1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AA105">
        <v>10</v>
      </c>
      <c r="AB105">
        <v>3</v>
      </c>
      <c r="AC105">
        <v>3</v>
      </c>
      <c r="AD105">
        <v>0</v>
      </c>
      <c r="AE105">
        <v>3</v>
      </c>
      <c r="AF105">
        <v>0</v>
      </c>
      <c r="AG105">
        <v>0</v>
      </c>
      <c r="AH105">
        <v>3</v>
      </c>
      <c r="AI105">
        <v>0</v>
      </c>
      <c r="AJ105">
        <v>3</v>
      </c>
      <c r="AK105">
        <v>20</v>
      </c>
      <c r="AL105">
        <v>13</v>
      </c>
      <c r="AM105">
        <v>9</v>
      </c>
      <c r="AN105">
        <v>5</v>
      </c>
      <c r="AO105">
        <v>11</v>
      </c>
      <c r="AP105">
        <v>8</v>
      </c>
      <c r="AQ105">
        <v>9</v>
      </c>
      <c r="AR105">
        <v>10</v>
      </c>
      <c r="AS105">
        <v>53</v>
      </c>
      <c r="AT105">
        <v>47</v>
      </c>
      <c r="AU105">
        <v>2.2599999999999998</v>
      </c>
      <c r="AV105">
        <v>1.48</v>
      </c>
      <c r="AW105">
        <v>2.2999999999999998</v>
      </c>
      <c r="AX105">
        <v>50</v>
      </c>
      <c r="AY105">
        <v>80</v>
      </c>
      <c r="AZ105">
        <v>50</v>
      </c>
      <c r="BA105">
        <v>10</v>
      </c>
      <c r="BB105">
        <v>0</v>
      </c>
      <c r="BC105">
        <v>20</v>
      </c>
      <c r="BD105">
        <v>90</v>
      </c>
      <c r="BE105">
        <v>30</v>
      </c>
      <c r="BF105">
        <v>80</v>
      </c>
      <c r="BG105">
        <v>9</v>
      </c>
      <c r="BH105">
        <v>5</v>
      </c>
      <c r="BI105">
        <v>1.67</v>
      </c>
      <c r="BJ105">
        <v>3.45</v>
      </c>
      <c r="BK105">
        <v>4.5999999999999996</v>
      </c>
      <c r="BL105">
        <f>(1/Table1[[#This Row],[odds_ft_home_team_win]]+1/Table1[[#This Row],[odds_ft_draw]]+1/Table1[[#This Row],[odds_ft_away_team_win]]-1)/3</f>
        <v>3.5349590673725041E-2</v>
      </c>
      <c r="BM105">
        <v>1.3</v>
      </c>
      <c r="BN105">
        <v>1.95</v>
      </c>
      <c r="BO105">
        <v>3.75</v>
      </c>
      <c r="BP105">
        <v>6.85</v>
      </c>
      <c r="BQ105">
        <v>1.83</v>
      </c>
      <c r="BR105">
        <v>1.83</v>
      </c>
      <c r="BS105" t="s">
        <v>161</v>
      </c>
      <c r="BT105">
        <f>VLOOKUP(Table1[[#This Row],[Reference]],metron,8,FALSE)</f>
        <v>1.9673156855724254</v>
      </c>
      <c r="BU105">
        <f>VLOOKUP(Table1[[#This Row],[Reference]],metron,9,FALSE)</f>
        <v>0.77729484582409181</v>
      </c>
      <c r="BV105">
        <f>VLOOKUP(Table1[[#This Row],[Reference]],metron,10,FALSE)</f>
        <v>2.6892488954344627</v>
      </c>
      <c r="BW105">
        <f>VLOOKUP(Table1[[#This Row],[Reference]],metron,11,FALSE)</f>
        <v>1.7546812539448771</v>
      </c>
      <c r="BX105">
        <f>VLOOKUP(Table1[[#This Row],[Reference]],metron,12,FALSE)</f>
        <v>0.93456764148958549</v>
      </c>
      <c r="BY105" s="6">
        <f>VLOOKUP(Table1[[#This Row],[Reference]],metron,13,FALSE)</f>
        <v>0.77824531874605507</v>
      </c>
      <c r="BZ105" s="6">
        <f>VLOOKUP(Table1[[#This Row],[Reference]],metron,14,FALSE)</f>
        <v>0.41237113402061848</v>
      </c>
      <c r="CA105" s="6">
        <f>VLOOKUP(Table1[[#This Row],[Reference]],metron,15,FALSE)</f>
        <v>13.77153558052435</v>
      </c>
      <c r="CB105" s="6">
        <f>VLOOKUP(Table1[[#This Row],[Reference]],metron,16,FALSE)</f>
        <v>9.0445692883895124</v>
      </c>
      <c r="CC105" s="6">
        <f>VLOOKUP(Table1[[#This Row],[Reference]],metron,17,FALSE)</f>
        <v>6.0821292775665396</v>
      </c>
      <c r="CD105" s="6">
        <f>VLOOKUP(Table1[[#This Row],[Reference]],metron,18,FALSE)</f>
        <v>3.8201520912547529</v>
      </c>
      <c r="CE105" s="6">
        <f>VLOOKUP(Table1[[#This Row],[Reference]],metron,19,FALSE)</f>
        <v>7.6894063029578108</v>
      </c>
      <c r="CF105" s="6">
        <f>VLOOKUP(Table1[[#This Row],[Reference]],metron,20,FALSE)</f>
        <v>5.224417197134759</v>
      </c>
      <c r="CG105" s="6">
        <f>VLOOKUP(Table1[[#This Row],[Reference]],metron,21,FALSE)</f>
        <v>12.297605473204101</v>
      </c>
      <c r="CH105" s="6">
        <f>VLOOKUP(Table1[[#This Row],[Reference]],metron,22,FALSE)</f>
        <v>13.310908399847969</v>
      </c>
      <c r="CI105" s="6">
        <f>VLOOKUP(Table1[[#This Row],[Reference]],metron,23,FALSE)</f>
        <v>1.3713126843657819</v>
      </c>
      <c r="CJ105" s="6">
        <f>VLOOKUP(Table1[[#This Row],[Reference]],metron,24,FALSE)</f>
        <v>1.9516961651917399</v>
      </c>
      <c r="CK105" s="6">
        <f>VLOOKUP(Table1[[#This Row],[Reference]],metron,25,FALSE)</f>
        <v>6.6002949852507375E-2</v>
      </c>
      <c r="CL105" s="6">
        <f>VLOOKUP(Table1[[#This Row],[Reference]],metron,26,FALSE)</f>
        <v>0.1297935103244838</v>
      </c>
    </row>
    <row r="106" spans="1:90" hidden="1" x14ac:dyDescent="0.45">
      <c r="A106" t="s">
        <v>696</v>
      </c>
      <c r="B106">
        <v>1633313160</v>
      </c>
      <c r="C106" s="23" t="s">
        <v>297</v>
      </c>
      <c r="D106" t="s">
        <v>65</v>
      </c>
      <c r="E106" t="s">
        <v>66</v>
      </c>
      <c r="F106" t="s">
        <v>106</v>
      </c>
      <c r="G106" t="s">
        <v>112</v>
      </c>
      <c r="H106" t="s">
        <v>98</v>
      </c>
      <c r="I106">
        <f>MROUND(Table1[[#This Row],[ProbH]]*100,2)/100</f>
        <v>0.32</v>
      </c>
      <c r="J106">
        <f>1/Table1[[#This Row],[odds_ft_home_team_win]]-Table1[[#This Row],[Margin]]</f>
        <v>0.32549093418658637</v>
      </c>
      <c r="K106">
        <f>1/Table1[[#This Row],[odds_ft_draw]]-Table1[[#This Row],[Margin]]</f>
        <v>0.27137838007403225</v>
      </c>
      <c r="L106">
        <f>1/Table1[[#This Row],[odds_ft_away_team_win]]-Table1[[#This Row],[Margin]]</f>
        <v>0.40313068573938143</v>
      </c>
      <c r="M106">
        <v>12</v>
      </c>
      <c r="N106">
        <v>1</v>
      </c>
      <c r="O106">
        <v>1.2</v>
      </c>
      <c r="P106">
        <v>1.35</v>
      </c>
      <c r="Q106">
        <v>1.5</v>
      </c>
      <c r="R106" t="str" cm="1">
        <f t="array" ref="R1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Z106">
        <v>17</v>
      </c>
      <c r="AA106">
        <v>6</v>
      </c>
      <c r="AB106">
        <v>2</v>
      </c>
      <c r="AC106">
        <v>3</v>
      </c>
      <c r="AD106">
        <v>0</v>
      </c>
      <c r="AE106">
        <v>4</v>
      </c>
      <c r="AF106">
        <v>0</v>
      </c>
      <c r="AG106">
        <v>1</v>
      </c>
      <c r="AH106">
        <v>2</v>
      </c>
      <c r="AI106">
        <v>1</v>
      </c>
      <c r="AJ106">
        <v>3</v>
      </c>
      <c r="AK106">
        <v>12</v>
      </c>
      <c r="AL106">
        <v>13</v>
      </c>
      <c r="AM106">
        <v>2</v>
      </c>
      <c r="AN106">
        <v>5</v>
      </c>
      <c r="AO106">
        <v>10</v>
      </c>
      <c r="AP106">
        <v>8</v>
      </c>
      <c r="AQ106">
        <v>9</v>
      </c>
      <c r="AR106">
        <v>7</v>
      </c>
      <c r="AS106">
        <v>52</v>
      </c>
      <c r="AT106">
        <v>48</v>
      </c>
      <c r="AU106">
        <v>1.46</v>
      </c>
      <c r="AV106">
        <v>1.48</v>
      </c>
      <c r="AW106">
        <v>2.17</v>
      </c>
      <c r="AX106">
        <v>74</v>
      </c>
      <c r="AY106">
        <v>82</v>
      </c>
      <c r="AZ106">
        <v>45</v>
      </c>
      <c r="BA106">
        <v>9</v>
      </c>
      <c r="BB106">
        <v>0</v>
      </c>
      <c r="BC106">
        <v>39</v>
      </c>
      <c r="BD106">
        <v>72</v>
      </c>
      <c r="BE106">
        <v>27</v>
      </c>
      <c r="BF106">
        <v>62</v>
      </c>
      <c r="BG106">
        <v>9.57</v>
      </c>
      <c r="BH106">
        <v>5.57</v>
      </c>
      <c r="BI106">
        <v>2.8</v>
      </c>
      <c r="BJ106">
        <v>3.3</v>
      </c>
      <c r="BK106">
        <v>2.2999999999999998</v>
      </c>
      <c r="BL106">
        <f>(1/Table1[[#This Row],[odds_ft_home_team_win]]+1/Table1[[#This Row],[odds_ft_draw]]+1/Table1[[#This Row],[odds_ft_away_team_win]]-1)/3</f>
        <v>3.1651922956270763E-2</v>
      </c>
      <c r="BM106">
        <v>1.33</v>
      </c>
      <c r="BN106">
        <v>2</v>
      </c>
      <c r="BO106">
        <v>3.75</v>
      </c>
      <c r="BP106">
        <v>7</v>
      </c>
      <c r="BQ106">
        <v>1.8</v>
      </c>
      <c r="BR106">
        <v>1.95</v>
      </c>
      <c r="BS106" t="s">
        <v>110</v>
      </c>
      <c r="BT106">
        <f>VLOOKUP(Table1[[#This Row],[Reference]],metron,8,FALSE)</f>
        <v>1.274681051426811</v>
      </c>
      <c r="BU106">
        <f>VLOOKUP(Table1[[#This Row],[Reference]],metron,9,FALSE)</f>
        <v>1.4392482240810365</v>
      </c>
      <c r="BV106">
        <f>VLOOKUP(Table1[[#This Row],[Reference]],metron,10,FALSE)</f>
        <v>2.5313454284174597</v>
      </c>
      <c r="BW106">
        <f>VLOOKUP(Table1[[#This Row],[Reference]],metron,11,FALSE)</f>
        <v>1.210167055864918</v>
      </c>
      <c r="BX106">
        <f>VLOOKUP(Table1[[#This Row],[Reference]],metron,12,FALSE)</f>
        <v>1.3211783725525419</v>
      </c>
      <c r="BY106" s="6">
        <f>VLOOKUP(Table1[[#This Row],[Reference]],metron,13,FALSE)</f>
        <v>0.53135669362084459</v>
      </c>
      <c r="BZ106" s="6">
        <f>VLOOKUP(Table1[[#This Row],[Reference]],metron,14,FALSE)</f>
        <v>0.55633423180592989</v>
      </c>
      <c r="CA106" s="6">
        <f>VLOOKUP(Table1[[#This Row],[Reference]],metron,15,FALSE)</f>
        <v>11.21109010712035</v>
      </c>
      <c r="CB106" s="6">
        <f>VLOOKUP(Table1[[#This Row],[Reference]],metron,16,FALSE)</f>
        <v>11.01700787401575</v>
      </c>
      <c r="CC106" s="6">
        <f>VLOOKUP(Table1[[#This Row],[Reference]],metron,17,FALSE)</f>
        <v>4.6792332268370611</v>
      </c>
      <c r="CD106" s="6">
        <f>VLOOKUP(Table1[[#This Row],[Reference]],metron,18,FALSE)</f>
        <v>4.7080804854679013</v>
      </c>
      <c r="CE106" s="6">
        <f>VLOOKUP(Table1[[#This Row],[Reference]],metron,19,FALSE)</f>
        <v>6.5318568802832893</v>
      </c>
      <c r="CF106" s="6">
        <f>VLOOKUP(Table1[[#This Row],[Reference]],metron,20,FALSE)</f>
        <v>6.3089273885478487</v>
      </c>
      <c r="CG106" s="6">
        <f>VLOOKUP(Table1[[#This Row],[Reference]],metron,21,FALSE)</f>
        <v>12.72547770700637</v>
      </c>
      <c r="CH106" s="6">
        <f>VLOOKUP(Table1[[#This Row],[Reference]],metron,22,FALSE)</f>
        <v>13.06847133757962</v>
      </c>
      <c r="CI106" s="6">
        <f>VLOOKUP(Table1[[#This Row],[Reference]],metron,23,FALSE)</f>
        <v>1.6902356902356901</v>
      </c>
      <c r="CJ106" s="6">
        <f>VLOOKUP(Table1[[#This Row],[Reference]],metron,24,FALSE)</f>
        <v>1.8050198959289869</v>
      </c>
      <c r="CK106" s="6">
        <f>VLOOKUP(Table1[[#This Row],[Reference]],metron,25,FALSE)</f>
        <v>0.105907560453015</v>
      </c>
      <c r="CL106" s="6">
        <f>VLOOKUP(Table1[[#This Row],[Reference]],metron,26,FALSE)</f>
        <v>0.1141720232629324</v>
      </c>
    </row>
    <row r="107" spans="1:90" hidden="1" x14ac:dyDescent="0.45">
      <c r="A107" t="s">
        <v>696</v>
      </c>
      <c r="B107">
        <v>1633737600</v>
      </c>
      <c r="C107" s="23" t="s">
        <v>298</v>
      </c>
      <c r="D107" t="s">
        <v>65</v>
      </c>
      <c r="E107" t="s">
        <v>66</v>
      </c>
      <c r="F107" t="s">
        <v>78</v>
      </c>
      <c r="G107" t="s">
        <v>67</v>
      </c>
      <c r="H107" t="s">
        <v>69</v>
      </c>
      <c r="I107">
        <f>MROUND(Table1[[#This Row],[ProbH]]*100,2)/100</f>
        <v>0.44</v>
      </c>
      <c r="J107">
        <f>1/Table1[[#This Row],[odds_ft_home_team_win]]-Table1[[#This Row],[Margin]]</f>
        <v>0.43551587301587297</v>
      </c>
      <c r="K107">
        <f>1/Table1[[#This Row],[odds_ft_draw]]-Table1[[#This Row],[Margin]]</f>
        <v>0.2718253968253968</v>
      </c>
      <c r="L107">
        <f>1/Table1[[#This Row],[odds_ft_away_team_win]]-Table1[[#This Row],[Margin]]</f>
        <v>0.29265873015873012</v>
      </c>
      <c r="M107">
        <v>10</v>
      </c>
      <c r="N107">
        <v>1.67</v>
      </c>
      <c r="O107">
        <v>0.5</v>
      </c>
      <c r="P107">
        <v>0.88</v>
      </c>
      <c r="Q107">
        <v>0.65</v>
      </c>
      <c r="R107" t="str" cm="1">
        <f t="array" ref="R1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AA107">
        <v>10</v>
      </c>
      <c r="AB107">
        <v>2</v>
      </c>
      <c r="AC107">
        <v>2</v>
      </c>
      <c r="AD107">
        <v>0</v>
      </c>
      <c r="AE107">
        <v>4</v>
      </c>
      <c r="AF107">
        <v>1</v>
      </c>
      <c r="AG107">
        <v>1</v>
      </c>
      <c r="AH107">
        <v>1</v>
      </c>
      <c r="AI107">
        <v>2</v>
      </c>
      <c r="AJ107">
        <v>3</v>
      </c>
      <c r="AK107">
        <v>21</v>
      </c>
      <c r="AL107">
        <v>4</v>
      </c>
      <c r="AM107">
        <v>3</v>
      </c>
      <c r="AN107">
        <v>4</v>
      </c>
      <c r="AO107">
        <v>18</v>
      </c>
      <c r="AP107">
        <v>0</v>
      </c>
      <c r="AQ107">
        <v>15</v>
      </c>
      <c r="AR107">
        <v>5</v>
      </c>
      <c r="AS107">
        <v>78</v>
      </c>
      <c r="AT107">
        <v>22</v>
      </c>
      <c r="AU107">
        <v>2.33</v>
      </c>
      <c r="AV107">
        <v>0.73</v>
      </c>
      <c r="AW107">
        <v>2.25</v>
      </c>
      <c r="AX107">
        <v>58</v>
      </c>
      <c r="AY107">
        <v>75</v>
      </c>
      <c r="AZ107">
        <v>42</v>
      </c>
      <c r="BA107">
        <v>17</v>
      </c>
      <c r="BB107">
        <v>0</v>
      </c>
      <c r="BC107">
        <v>42</v>
      </c>
      <c r="BD107">
        <v>75</v>
      </c>
      <c r="BE107">
        <v>25</v>
      </c>
      <c r="BF107">
        <v>67</v>
      </c>
      <c r="BG107">
        <v>8.33</v>
      </c>
      <c r="BH107">
        <v>5.5</v>
      </c>
      <c r="BI107">
        <v>2.1</v>
      </c>
      <c r="BJ107">
        <v>3.2</v>
      </c>
      <c r="BK107">
        <v>3</v>
      </c>
      <c r="BL107">
        <f>(1/Table1[[#This Row],[odds_ft_home_team_win]]+1/Table1[[#This Row],[odds_ft_draw]]+1/Table1[[#This Row],[odds_ft_away_team_win]]-1)/3</f>
        <v>4.0674603174603176E-2</v>
      </c>
      <c r="BM107">
        <v>1.41</v>
      </c>
      <c r="BN107">
        <v>2.1</v>
      </c>
      <c r="BO107">
        <v>3.6</v>
      </c>
      <c r="BP107">
        <v>7</v>
      </c>
      <c r="BQ107">
        <v>1.91</v>
      </c>
      <c r="BR107">
        <v>1.83</v>
      </c>
      <c r="BS107" t="s">
        <v>82</v>
      </c>
      <c r="BT107">
        <f>VLOOKUP(Table1[[#This Row],[Reference]],metron,8,FALSE)</f>
        <v>1.6395459745305552</v>
      </c>
      <c r="BU107">
        <f>VLOOKUP(Table1[[#This Row],[Reference]],metron,9,FALSE)</f>
        <v>1.0758429359324786</v>
      </c>
      <c r="BV107">
        <f>VLOOKUP(Table1[[#This Row],[Reference]],metron,10,FALSE)</f>
        <v>2.4807646356033461</v>
      </c>
      <c r="BW107">
        <f>VLOOKUP(Table1[[#This Row],[Reference]],metron,11,FALSE)</f>
        <v>1.4140979689366791</v>
      </c>
      <c r="BX107">
        <f>VLOOKUP(Table1[[#This Row],[Reference]],metron,12,FALSE)</f>
        <v>1.0666666666666671</v>
      </c>
      <c r="BY107" s="6">
        <f>VLOOKUP(Table1[[#This Row],[Reference]],metron,13,FALSE)</f>
        <v>0.62712066905615294</v>
      </c>
      <c r="BZ107" s="6">
        <f>VLOOKUP(Table1[[#This Row],[Reference]],metron,14,FALSE)</f>
        <v>0.46009557945041818</v>
      </c>
      <c r="CA107" s="6">
        <f>VLOOKUP(Table1[[#This Row],[Reference]],metron,15,FALSE)</f>
        <v>12.56969280146722</v>
      </c>
      <c r="CB107" s="6">
        <f>VLOOKUP(Table1[[#This Row],[Reference]],metron,16,FALSE)</f>
        <v>9.8695552498853729</v>
      </c>
      <c r="CC107" s="6">
        <f>VLOOKUP(Table1[[#This Row],[Reference]],metron,17,FALSE)</f>
        <v>5.2754256787850897</v>
      </c>
      <c r="CD107" s="6">
        <f>VLOOKUP(Table1[[#This Row],[Reference]],metron,18,FALSE)</f>
        <v>4.1279337321675103</v>
      </c>
      <c r="CE107" s="6">
        <f>VLOOKUP(Table1[[#This Row],[Reference]],metron,19,FALSE)</f>
        <v>7.2942671226821298</v>
      </c>
      <c r="CF107" s="6">
        <f>VLOOKUP(Table1[[#This Row],[Reference]],metron,20,FALSE)</f>
        <v>5.7416215177178627</v>
      </c>
      <c r="CG107" s="6">
        <f>VLOOKUP(Table1[[#This Row],[Reference]],metron,21,FALSE)</f>
        <v>12.897246007868549</v>
      </c>
      <c r="CH107" s="6">
        <f>VLOOKUP(Table1[[#This Row],[Reference]],metron,22,FALSE)</f>
        <v>13.507058551261281</v>
      </c>
      <c r="CI107" s="6">
        <f>VLOOKUP(Table1[[#This Row],[Reference]],metron,23,FALSE)</f>
        <v>1.576522702104098</v>
      </c>
      <c r="CJ107" s="6">
        <f>VLOOKUP(Table1[[#This Row],[Reference]],metron,24,FALSE)</f>
        <v>1.917165005537099</v>
      </c>
      <c r="CK107" s="6">
        <f>VLOOKUP(Table1[[#This Row],[Reference]],metron,25,FALSE)</f>
        <v>8.4385382059800659E-2</v>
      </c>
      <c r="CL107" s="6">
        <f>VLOOKUP(Table1[[#This Row],[Reference]],metron,26,FALSE)</f>
        <v>0.1233665559246955</v>
      </c>
    </row>
    <row r="108" spans="1:90" hidden="1" x14ac:dyDescent="0.45">
      <c r="A108" t="s">
        <v>696</v>
      </c>
      <c r="B108">
        <v>1634259600</v>
      </c>
      <c r="C108" s="23" t="s">
        <v>299</v>
      </c>
      <c r="D108" t="s">
        <v>65</v>
      </c>
      <c r="E108" t="s">
        <v>66</v>
      </c>
      <c r="F108" t="s">
        <v>67</v>
      </c>
      <c r="G108" t="s">
        <v>106</v>
      </c>
      <c r="H108" t="s">
        <v>92</v>
      </c>
      <c r="I108">
        <f>MROUND(Table1[[#This Row],[ProbH]]*100,2)/100</f>
        <v>0.44</v>
      </c>
      <c r="J108">
        <f>1/Table1[[#This Row],[odds_ft_home_team_win]]-Table1[[#This Row],[Margin]]</f>
        <v>0.43983664913897474</v>
      </c>
      <c r="K108">
        <f>1/Table1[[#This Row],[odds_ft_draw]]-Table1[[#This Row],[Margin]]</f>
        <v>0.27775067309951035</v>
      </c>
      <c r="L108">
        <f>1/Table1[[#This Row],[odds_ft_away_team_win]]-Table1[[#This Row],[Margin]]</f>
        <v>0.28241267776151502</v>
      </c>
      <c r="M108">
        <v>13</v>
      </c>
      <c r="N108">
        <v>1.4</v>
      </c>
      <c r="O108">
        <v>0.2</v>
      </c>
      <c r="P108">
        <v>1.24</v>
      </c>
      <c r="Q108">
        <v>0.53</v>
      </c>
      <c r="R108" t="str" cm="1">
        <f t="array" ref="R1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8">
        <v>1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75</v>
      </c>
      <c r="Z108">
        <v>44</v>
      </c>
      <c r="AA108">
        <v>6</v>
      </c>
      <c r="AB108">
        <v>3</v>
      </c>
      <c r="AC108">
        <v>1</v>
      </c>
      <c r="AD108">
        <v>1</v>
      </c>
      <c r="AE108">
        <v>4</v>
      </c>
      <c r="AF108">
        <v>0</v>
      </c>
      <c r="AG108">
        <v>0</v>
      </c>
      <c r="AH108">
        <v>2</v>
      </c>
      <c r="AI108">
        <v>1</v>
      </c>
      <c r="AJ108">
        <v>3</v>
      </c>
      <c r="AK108">
        <v>21</v>
      </c>
      <c r="AL108">
        <v>6</v>
      </c>
      <c r="AM108">
        <v>4</v>
      </c>
      <c r="AN108">
        <v>2</v>
      </c>
      <c r="AO108">
        <v>17</v>
      </c>
      <c r="AP108">
        <v>4</v>
      </c>
      <c r="AQ108">
        <v>5</v>
      </c>
      <c r="AR108">
        <v>17</v>
      </c>
      <c r="AS108">
        <v>62</v>
      </c>
      <c r="AT108">
        <v>38</v>
      </c>
      <c r="AU108">
        <v>2.0299999999999998</v>
      </c>
      <c r="AV108">
        <v>0.65</v>
      </c>
      <c r="AW108">
        <v>2.2000000000000002</v>
      </c>
      <c r="AX108">
        <v>30</v>
      </c>
      <c r="AY108">
        <v>70</v>
      </c>
      <c r="AZ108">
        <v>40</v>
      </c>
      <c r="BA108">
        <v>10</v>
      </c>
      <c r="BB108">
        <v>10</v>
      </c>
      <c r="BC108">
        <v>30</v>
      </c>
      <c r="BD108">
        <v>60</v>
      </c>
      <c r="BE108">
        <v>30</v>
      </c>
      <c r="BF108">
        <v>70</v>
      </c>
      <c r="BG108">
        <v>5</v>
      </c>
      <c r="BH108">
        <v>5.6</v>
      </c>
      <c r="BI108">
        <v>2.15</v>
      </c>
      <c r="BJ108">
        <v>3.3</v>
      </c>
      <c r="BK108">
        <v>3.25</v>
      </c>
      <c r="BL108">
        <f>(1/Table1[[#This Row],[odds_ft_home_team_win]]+1/Table1[[#This Row],[odds_ft_draw]]+1/Table1[[#This Row],[odds_ft_away_team_win]]-1)/3</f>
        <v>2.5279629930792691E-2</v>
      </c>
      <c r="BM108">
        <v>1.38</v>
      </c>
      <c r="BN108">
        <v>2.4</v>
      </c>
      <c r="BO108">
        <v>4.34</v>
      </c>
      <c r="BP108">
        <v>10.5</v>
      </c>
      <c r="BQ108">
        <v>2</v>
      </c>
      <c r="BR108">
        <v>1.73</v>
      </c>
      <c r="BS108" t="s">
        <v>70</v>
      </c>
      <c r="BT108">
        <f>VLOOKUP(Table1[[#This Row],[Reference]],metron,8,FALSE)</f>
        <v>1.6395459745305552</v>
      </c>
      <c r="BU108">
        <f>VLOOKUP(Table1[[#This Row],[Reference]],metron,9,FALSE)</f>
        <v>1.0758429359324786</v>
      </c>
      <c r="BV108">
        <f>VLOOKUP(Table1[[#This Row],[Reference]],metron,10,FALSE)</f>
        <v>2.4807646356033461</v>
      </c>
      <c r="BW108">
        <f>VLOOKUP(Table1[[#This Row],[Reference]],metron,11,FALSE)</f>
        <v>1.4140979689366791</v>
      </c>
      <c r="BX108">
        <f>VLOOKUP(Table1[[#This Row],[Reference]],metron,12,FALSE)</f>
        <v>1.0666666666666671</v>
      </c>
      <c r="BY108" s="6">
        <f>VLOOKUP(Table1[[#This Row],[Reference]],metron,13,FALSE)</f>
        <v>0.62712066905615294</v>
      </c>
      <c r="BZ108" s="6">
        <f>VLOOKUP(Table1[[#This Row],[Reference]],metron,14,FALSE)</f>
        <v>0.46009557945041818</v>
      </c>
      <c r="CA108" s="6">
        <f>VLOOKUP(Table1[[#This Row],[Reference]],metron,15,FALSE)</f>
        <v>12.56969280146722</v>
      </c>
      <c r="CB108" s="6">
        <f>VLOOKUP(Table1[[#This Row],[Reference]],metron,16,FALSE)</f>
        <v>9.8695552498853729</v>
      </c>
      <c r="CC108" s="6">
        <f>VLOOKUP(Table1[[#This Row],[Reference]],metron,17,FALSE)</f>
        <v>5.2754256787850897</v>
      </c>
      <c r="CD108" s="6">
        <f>VLOOKUP(Table1[[#This Row],[Reference]],metron,18,FALSE)</f>
        <v>4.1279337321675103</v>
      </c>
      <c r="CE108" s="6">
        <f>VLOOKUP(Table1[[#This Row],[Reference]],metron,19,FALSE)</f>
        <v>7.2942671226821298</v>
      </c>
      <c r="CF108" s="6">
        <f>VLOOKUP(Table1[[#This Row],[Reference]],metron,20,FALSE)</f>
        <v>5.7416215177178627</v>
      </c>
      <c r="CG108" s="6">
        <f>VLOOKUP(Table1[[#This Row],[Reference]],metron,21,FALSE)</f>
        <v>12.897246007868549</v>
      </c>
      <c r="CH108" s="6">
        <f>VLOOKUP(Table1[[#This Row],[Reference]],metron,22,FALSE)</f>
        <v>13.507058551261281</v>
      </c>
      <c r="CI108" s="6">
        <f>VLOOKUP(Table1[[#This Row],[Reference]],metron,23,FALSE)</f>
        <v>1.576522702104098</v>
      </c>
      <c r="CJ108" s="6">
        <f>VLOOKUP(Table1[[#This Row],[Reference]],metron,24,FALSE)</f>
        <v>1.917165005537099</v>
      </c>
      <c r="CK108" s="6">
        <f>VLOOKUP(Table1[[#This Row],[Reference]],metron,25,FALSE)</f>
        <v>8.4385382059800659E-2</v>
      </c>
      <c r="CL108" s="6">
        <f>VLOOKUP(Table1[[#This Row],[Reference]],metron,26,FALSE)</f>
        <v>0.1233665559246955</v>
      </c>
    </row>
    <row r="109" spans="1:90" hidden="1" x14ac:dyDescent="0.45">
      <c r="A109" t="s">
        <v>696</v>
      </c>
      <c r="B109">
        <v>1634342400</v>
      </c>
      <c r="C109" s="23" t="s">
        <v>300</v>
      </c>
      <c r="D109" t="s">
        <v>65</v>
      </c>
      <c r="E109" t="s">
        <v>66</v>
      </c>
      <c r="F109" t="s">
        <v>72</v>
      </c>
      <c r="G109" t="s">
        <v>102</v>
      </c>
      <c r="H109" t="s">
        <v>122</v>
      </c>
      <c r="I109">
        <f>MROUND(Table1[[#This Row],[ProbH]]*100,2)/100</f>
        <v>0.46</v>
      </c>
      <c r="J109">
        <f>1/Table1[[#This Row],[odds_ft_home_team_win]]-Table1[[#This Row],[Margin]]</f>
        <v>0.45271344067160507</v>
      </c>
      <c r="K109">
        <f>1/Table1[[#This Row],[odds_ft_draw]]-Table1[[#This Row],[Margin]]</f>
        <v>0.27996577764099806</v>
      </c>
      <c r="L109">
        <f>1/Table1[[#This Row],[odds_ft_away_team_win]]-Table1[[#This Row],[Margin]]</f>
        <v>0.26732078168739681</v>
      </c>
      <c r="M109">
        <v>13</v>
      </c>
      <c r="N109">
        <v>1.5</v>
      </c>
      <c r="O109">
        <v>1</v>
      </c>
      <c r="P109">
        <v>1.24</v>
      </c>
      <c r="Q109">
        <v>1.42</v>
      </c>
      <c r="R109" t="str" cm="1">
        <f t="array" ref="R1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Z109">
        <v>87</v>
      </c>
      <c r="AA109">
        <v>4</v>
      </c>
      <c r="AB109">
        <v>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15</v>
      </c>
      <c r="AL109">
        <v>17</v>
      </c>
      <c r="AM109">
        <v>3</v>
      </c>
      <c r="AN109">
        <v>7</v>
      </c>
      <c r="AO109">
        <v>12</v>
      </c>
      <c r="AP109">
        <v>10</v>
      </c>
      <c r="AQ109">
        <v>17</v>
      </c>
      <c r="AR109">
        <v>5</v>
      </c>
      <c r="AS109">
        <v>61</v>
      </c>
      <c r="AT109">
        <v>39</v>
      </c>
      <c r="AU109">
        <v>1.43</v>
      </c>
      <c r="AV109">
        <v>1.83</v>
      </c>
      <c r="AW109">
        <v>2.25</v>
      </c>
      <c r="AX109">
        <v>34</v>
      </c>
      <c r="AY109">
        <v>83</v>
      </c>
      <c r="AZ109">
        <v>42</v>
      </c>
      <c r="BA109">
        <v>0</v>
      </c>
      <c r="BB109">
        <v>0</v>
      </c>
      <c r="BC109">
        <v>25</v>
      </c>
      <c r="BD109">
        <v>59</v>
      </c>
      <c r="BE109">
        <v>42</v>
      </c>
      <c r="BF109">
        <v>92</v>
      </c>
      <c r="BG109">
        <v>7.67</v>
      </c>
      <c r="BH109">
        <v>4.34</v>
      </c>
      <c r="BI109">
        <v>2.13</v>
      </c>
      <c r="BJ109">
        <v>3.37</v>
      </c>
      <c r="BK109">
        <v>3.52</v>
      </c>
      <c r="BL109">
        <f>(1/Table1[[#This Row],[odds_ft_home_team_win]]+1/Table1[[#This Row],[odds_ft_draw]]+1/Table1[[#This Row],[odds_ft_away_team_win]]-1)/3</f>
        <v>1.6770127403512285E-2</v>
      </c>
      <c r="BM109">
        <v>1.42</v>
      </c>
      <c r="BN109">
        <v>2.14</v>
      </c>
      <c r="BO109">
        <v>4</v>
      </c>
      <c r="BP109">
        <v>7.5</v>
      </c>
      <c r="BQ109">
        <v>1.91</v>
      </c>
      <c r="BR109">
        <v>1.8</v>
      </c>
      <c r="BS109" t="s">
        <v>76</v>
      </c>
      <c r="BT109">
        <f>VLOOKUP(Table1[[#This Row],[Reference]],metron,8,FALSE)</f>
        <v>1.6955772349985931</v>
      </c>
      <c r="BU109">
        <f>VLOOKUP(Table1[[#This Row],[Reference]],metron,9,FALSE)</f>
        <v>1.0239029519551039</v>
      </c>
      <c r="BV109">
        <f>VLOOKUP(Table1[[#This Row],[Reference]],metron,10,FALSE)</f>
        <v>2.5405629139072849</v>
      </c>
      <c r="BW109">
        <f>VLOOKUP(Table1[[#This Row],[Reference]],metron,11,FALSE)</f>
        <v>1.4888836329233679</v>
      </c>
      <c r="BX109">
        <f>VLOOKUP(Table1[[#This Row],[Reference]],metron,12,FALSE)</f>
        <v>1.0516792809839171</v>
      </c>
      <c r="BY109" s="6">
        <f>VLOOKUP(Table1[[#This Row],[Reference]],metron,13,FALSE)</f>
        <v>0.64581362346263005</v>
      </c>
      <c r="BZ109" s="6">
        <f>VLOOKUP(Table1[[#This Row],[Reference]],metron,14,FALSE)</f>
        <v>0.45364238410596031</v>
      </c>
      <c r="CA109" s="6">
        <f>VLOOKUP(Table1[[#This Row],[Reference]],metron,15,FALSE)</f>
        <v>12.686892177589851</v>
      </c>
      <c r="CB109" s="6">
        <f>VLOOKUP(Table1[[#This Row],[Reference]],metron,16,FALSE)</f>
        <v>9.8059196617336148</v>
      </c>
      <c r="CC109" s="6">
        <f>VLOOKUP(Table1[[#This Row],[Reference]],metron,17,FALSE)</f>
        <v>5.3198121263877027</v>
      </c>
      <c r="CD109" s="6">
        <f>VLOOKUP(Table1[[#This Row],[Reference]],metron,18,FALSE)</f>
        <v>4.0954312553373189</v>
      </c>
      <c r="CE109" s="6">
        <f>VLOOKUP(Table1[[#This Row],[Reference]],metron,19,FALSE)</f>
        <v>7.3670800512021479</v>
      </c>
      <c r="CF109" s="6">
        <f>VLOOKUP(Table1[[#This Row],[Reference]],metron,20,FALSE)</f>
        <v>5.710488406396296</v>
      </c>
      <c r="CG109" s="6">
        <f>VLOOKUP(Table1[[#This Row],[Reference]],metron,21,FALSE)</f>
        <v>13.0488908033599</v>
      </c>
      <c r="CH109" s="6">
        <f>VLOOKUP(Table1[[#This Row],[Reference]],metron,22,FALSE)</f>
        <v>13.714839543398661</v>
      </c>
      <c r="CI109" s="6">
        <f>VLOOKUP(Table1[[#This Row],[Reference]],metron,23,FALSE)</f>
        <v>1.567523459812322</v>
      </c>
      <c r="CJ109" s="6">
        <f>VLOOKUP(Table1[[#This Row],[Reference]],metron,24,FALSE)</f>
        <v>1.951040391676867</v>
      </c>
      <c r="CK109" s="6">
        <f>VLOOKUP(Table1[[#This Row],[Reference]],metron,25,FALSE)</f>
        <v>8.3027335781313744E-2</v>
      </c>
      <c r="CL109" s="6">
        <f>VLOOKUP(Table1[[#This Row],[Reference]],metron,26,FALSE)</f>
        <v>0.13117095063239501</v>
      </c>
    </row>
    <row r="110" spans="1:90" hidden="1" x14ac:dyDescent="0.45">
      <c r="A110" t="s">
        <v>696</v>
      </c>
      <c r="B110">
        <v>1634349600</v>
      </c>
      <c r="C110" s="23" t="s">
        <v>301</v>
      </c>
      <c r="D110" t="s">
        <v>65</v>
      </c>
      <c r="E110" t="s">
        <v>66</v>
      </c>
      <c r="F110" t="s">
        <v>113</v>
      </c>
      <c r="G110" t="s">
        <v>97</v>
      </c>
      <c r="H110" t="s">
        <v>147</v>
      </c>
      <c r="I110">
        <f>MROUND(Table1[[#This Row],[ProbH]]*100,2)/100</f>
        <v>0.3</v>
      </c>
      <c r="J110">
        <f>1/Table1[[#This Row],[odds_ft_home_team_win]]-Table1[[#This Row],[Margin]]</f>
        <v>0.30225993059367179</v>
      </c>
      <c r="K110">
        <f>1/Table1[[#This Row],[odds_ft_draw]]-Table1[[#This Row],[Margin]]</f>
        <v>0.2728985408212225</v>
      </c>
      <c r="L110">
        <f>1/Table1[[#This Row],[odds_ft_away_team_win]]-Table1[[#This Row],[Margin]]</f>
        <v>0.42484152858510577</v>
      </c>
      <c r="M110">
        <v>13</v>
      </c>
      <c r="N110">
        <v>1.5</v>
      </c>
      <c r="O110">
        <v>2</v>
      </c>
      <c r="P110">
        <v>1.71</v>
      </c>
      <c r="Q110">
        <v>1.68</v>
      </c>
      <c r="R110" t="str" cm="1">
        <f t="array" ref="R1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7</v>
      </c>
      <c r="AA110">
        <v>1</v>
      </c>
      <c r="AB110">
        <v>8</v>
      </c>
      <c r="AC110">
        <v>3</v>
      </c>
      <c r="AD110">
        <v>0</v>
      </c>
      <c r="AE110">
        <v>3</v>
      </c>
      <c r="AF110">
        <v>1</v>
      </c>
      <c r="AG110">
        <v>0</v>
      </c>
      <c r="AH110">
        <v>3</v>
      </c>
      <c r="AI110">
        <v>4</v>
      </c>
      <c r="AJ110">
        <v>0</v>
      </c>
      <c r="AK110">
        <v>7</v>
      </c>
      <c r="AL110">
        <v>13</v>
      </c>
      <c r="AM110">
        <v>5</v>
      </c>
      <c r="AN110">
        <v>6</v>
      </c>
      <c r="AO110">
        <v>2</v>
      </c>
      <c r="AP110">
        <v>7</v>
      </c>
      <c r="AQ110">
        <v>14</v>
      </c>
      <c r="AR110">
        <v>6</v>
      </c>
      <c r="AS110">
        <v>42</v>
      </c>
      <c r="AT110">
        <v>58</v>
      </c>
      <c r="AU110">
        <v>1.01</v>
      </c>
      <c r="AV110">
        <v>1.78</v>
      </c>
      <c r="AW110">
        <v>2.42</v>
      </c>
      <c r="AX110">
        <v>58</v>
      </c>
      <c r="AY110">
        <v>75</v>
      </c>
      <c r="AZ110">
        <v>50</v>
      </c>
      <c r="BA110">
        <v>25</v>
      </c>
      <c r="BB110">
        <v>0</v>
      </c>
      <c r="BC110">
        <v>42</v>
      </c>
      <c r="BD110">
        <v>83</v>
      </c>
      <c r="BE110">
        <v>34</v>
      </c>
      <c r="BF110">
        <v>67</v>
      </c>
      <c r="BG110">
        <v>8.17</v>
      </c>
      <c r="BH110">
        <v>4.17</v>
      </c>
      <c r="BI110">
        <v>3.05</v>
      </c>
      <c r="BJ110">
        <v>3.35</v>
      </c>
      <c r="BK110">
        <v>2.2200000000000002</v>
      </c>
      <c r="BL110">
        <f>(1/Table1[[#This Row],[odds_ft_home_team_win]]+1/Table1[[#This Row],[odds_ft_draw]]+1/Table1[[#This Row],[odds_ft_away_team_win]]-1)/3</f>
        <v>2.5608921865344653E-2</v>
      </c>
      <c r="BM110">
        <v>1.42</v>
      </c>
      <c r="BN110">
        <v>2.37</v>
      </c>
      <c r="BO110">
        <v>0</v>
      </c>
      <c r="BP110">
        <v>0</v>
      </c>
      <c r="BQ110">
        <v>0</v>
      </c>
      <c r="BR110">
        <v>0</v>
      </c>
      <c r="BS110" t="s">
        <v>120</v>
      </c>
      <c r="BT110">
        <f>VLOOKUP(Table1[[#This Row],[Reference]],metron,8,FALSE)</f>
        <v>1.2142445227270171</v>
      </c>
      <c r="BU110">
        <f>VLOOKUP(Table1[[#This Row],[Reference]],metron,9,FALSE)</f>
        <v>1.4993969533036628</v>
      </c>
      <c r="BV110">
        <f>VLOOKUP(Table1[[#This Row],[Reference]],metron,10,FALSE)</f>
        <v>2.5726407816919519</v>
      </c>
      <c r="BW110">
        <f>VLOOKUP(Table1[[#This Row],[Reference]],metron,11,FALSE)</f>
        <v>1.1805091283106199</v>
      </c>
      <c r="BX110">
        <f>VLOOKUP(Table1[[#This Row],[Reference]],metron,12,FALSE)</f>
        <v>1.3921316533813319</v>
      </c>
      <c r="BY110" s="6">
        <f>VLOOKUP(Table1[[#This Row],[Reference]],metron,13,FALSE)</f>
        <v>0.5209673269873939</v>
      </c>
      <c r="BZ110" s="6">
        <f>VLOOKUP(Table1[[#This Row],[Reference]],metron,14,FALSE)</f>
        <v>0.61847182917417032</v>
      </c>
      <c r="CA110" s="6">
        <f>VLOOKUP(Table1[[#This Row],[Reference]],metron,15,FALSE)</f>
        <v>11.149200710479571</v>
      </c>
      <c r="CB110" s="6">
        <f>VLOOKUP(Table1[[#This Row],[Reference]],metron,16,FALSE)</f>
        <v>11.444049733570161</v>
      </c>
      <c r="CC110" s="6">
        <f>VLOOKUP(Table1[[#This Row],[Reference]],metron,17,FALSE)</f>
        <v>4.5257270693512304</v>
      </c>
      <c r="CD110" s="6">
        <f>VLOOKUP(Table1[[#This Row],[Reference]],metron,18,FALSE)</f>
        <v>4.8465324384787474</v>
      </c>
      <c r="CE110" s="6">
        <f>VLOOKUP(Table1[[#This Row],[Reference]],metron,19,FALSE)</f>
        <v>6.6234736411283404</v>
      </c>
      <c r="CF110" s="6">
        <f>VLOOKUP(Table1[[#This Row],[Reference]],metron,20,FALSE)</f>
        <v>6.5975172950914134</v>
      </c>
      <c r="CG110" s="6">
        <f>VLOOKUP(Table1[[#This Row],[Reference]],metron,21,FALSE)</f>
        <v>12.90081154192967</v>
      </c>
      <c r="CH110" s="6">
        <f>VLOOKUP(Table1[[#This Row],[Reference]],metron,22,FALSE)</f>
        <v>13.00360685302074</v>
      </c>
      <c r="CI110" s="6">
        <f>VLOOKUP(Table1[[#This Row],[Reference]],metron,23,FALSE)</f>
        <v>1.7502145922746779</v>
      </c>
      <c r="CJ110" s="6">
        <f>VLOOKUP(Table1[[#This Row],[Reference]],metron,24,FALSE)</f>
        <v>1.831402831402831</v>
      </c>
      <c r="CK110" s="6">
        <f>VLOOKUP(Table1[[#This Row],[Reference]],metron,25,FALSE)</f>
        <v>9.6525096525096526E-2</v>
      </c>
      <c r="CL110" s="6">
        <f>VLOOKUP(Table1[[#This Row],[Reference]],metron,26,FALSE)</f>
        <v>0.1244101244101244</v>
      </c>
    </row>
    <row r="111" spans="1:90" hidden="1" x14ac:dyDescent="0.45">
      <c r="A111" t="s">
        <v>696</v>
      </c>
      <c r="B111">
        <v>1634421600</v>
      </c>
      <c r="C111" s="23" t="s">
        <v>302</v>
      </c>
      <c r="D111" t="s">
        <v>65</v>
      </c>
      <c r="E111" t="s">
        <v>66</v>
      </c>
      <c r="F111" t="s">
        <v>101</v>
      </c>
      <c r="G111" t="s">
        <v>85</v>
      </c>
      <c r="H111" t="s">
        <v>158</v>
      </c>
      <c r="I111">
        <f>MROUND(Table1[[#This Row],[ProbH]]*100,2)/100</f>
        <v>0.42</v>
      </c>
      <c r="J111">
        <f>1/Table1[[#This Row],[odds_ft_home_team_win]]-Table1[[#This Row],[Margin]]</f>
        <v>0.42354264934910091</v>
      </c>
      <c r="K111">
        <f>1/Table1[[#This Row],[odds_ft_draw]]-Table1[[#This Row],[Margin]]</f>
        <v>0.28078450659095822</v>
      </c>
      <c r="L111">
        <f>1/Table1[[#This Row],[odds_ft_away_team_win]]-Table1[[#This Row],[Margin]]</f>
        <v>0.29567284405994082</v>
      </c>
      <c r="M111">
        <v>13</v>
      </c>
      <c r="N111">
        <v>2.33</v>
      </c>
      <c r="O111">
        <v>1.4</v>
      </c>
      <c r="P111">
        <v>1.79</v>
      </c>
      <c r="Q111">
        <v>1.4</v>
      </c>
      <c r="R111" s="9" t="str" cm="1">
        <f t="array" ref="R1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1</v>
      </c>
      <c r="Z111">
        <v>15</v>
      </c>
      <c r="AA111">
        <v>6</v>
      </c>
      <c r="AB111">
        <v>0</v>
      </c>
      <c r="AC111">
        <v>4</v>
      </c>
      <c r="AD111">
        <v>0</v>
      </c>
      <c r="AE111">
        <v>3</v>
      </c>
      <c r="AF111">
        <v>0</v>
      </c>
      <c r="AG111">
        <v>4</v>
      </c>
      <c r="AH111">
        <v>0</v>
      </c>
      <c r="AI111">
        <v>2</v>
      </c>
      <c r="AJ111">
        <v>1</v>
      </c>
      <c r="AK111">
        <v>22</v>
      </c>
      <c r="AL111">
        <v>7</v>
      </c>
      <c r="AM111">
        <v>7</v>
      </c>
      <c r="AN111">
        <v>4</v>
      </c>
      <c r="AO111">
        <v>15</v>
      </c>
      <c r="AP111">
        <v>3</v>
      </c>
      <c r="AQ111">
        <v>12</v>
      </c>
      <c r="AR111">
        <v>8</v>
      </c>
      <c r="AS111">
        <v>52</v>
      </c>
      <c r="AT111">
        <v>48</v>
      </c>
      <c r="AU111">
        <v>2.38</v>
      </c>
      <c r="AV111">
        <v>1.01</v>
      </c>
      <c r="AW111">
        <v>2.4</v>
      </c>
      <c r="AX111">
        <v>27</v>
      </c>
      <c r="AY111">
        <v>82</v>
      </c>
      <c r="AZ111">
        <v>39</v>
      </c>
      <c r="BA111">
        <v>29</v>
      </c>
      <c r="BB111">
        <v>0</v>
      </c>
      <c r="BC111">
        <v>10</v>
      </c>
      <c r="BD111">
        <v>74</v>
      </c>
      <c r="BE111">
        <v>37</v>
      </c>
      <c r="BF111">
        <v>82</v>
      </c>
      <c r="BG111">
        <v>8.4700000000000006</v>
      </c>
      <c r="BH111">
        <v>4.43</v>
      </c>
      <c r="BI111">
        <v>2.2200000000000002</v>
      </c>
      <c r="BJ111">
        <v>3.25</v>
      </c>
      <c r="BK111">
        <v>3.1</v>
      </c>
      <c r="BL111">
        <f>(1/Table1[[#This Row],[odds_ft_home_team_win]]+1/Table1[[#This Row],[odds_ft_draw]]+1/Table1[[#This Row],[odds_ft_away_team_win]]-1)/3</f>
        <v>2.6907801101349493E-2</v>
      </c>
      <c r="BM111">
        <v>1.38</v>
      </c>
      <c r="BN111">
        <v>2.0499999999999998</v>
      </c>
      <c r="BO111">
        <v>3.6</v>
      </c>
      <c r="BP111">
        <v>7</v>
      </c>
      <c r="BQ111">
        <v>1.83</v>
      </c>
      <c r="BR111">
        <v>1.91</v>
      </c>
      <c r="BS111" t="s">
        <v>104</v>
      </c>
      <c r="BT111">
        <f>VLOOKUP(Table1[[#This Row],[Reference]],metron,8,FALSE)</f>
        <v>1.5780106027030405</v>
      </c>
      <c r="BU111">
        <f>VLOOKUP(Table1[[#This Row],[Reference]],metron,9,FALSE)</f>
        <v>1.1353025412447635</v>
      </c>
      <c r="BV111">
        <f>VLOOKUP(Table1[[#This Row],[Reference]],metron,10,FALSE)</f>
        <v>2.4884649511978703</v>
      </c>
      <c r="BW111">
        <f>VLOOKUP(Table1[[#This Row],[Reference]],metron,11,FALSE)</f>
        <v>1.396960958296362</v>
      </c>
      <c r="BX111">
        <f>VLOOKUP(Table1[[#This Row],[Reference]],metron,12,FALSE)</f>
        <v>1.091503992901508</v>
      </c>
      <c r="BY111" s="6">
        <f>VLOOKUP(Table1[[#This Row],[Reference]],metron,13,FALSE)</f>
        <v>0.60765391014975045</v>
      </c>
      <c r="BZ111" s="6">
        <f>VLOOKUP(Table1[[#This Row],[Reference]],metron,14,FALSE)</f>
        <v>0.47276760953965608</v>
      </c>
      <c r="CA111" s="6">
        <f>VLOOKUP(Table1[[#This Row],[Reference]],metron,15,FALSE)</f>
        <v>12.29504785684561</v>
      </c>
      <c r="CB111" s="6">
        <f>VLOOKUP(Table1[[#This Row],[Reference]],metron,16,FALSE)</f>
        <v>10.047232625884311</v>
      </c>
      <c r="CC111" s="6">
        <f>VLOOKUP(Table1[[#This Row],[Reference]],metron,17,FALSE)</f>
        <v>5.2917192097519967</v>
      </c>
      <c r="CD111" s="6">
        <f>VLOOKUP(Table1[[#This Row],[Reference]],metron,18,FALSE)</f>
        <v>4.2580916351408158</v>
      </c>
      <c r="CE111" s="6">
        <f>VLOOKUP(Table1[[#This Row],[Reference]],metron,19,FALSE)</f>
        <v>7.0033286470936131</v>
      </c>
      <c r="CF111" s="6">
        <f>VLOOKUP(Table1[[#This Row],[Reference]],metron,20,FALSE)</f>
        <v>5.789140990743495</v>
      </c>
      <c r="CG111" s="6">
        <f>VLOOKUP(Table1[[#This Row],[Reference]],metron,21,FALSE)</f>
        <v>12.77041895895049</v>
      </c>
      <c r="CH111" s="6">
        <f>VLOOKUP(Table1[[#This Row],[Reference]],metron,22,FALSE)</f>
        <v>13.411129919593741</v>
      </c>
      <c r="CI111" s="6">
        <f>VLOOKUP(Table1[[#This Row],[Reference]],metron,23,FALSE)</f>
        <v>1.556141062018646</v>
      </c>
      <c r="CJ111" s="6">
        <f>VLOOKUP(Table1[[#This Row],[Reference]],metron,24,FALSE)</f>
        <v>1.9114308877178761</v>
      </c>
      <c r="CK111" s="6">
        <f>VLOOKUP(Table1[[#This Row],[Reference]],metron,25,FALSE)</f>
        <v>8.4920956627482766E-2</v>
      </c>
      <c r="CL111" s="6">
        <f>VLOOKUP(Table1[[#This Row],[Reference]],metron,26,FALSE)</f>
        <v>0.1323469801378192</v>
      </c>
    </row>
    <row r="112" spans="1:90" hidden="1" x14ac:dyDescent="0.45">
      <c r="A112" t="s">
        <v>696</v>
      </c>
      <c r="B112">
        <v>1634428800</v>
      </c>
      <c r="C112" s="23" t="s">
        <v>303</v>
      </c>
      <c r="D112" t="s">
        <v>65</v>
      </c>
      <c r="E112" t="s">
        <v>66</v>
      </c>
      <c r="F112" t="s">
        <v>91</v>
      </c>
      <c r="G112" t="s">
        <v>68</v>
      </c>
      <c r="H112" t="s">
        <v>114</v>
      </c>
      <c r="I112">
        <f>MROUND(Table1[[#This Row],[ProbH]]*100,2)/100</f>
        <v>0.32</v>
      </c>
      <c r="J112">
        <f>1/Table1[[#This Row],[odds_ft_home_team_win]]-Table1[[#This Row],[Margin]]</f>
        <v>0.31734931734931732</v>
      </c>
      <c r="K112">
        <f>1/Table1[[#This Row],[odds_ft_draw]]-Table1[[#This Row],[Margin]]</f>
        <v>0.26789876789876788</v>
      </c>
      <c r="L112">
        <f>1/Table1[[#This Row],[odds_ft_away_team_win]]-Table1[[#This Row],[Margin]]</f>
        <v>0.4147519147519147</v>
      </c>
      <c r="M112">
        <v>13</v>
      </c>
      <c r="N112">
        <v>1</v>
      </c>
      <c r="O112">
        <v>1.5</v>
      </c>
      <c r="P112">
        <v>1.1100000000000001</v>
      </c>
      <c r="Q112">
        <v>1.53</v>
      </c>
      <c r="R112" t="str" cm="1">
        <f t="array" ref="R1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Z112" t="s">
        <v>304</v>
      </c>
      <c r="AA112">
        <v>3</v>
      </c>
      <c r="AB112">
        <v>3</v>
      </c>
      <c r="AC112">
        <v>3</v>
      </c>
      <c r="AD112">
        <v>0</v>
      </c>
      <c r="AE112">
        <v>1</v>
      </c>
      <c r="AF112">
        <v>0</v>
      </c>
      <c r="AG112">
        <v>1</v>
      </c>
      <c r="AH112">
        <v>2</v>
      </c>
      <c r="AI112">
        <v>1</v>
      </c>
      <c r="AJ112">
        <v>0</v>
      </c>
      <c r="AK112">
        <v>6</v>
      </c>
      <c r="AL112">
        <v>13</v>
      </c>
      <c r="AM112">
        <v>3</v>
      </c>
      <c r="AN112">
        <v>6</v>
      </c>
      <c r="AO112">
        <v>3</v>
      </c>
      <c r="AP112">
        <v>7</v>
      </c>
      <c r="AQ112">
        <v>16</v>
      </c>
      <c r="AR112">
        <v>16</v>
      </c>
      <c r="AS112">
        <v>43</v>
      </c>
      <c r="AT112">
        <v>57</v>
      </c>
      <c r="AU112">
        <v>0.87</v>
      </c>
      <c r="AV112">
        <v>1.46</v>
      </c>
      <c r="AW112">
        <v>2.2000000000000002</v>
      </c>
      <c r="AX112">
        <v>54</v>
      </c>
      <c r="AY112">
        <v>74</v>
      </c>
      <c r="AZ112">
        <v>37</v>
      </c>
      <c r="BA112">
        <v>19</v>
      </c>
      <c r="BB112">
        <v>10</v>
      </c>
      <c r="BC112">
        <v>44</v>
      </c>
      <c r="BD112">
        <v>74</v>
      </c>
      <c r="BE112">
        <v>10</v>
      </c>
      <c r="BF112">
        <v>65</v>
      </c>
      <c r="BG112">
        <v>10.43</v>
      </c>
      <c r="BH112">
        <v>5</v>
      </c>
      <c r="BI112">
        <v>2.8</v>
      </c>
      <c r="BJ112">
        <v>3.25</v>
      </c>
      <c r="BK112">
        <v>2.2000000000000002</v>
      </c>
      <c r="BL112">
        <f>(1/Table1[[#This Row],[odds_ft_home_team_win]]+1/Table1[[#This Row],[odds_ft_draw]]+1/Table1[[#This Row],[odds_ft_away_team_win]]-1)/3</f>
        <v>3.9793539793539834E-2</v>
      </c>
      <c r="BM112">
        <v>1.4</v>
      </c>
      <c r="BN112">
        <v>2.25</v>
      </c>
      <c r="BO112">
        <v>3.75</v>
      </c>
      <c r="BP112">
        <v>7</v>
      </c>
      <c r="BQ112">
        <v>1.91</v>
      </c>
      <c r="BR112">
        <v>1.83</v>
      </c>
      <c r="BS112" t="s">
        <v>144</v>
      </c>
      <c r="BT112">
        <f>VLOOKUP(Table1[[#This Row],[Reference]],metron,8,FALSE)</f>
        <v>1.274681051426811</v>
      </c>
      <c r="BU112">
        <f>VLOOKUP(Table1[[#This Row],[Reference]],metron,9,FALSE)</f>
        <v>1.4392482240810365</v>
      </c>
      <c r="BV112">
        <f>VLOOKUP(Table1[[#This Row],[Reference]],metron,10,FALSE)</f>
        <v>2.5313454284174597</v>
      </c>
      <c r="BW112">
        <f>VLOOKUP(Table1[[#This Row],[Reference]],metron,11,FALSE)</f>
        <v>1.210167055864918</v>
      </c>
      <c r="BX112">
        <f>VLOOKUP(Table1[[#This Row],[Reference]],metron,12,FALSE)</f>
        <v>1.3211783725525419</v>
      </c>
      <c r="BY112" s="6">
        <f>VLOOKUP(Table1[[#This Row],[Reference]],metron,13,FALSE)</f>
        <v>0.53135669362084459</v>
      </c>
      <c r="BZ112" s="6">
        <f>VLOOKUP(Table1[[#This Row],[Reference]],metron,14,FALSE)</f>
        <v>0.55633423180592989</v>
      </c>
      <c r="CA112" s="6">
        <f>VLOOKUP(Table1[[#This Row],[Reference]],metron,15,FALSE)</f>
        <v>11.21109010712035</v>
      </c>
      <c r="CB112" s="6">
        <f>VLOOKUP(Table1[[#This Row],[Reference]],metron,16,FALSE)</f>
        <v>11.01700787401575</v>
      </c>
      <c r="CC112" s="6">
        <f>VLOOKUP(Table1[[#This Row],[Reference]],metron,17,FALSE)</f>
        <v>4.6792332268370611</v>
      </c>
      <c r="CD112" s="6">
        <f>VLOOKUP(Table1[[#This Row],[Reference]],metron,18,FALSE)</f>
        <v>4.7080804854679013</v>
      </c>
      <c r="CE112" s="6">
        <f>VLOOKUP(Table1[[#This Row],[Reference]],metron,19,FALSE)</f>
        <v>6.5318568802832893</v>
      </c>
      <c r="CF112" s="6">
        <f>VLOOKUP(Table1[[#This Row],[Reference]],metron,20,FALSE)</f>
        <v>6.3089273885478487</v>
      </c>
      <c r="CG112" s="6">
        <f>VLOOKUP(Table1[[#This Row],[Reference]],metron,21,FALSE)</f>
        <v>12.72547770700637</v>
      </c>
      <c r="CH112" s="6">
        <f>VLOOKUP(Table1[[#This Row],[Reference]],metron,22,FALSE)</f>
        <v>13.06847133757962</v>
      </c>
      <c r="CI112" s="6">
        <f>VLOOKUP(Table1[[#This Row],[Reference]],metron,23,FALSE)</f>
        <v>1.6902356902356901</v>
      </c>
      <c r="CJ112" s="6">
        <f>VLOOKUP(Table1[[#This Row],[Reference]],metron,24,FALSE)</f>
        <v>1.8050198959289869</v>
      </c>
      <c r="CK112" s="6">
        <f>VLOOKUP(Table1[[#This Row],[Reference]],metron,25,FALSE)</f>
        <v>0.105907560453015</v>
      </c>
      <c r="CL112" s="6">
        <f>VLOOKUP(Table1[[#This Row],[Reference]],metron,26,FALSE)</f>
        <v>0.1141720232629324</v>
      </c>
    </row>
    <row r="113" spans="1:90" hidden="1" x14ac:dyDescent="0.45">
      <c r="A113" t="s">
        <v>696</v>
      </c>
      <c r="B113">
        <v>1634429100</v>
      </c>
      <c r="C113" s="23" t="s">
        <v>305</v>
      </c>
      <c r="D113" t="s">
        <v>65</v>
      </c>
      <c r="E113" t="s">
        <v>66</v>
      </c>
      <c r="F113" t="s">
        <v>84</v>
      </c>
      <c r="G113" t="s">
        <v>73</v>
      </c>
      <c r="H113" t="s">
        <v>103</v>
      </c>
      <c r="I113">
        <f>MROUND(Table1[[#This Row],[ProbH]]*100,2)/100</f>
        <v>0.42</v>
      </c>
      <c r="J113">
        <f>1/Table1[[#This Row],[odds_ft_home_team_win]]-Table1[[#This Row],[Margin]]</f>
        <v>0.4147519147519147</v>
      </c>
      <c r="K113">
        <f>1/Table1[[#This Row],[odds_ft_draw]]-Table1[[#This Row],[Margin]]</f>
        <v>0.26789876789876788</v>
      </c>
      <c r="L113">
        <f>1/Table1[[#This Row],[odds_ft_away_team_win]]-Table1[[#This Row],[Margin]]</f>
        <v>0.31734931734931732</v>
      </c>
      <c r="M113">
        <v>13</v>
      </c>
      <c r="N113">
        <v>1.4</v>
      </c>
      <c r="O113">
        <v>1.25</v>
      </c>
      <c r="P113">
        <v>1.89</v>
      </c>
      <c r="Q113">
        <v>1.1100000000000001</v>
      </c>
      <c r="R113" t="str" cm="1">
        <f t="array" ref="R1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13">
        <v>1</v>
      </c>
      <c r="T113">
        <v>1</v>
      </c>
      <c r="U113">
        <v>2</v>
      </c>
      <c r="V113">
        <v>0</v>
      </c>
      <c r="W113">
        <v>0</v>
      </c>
      <c r="X113">
        <v>0</v>
      </c>
      <c r="Y113">
        <v>68</v>
      </c>
      <c r="Z113">
        <v>89</v>
      </c>
      <c r="AA113">
        <v>2</v>
      </c>
      <c r="AB113">
        <v>9</v>
      </c>
      <c r="AC113">
        <v>2</v>
      </c>
      <c r="AD113">
        <v>1</v>
      </c>
      <c r="AE113">
        <v>3</v>
      </c>
      <c r="AF113">
        <v>0</v>
      </c>
      <c r="AG113">
        <v>1</v>
      </c>
      <c r="AH113">
        <v>2</v>
      </c>
      <c r="AI113">
        <v>2</v>
      </c>
      <c r="AJ113">
        <v>1</v>
      </c>
      <c r="AK113">
        <v>18</v>
      </c>
      <c r="AL113">
        <v>24</v>
      </c>
      <c r="AM113">
        <v>3</v>
      </c>
      <c r="AN113">
        <v>4</v>
      </c>
      <c r="AO113">
        <v>15</v>
      </c>
      <c r="AP113">
        <v>20</v>
      </c>
      <c r="AQ113">
        <v>8</v>
      </c>
      <c r="AR113">
        <v>9</v>
      </c>
      <c r="AS113">
        <v>51</v>
      </c>
      <c r="AT113">
        <v>49</v>
      </c>
      <c r="AU113">
        <v>1.64</v>
      </c>
      <c r="AV113">
        <v>2.16</v>
      </c>
      <c r="AW113">
        <v>2.35</v>
      </c>
      <c r="AX113">
        <v>58</v>
      </c>
      <c r="AY113">
        <v>80</v>
      </c>
      <c r="AZ113">
        <v>45</v>
      </c>
      <c r="BA113">
        <v>10</v>
      </c>
      <c r="BB113">
        <v>0</v>
      </c>
      <c r="BC113">
        <v>33</v>
      </c>
      <c r="BD113">
        <v>90</v>
      </c>
      <c r="BE113">
        <v>23</v>
      </c>
      <c r="BF113">
        <v>70</v>
      </c>
      <c r="BG113">
        <v>12.3</v>
      </c>
      <c r="BH113">
        <v>4.7</v>
      </c>
      <c r="BI113">
        <v>2.2000000000000002</v>
      </c>
      <c r="BJ113">
        <v>3.25</v>
      </c>
      <c r="BK113">
        <v>2.8</v>
      </c>
      <c r="BL113">
        <f>(1/Table1[[#This Row],[odds_ft_home_team_win]]+1/Table1[[#This Row],[odds_ft_draw]]+1/Table1[[#This Row],[odds_ft_away_team_win]]-1)/3</f>
        <v>3.9793539793539834E-2</v>
      </c>
      <c r="BM113">
        <v>1.4</v>
      </c>
      <c r="BN113">
        <v>2.25</v>
      </c>
      <c r="BO113">
        <v>3.75</v>
      </c>
      <c r="BP113">
        <v>7</v>
      </c>
      <c r="BQ113">
        <v>1.91</v>
      </c>
      <c r="BR113">
        <v>1.8</v>
      </c>
      <c r="BS113" t="s">
        <v>88</v>
      </c>
      <c r="BT113">
        <f>VLOOKUP(Table1[[#This Row],[Reference]],metron,8,FALSE)</f>
        <v>1.5780106027030405</v>
      </c>
      <c r="BU113">
        <f>VLOOKUP(Table1[[#This Row],[Reference]],metron,9,FALSE)</f>
        <v>1.1353025412447635</v>
      </c>
      <c r="BV113">
        <f>VLOOKUP(Table1[[#This Row],[Reference]],metron,10,FALSE)</f>
        <v>2.4884649511978703</v>
      </c>
      <c r="BW113">
        <f>VLOOKUP(Table1[[#This Row],[Reference]],metron,11,FALSE)</f>
        <v>1.396960958296362</v>
      </c>
      <c r="BX113">
        <f>VLOOKUP(Table1[[#This Row],[Reference]],metron,12,FALSE)</f>
        <v>1.091503992901508</v>
      </c>
      <c r="BY113" s="6">
        <f>VLOOKUP(Table1[[#This Row],[Reference]],metron,13,FALSE)</f>
        <v>0.60765391014975045</v>
      </c>
      <c r="BZ113" s="6">
        <f>VLOOKUP(Table1[[#This Row],[Reference]],metron,14,FALSE)</f>
        <v>0.47276760953965608</v>
      </c>
      <c r="CA113" s="6">
        <f>VLOOKUP(Table1[[#This Row],[Reference]],metron,15,FALSE)</f>
        <v>12.29504785684561</v>
      </c>
      <c r="CB113" s="6">
        <f>VLOOKUP(Table1[[#This Row],[Reference]],metron,16,FALSE)</f>
        <v>10.047232625884311</v>
      </c>
      <c r="CC113" s="6">
        <f>VLOOKUP(Table1[[#This Row],[Reference]],metron,17,FALSE)</f>
        <v>5.2917192097519967</v>
      </c>
      <c r="CD113" s="6">
        <f>VLOOKUP(Table1[[#This Row],[Reference]],metron,18,FALSE)</f>
        <v>4.2580916351408158</v>
      </c>
      <c r="CE113" s="6">
        <f>VLOOKUP(Table1[[#This Row],[Reference]],metron,19,FALSE)</f>
        <v>7.0033286470936131</v>
      </c>
      <c r="CF113" s="6">
        <f>VLOOKUP(Table1[[#This Row],[Reference]],metron,20,FALSE)</f>
        <v>5.789140990743495</v>
      </c>
      <c r="CG113" s="6">
        <f>VLOOKUP(Table1[[#This Row],[Reference]],metron,21,FALSE)</f>
        <v>12.77041895895049</v>
      </c>
      <c r="CH113" s="6">
        <f>VLOOKUP(Table1[[#This Row],[Reference]],metron,22,FALSE)</f>
        <v>13.411129919593741</v>
      </c>
      <c r="CI113" s="6">
        <f>VLOOKUP(Table1[[#This Row],[Reference]],metron,23,FALSE)</f>
        <v>1.556141062018646</v>
      </c>
      <c r="CJ113" s="6">
        <f>VLOOKUP(Table1[[#This Row],[Reference]],metron,24,FALSE)</f>
        <v>1.9114308877178761</v>
      </c>
      <c r="CK113" s="6">
        <f>VLOOKUP(Table1[[#This Row],[Reference]],metron,25,FALSE)</f>
        <v>8.4920956627482766E-2</v>
      </c>
      <c r="CL113" s="6">
        <f>VLOOKUP(Table1[[#This Row],[Reference]],metron,26,FALSE)</f>
        <v>0.1323469801378192</v>
      </c>
    </row>
    <row r="114" spans="1:90" hidden="1" x14ac:dyDescent="0.45">
      <c r="A114" t="s">
        <v>696</v>
      </c>
      <c r="B114">
        <v>1634436000</v>
      </c>
      <c r="C114" s="23" t="s">
        <v>306</v>
      </c>
      <c r="D114" t="s">
        <v>65</v>
      </c>
      <c r="E114" t="s">
        <v>66</v>
      </c>
      <c r="F114" t="s">
        <v>112</v>
      </c>
      <c r="G114" t="s">
        <v>107</v>
      </c>
      <c r="H114" t="s">
        <v>74</v>
      </c>
      <c r="I114">
        <f>MROUND(Table1[[#This Row],[ProbH]]*100,2)/100</f>
        <v>0.42</v>
      </c>
      <c r="J114">
        <f>1/Table1[[#This Row],[odds_ft_home_team_win]]-Table1[[#This Row],[Margin]]</f>
        <v>0.4147519147519147</v>
      </c>
      <c r="K114">
        <f>1/Table1[[#This Row],[odds_ft_draw]]-Table1[[#This Row],[Margin]]</f>
        <v>0.26789876789876788</v>
      </c>
      <c r="L114">
        <f>1/Table1[[#This Row],[odds_ft_away_team_win]]-Table1[[#This Row],[Margin]]</f>
        <v>0.31734931734931732</v>
      </c>
      <c r="M114">
        <v>13</v>
      </c>
      <c r="N114">
        <v>1.6</v>
      </c>
      <c r="O114">
        <v>1.67</v>
      </c>
      <c r="P114">
        <v>1.25</v>
      </c>
      <c r="Q114">
        <v>1.48</v>
      </c>
      <c r="R114" t="str" cm="1">
        <f t="array" ref="R1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14">
        <v>1</v>
      </c>
      <c r="T114">
        <v>1</v>
      </c>
      <c r="U114">
        <v>2</v>
      </c>
      <c r="V114">
        <v>2</v>
      </c>
      <c r="W114">
        <v>1</v>
      </c>
      <c r="X114">
        <v>1</v>
      </c>
      <c r="Y114">
        <v>14</v>
      </c>
      <c r="Z114">
        <v>17</v>
      </c>
      <c r="AA114">
        <v>2</v>
      </c>
      <c r="AB114">
        <v>5</v>
      </c>
      <c r="AC114">
        <v>2</v>
      </c>
      <c r="AD114">
        <v>0</v>
      </c>
      <c r="AE114">
        <v>1</v>
      </c>
      <c r="AF114">
        <v>0</v>
      </c>
      <c r="AG114">
        <v>2</v>
      </c>
      <c r="AH114">
        <v>0</v>
      </c>
      <c r="AI114">
        <v>1</v>
      </c>
      <c r="AJ114">
        <v>0</v>
      </c>
      <c r="AK114">
        <v>8</v>
      </c>
      <c r="AL114">
        <v>11</v>
      </c>
      <c r="AM114">
        <v>4</v>
      </c>
      <c r="AN114">
        <v>6</v>
      </c>
      <c r="AO114">
        <v>4</v>
      </c>
      <c r="AP114">
        <v>5</v>
      </c>
      <c r="AQ114">
        <v>15</v>
      </c>
      <c r="AR114">
        <v>13</v>
      </c>
      <c r="AS114">
        <v>59</v>
      </c>
      <c r="AT114">
        <v>41</v>
      </c>
      <c r="AU114">
        <v>0.98</v>
      </c>
      <c r="AV114">
        <v>1.47</v>
      </c>
      <c r="AW114">
        <v>2.62</v>
      </c>
      <c r="AX114">
        <v>45</v>
      </c>
      <c r="AY114">
        <v>100</v>
      </c>
      <c r="AZ114">
        <v>44</v>
      </c>
      <c r="BA114">
        <v>19</v>
      </c>
      <c r="BB114">
        <v>0</v>
      </c>
      <c r="BC114">
        <v>19</v>
      </c>
      <c r="BD114">
        <v>82</v>
      </c>
      <c r="BE114">
        <v>44</v>
      </c>
      <c r="BF114">
        <v>100</v>
      </c>
      <c r="BG114">
        <v>6.63</v>
      </c>
      <c r="BH114">
        <v>3.8</v>
      </c>
      <c r="BI114">
        <v>2.2000000000000002</v>
      </c>
      <c r="BJ114">
        <v>3.25</v>
      </c>
      <c r="BK114">
        <v>2.8</v>
      </c>
      <c r="BL114">
        <f>(1/Table1[[#This Row],[odds_ft_home_team_win]]+1/Table1[[#This Row],[odds_ft_draw]]+1/Table1[[#This Row],[odds_ft_away_team_win]]-1)/3</f>
        <v>3.9793539793539834E-2</v>
      </c>
      <c r="BM114">
        <v>1.38</v>
      </c>
      <c r="BN114">
        <v>2.2000000000000002</v>
      </c>
      <c r="BO114">
        <v>4</v>
      </c>
      <c r="BP114">
        <v>7.5</v>
      </c>
      <c r="BQ114">
        <v>1.91</v>
      </c>
      <c r="BR114">
        <v>1.8</v>
      </c>
      <c r="BS114" t="s">
        <v>116</v>
      </c>
      <c r="BT114">
        <f>VLOOKUP(Table1[[#This Row],[Reference]],metron,8,FALSE)</f>
        <v>1.5780106027030405</v>
      </c>
      <c r="BU114">
        <f>VLOOKUP(Table1[[#This Row],[Reference]],metron,9,FALSE)</f>
        <v>1.1353025412447635</v>
      </c>
      <c r="BV114">
        <f>VLOOKUP(Table1[[#This Row],[Reference]],metron,10,FALSE)</f>
        <v>2.4884649511978703</v>
      </c>
      <c r="BW114">
        <f>VLOOKUP(Table1[[#This Row],[Reference]],metron,11,FALSE)</f>
        <v>1.396960958296362</v>
      </c>
      <c r="BX114">
        <f>VLOOKUP(Table1[[#This Row],[Reference]],metron,12,FALSE)</f>
        <v>1.091503992901508</v>
      </c>
      <c r="BY114" s="6">
        <f>VLOOKUP(Table1[[#This Row],[Reference]],metron,13,FALSE)</f>
        <v>0.60765391014975045</v>
      </c>
      <c r="BZ114" s="6">
        <f>VLOOKUP(Table1[[#This Row],[Reference]],metron,14,FALSE)</f>
        <v>0.47276760953965608</v>
      </c>
      <c r="CA114" s="6">
        <f>VLOOKUP(Table1[[#This Row],[Reference]],metron,15,FALSE)</f>
        <v>12.29504785684561</v>
      </c>
      <c r="CB114" s="6">
        <f>VLOOKUP(Table1[[#This Row],[Reference]],metron,16,FALSE)</f>
        <v>10.047232625884311</v>
      </c>
      <c r="CC114" s="6">
        <f>VLOOKUP(Table1[[#This Row],[Reference]],metron,17,FALSE)</f>
        <v>5.2917192097519967</v>
      </c>
      <c r="CD114" s="6">
        <f>VLOOKUP(Table1[[#This Row],[Reference]],metron,18,FALSE)</f>
        <v>4.2580916351408158</v>
      </c>
      <c r="CE114" s="6">
        <f>VLOOKUP(Table1[[#This Row],[Reference]],metron,19,FALSE)</f>
        <v>7.0033286470936131</v>
      </c>
      <c r="CF114" s="6">
        <f>VLOOKUP(Table1[[#This Row],[Reference]],metron,20,FALSE)</f>
        <v>5.789140990743495</v>
      </c>
      <c r="CG114" s="6">
        <f>VLOOKUP(Table1[[#This Row],[Reference]],metron,21,FALSE)</f>
        <v>12.77041895895049</v>
      </c>
      <c r="CH114" s="6">
        <f>VLOOKUP(Table1[[#This Row],[Reference]],metron,22,FALSE)</f>
        <v>13.411129919593741</v>
      </c>
      <c r="CI114" s="6">
        <f>VLOOKUP(Table1[[#This Row],[Reference]],metron,23,FALSE)</f>
        <v>1.556141062018646</v>
      </c>
      <c r="CJ114" s="6">
        <f>VLOOKUP(Table1[[#This Row],[Reference]],metron,24,FALSE)</f>
        <v>1.9114308877178761</v>
      </c>
      <c r="CK114" s="6">
        <f>VLOOKUP(Table1[[#This Row],[Reference]],metron,25,FALSE)</f>
        <v>8.4920956627482766E-2</v>
      </c>
      <c r="CL114" s="6">
        <f>VLOOKUP(Table1[[#This Row],[Reference]],metron,26,FALSE)</f>
        <v>0.1323469801378192</v>
      </c>
    </row>
    <row r="115" spans="1:90" hidden="1" x14ac:dyDescent="0.45">
      <c r="A115" t="s">
        <v>696</v>
      </c>
      <c r="B115">
        <v>1634490000</v>
      </c>
      <c r="C115" s="23" t="s">
        <v>307</v>
      </c>
      <c r="D115" t="s">
        <v>65</v>
      </c>
      <c r="E115" t="s">
        <v>66</v>
      </c>
      <c r="F115" t="s">
        <v>96</v>
      </c>
      <c r="G115" t="s">
        <v>78</v>
      </c>
      <c r="H115" t="s">
        <v>133</v>
      </c>
      <c r="I115">
        <f>MROUND(Table1[[#This Row],[ProbH]]*100,2)/100</f>
        <v>0.42</v>
      </c>
      <c r="J115">
        <f>1/Table1[[#This Row],[odds_ft_home_team_win]]-Table1[[#This Row],[Margin]]</f>
        <v>0.42430165731087943</v>
      </c>
      <c r="K115">
        <f>1/Table1[[#This Row],[odds_ft_draw]]-Table1[[#This Row],[Margin]]</f>
        <v>0.271685378241112</v>
      </c>
      <c r="L115">
        <f>1/Table1[[#This Row],[odds_ft_away_team_win]]-Table1[[#This Row],[Margin]]</f>
        <v>0.30401296444800857</v>
      </c>
      <c r="M115">
        <v>13</v>
      </c>
      <c r="N115">
        <v>1.2</v>
      </c>
      <c r="O115">
        <v>0.67</v>
      </c>
      <c r="P115">
        <v>1.58</v>
      </c>
      <c r="Q115">
        <v>0.71</v>
      </c>
      <c r="R115" t="str" cm="1">
        <f t="array" ref="R1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 t="s">
        <v>308</v>
      </c>
      <c r="AA115">
        <v>4</v>
      </c>
      <c r="AB115">
        <v>3</v>
      </c>
      <c r="AC115">
        <v>3</v>
      </c>
      <c r="AD115">
        <v>0</v>
      </c>
      <c r="AE115">
        <v>1</v>
      </c>
      <c r="AF115">
        <v>0</v>
      </c>
      <c r="AG115">
        <v>1</v>
      </c>
      <c r="AH115">
        <v>2</v>
      </c>
      <c r="AI115">
        <v>0</v>
      </c>
      <c r="AJ115">
        <v>1</v>
      </c>
      <c r="AK115">
        <v>19</v>
      </c>
      <c r="AL115">
        <v>6</v>
      </c>
      <c r="AM115">
        <v>8</v>
      </c>
      <c r="AN115">
        <v>3</v>
      </c>
      <c r="AO115">
        <v>11</v>
      </c>
      <c r="AP115">
        <v>3</v>
      </c>
      <c r="AQ115">
        <v>8</v>
      </c>
      <c r="AR115">
        <v>10</v>
      </c>
      <c r="AS115">
        <v>51</v>
      </c>
      <c r="AT115">
        <v>49</v>
      </c>
      <c r="AU115">
        <v>2.08</v>
      </c>
      <c r="AV115">
        <v>0.81</v>
      </c>
      <c r="AW115">
        <v>1.77</v>
      </c>
      <c r="AX115">
        <v>27</v>
      </c>
      <c r="AY115">
        <v>54</v>
      </c>
      <c r="AZ115">
        <v>27</v>
      </c>
      <c r="BA115">
        <v>27</v>
      </c>
      <c r="BB115">
        <v>0</v>
      </c>
      <c r="BC115">
        <v>27</v>
      </c>
      <c r="BD115">
        <v>27</v>
      </c>
      <c r="BE115">
        <v>44</v>
      </c>
      <c r="BF115">
        <v>70</v>
      </c>
      <c r="BG115">
        <v>7.03</v>
      </c>
      <c r="BH115">
        <v>4.37</v>
      </c>
      <c r="BI115">
        <v>2.15</v>
      </c>
      <c r="BJ115">
        <v>3.2</v>
      </c>
      <c r="BK115">
        <v>2.9</v>
      </c>
      <c r="BL115">
        <f>(1/Table1[[#This Row],[odds_ft_home_team_win]]+1/Table1[[#This Row],[odds_ft_draw]]+1/Table1[[#This Row],[odds_ft_away_team_win]]-1)/3</f>
        <v>4.0814621758887983E-2</v>
      </c>
      <c r="BM115">
        <v>1.42</v>
      </c>
      <c r="BN115">
        <v>2.25</v>
      </c>
      <c r="BO115">
        <v>4.33</v>
      </c>
      <c r="BP115">
        <v>7.5</v>
      </c>
      <c r="BQ115">
        <v>2</v>
      </c>
      <c r="BR115">
        <v>1.73</v>
      </c>
      <c r="BS115" t="s">
        <v>99</v>
      </c>
      <c r="BT115">
        <f>VLOOKUP(Table1[[#This Row],[Reference]],metron,8,FALSE)</f>
        <v>1.5780106027030405</v>
      </c>
      <c r="BU115">
        <f>VLOOKUP(Table1[[#This Row],[Reference]],metron,9,FALSE)</f>
        <v>1.1353025412447635</v>
      </c>
      <c r="BV115">
        <f>VLOOKUP(Table1[[#This Row],[Reference]],metron,10,FALSE)</f>
        <v>2.4884649511978703</v>
      </c>
      <c r="BW115">
        <f>VLOOKUP(Table1[[#This Row],[Reference]],metron,11,FALSE)</f>
        <v>1.396960958296362</v>
      </c>
      <c r="BX115">
        <f>VLOOKUP(Table1[[#This Row],[Reference]],metron,12,FALSE)</f>
        <v>1.091503992901508</v>
      </c>
      <c r="BY115" s="6">
        <f>VLOOKUP(Table1[[#This Row],[Reference]],metron,13,FALSE)</f>
        <v>0.60765391014975045</v>
      </c>
      <c r="BZ115" s="6">
        <f>VLOOKUP(Table1[[#This Row],[Reference]],metron,14,FALSE)</f>
        <v>0.47276760953965608</v>
      </c>
      <c r="CA115" s="6">
        <f>VLOOKUP(Table1[[#This Row],[Reference]],metron,15,FALSE)</f>
        <v>12.29504785684561</v>
      </c>
      <c r="CB115" s="6">
        <f>VLOOKUP(Table1[[#This Row],[Reference]],metron,16,FALSE)</f>
        <v>10.047232625884311</v>
      </c>
      <c r="CC115" s="6">
        <f>VLOOKUP(Table1[[#This Row],[Reference]],metron,17,FALSE)</f>
        <v>5.2917192097519967</v>
      </c>
      <c r="CD115" s="6">
        <f>VLOOKUP(Table1[[#This Row],[Reference]],metron,18,FALSE)</f>
        <v>4.2580916351408158</v>
      </c>
      <c r="CE115" s="6">
        <f>VLOOKUP(Table1[[#This Row],[Reference]],metron,19,FALSE)</f>
        <v>7.0033286470936131</v>
      </c>
      <c r="CF115" s="6">
        <f>VLOOKUP(Table1[[#This Row],[Reference]],metron,20,FALSE)</f>
        <v>5.789140990743495</v>
      </c>
      <c r="CG115" s="6">
        <f>VLOOKUP(Table1[[#This Row],[Reference]],metron,21,FALSE)</f>
        <v>12.77041895895049</v>
      </c>
      <c r="CH115" s="6">
        <f>VLOOKUP(Table1[[#This Row],[Reference]],metron,22,FALSE)</f>
        <v>13.411129919593741</v>
      </c>
      <c r="CI115" s="6">
        <f>VLOOKUP(Table1[[#This Row],[Reference]],metron,23,FALSE)</f>
        <v>1.556141062018646</v>
      </c>
      <c r="CJ115" s="6">
        <f>VLOOKUP(Table1[[#This Row],[Reference]],metron,24,FALSE)</f>
        <v>1.9114308877178761</v>
      </c>
      <c r="CK115" s="6">
        <f>VLOOKUP(Table1[[#This Row],[Reference]],metron,25,FALSE)</f>
        <v>8.4920956627482766E-2</v>
      </c>
      <c r="CL115" s="6">
        <f>VLOOKUP(Table1[[#This Row],[Reference]],metron,26,FALSE)</f>
        <v>0.1323469801378192</v>
      </c>
    </row>
    <row r="116" spans="1:90" hidden="1" x14ac:dyDescent="0.45">
      <c r="A116" t="s">
        <v>696</v>
      </c>
      <c r="B116">
        <v>1634508000</v>
      </c>
      <c r="C116" s="23" t="s">
        <v>309</v>
      </c>
      <c r="D116" t="s">
        <v>65</v>
      </c>
      <c r="E116" t="s">
        <v>66</v>
      </c>
      <c r="F116" t="s">
        <v>90</v>
      </c>
      <c r="G116" t="s">
        <v>79</v>
      </c>
      <c r="H116" t="s">
        <v>130</v>
      </c>
      <c r="I116">
        <f>MROUND(Table1[[#This Row],[ProbH]]*100,2)/100</f>
        <v>0.42</v>
      </c>
      <c r="J116">
        <f>1/Table1[[#This Row],[odds_ft_home_team_win]]-Table1[[#This Row],[Margin]]</f>
        <v>0.42795901937466541</v>
      </c>
      <c r="K116">
        <f>1/Table1[[#This Row],[odds_ft_draw]]-Table1[[#This Row],[Margin]]</f>
        <v>0.26490288147576024</v>
      </c>
      <c r="L116">
        <f>1/Table1[[#This Row],[odds_ft_away_team_win]]-Table1[[#This Row],[Margin]]</f>
        <v>0.30713809914957441</v>
      </c>
      <c r="M116">
        <v>13</v>
      </c>
      <c r="N116">
        <v>1.17</v>
      </c>
      <c r="O116">
        <v>1.67</v>
      </c>
      <c r="P116">
        <v>1.47</v>
      </c>
      <c r="Q116">
        <v>1.29</v>
      </c>
      <c r="R116" t="str" cm="1">
        <f t="array" ref="R1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6">
        <v>2</v>
      </c>
      <c r="T116">
        <v>0</v>
      </c>
      <c r="U116">
        <v>2</v>
      </c>
      <c r="V116">
        <v>1</v>
      </c>
      <c r="W116">
        <v>1</v>
      </c>
      <c r="X116">
        <v>0</v>
      </c>
      <c r="Y116" t="s">
        <v>310</v>
      </c>
      <c r="AA116">
        <v>2</v>
      </c>
      <c r="AB116">
        <v>4</v>
      </c>
      <c r="AC116">
        <v>4</v>
      </c>
      <c r="AD116">
        <v>0</v>
      </c>
      <c r="AE116">
        <v>3</v>
      </c>
      <c r="AF116">
        <v>0</v>
      </c>
      <c r="AG116">
        <v>0</v>
      </c>
      <c r="AH116">
        <v>4</v>
      </c>
      <c r="AI116">
        <v>3</v>
      </c>
      <c r="AJ116">
        <v>0</v>
      </c>
      <c r="AK116">
        <v>17</v>
      </c>
      <c r="AL116">
        <v>11</v>
      </c>
      <c r="AM116">
        <v>7</v>
      </c>
      <c r="AN116">
        <v>4</v>
      </c>
      <c r="AO116">
        <v>10</v>
      </c>
      <c r="AP116">
        <v>7</v>
      </c>
      <c r="AQ116">
        <v>18</v>
      </c>
      <c r="AR116">
        <v>18</v>
      </c>
      <c r="AS116">
        <v>52</v>
      </c>
      <c r="AT116">
        <v>48</v>
      </c>
      <c r="AU116">
        <v>1.89</v>
      </c>
      <c r="AV116">
        <v>1.31</v>
      </c>
      <c r="AW116">
        <v>2.5</v>
      </c>
      <c r="AX116">
        <v>42</v>
      </c>
      <c r="AY116">
        <v>75</v>
      </c>
      <c r="AZ116">
        <v>59</v>
      </c>
      <c r="BA116">
        <v>25</v>
      </c>
      <c r="BB116">
        <v>0</v>
      </c>
      <c r="BC116">
        <v>34</v>
      </c>
      <c r="BD116">
        <v>83</v>
      </c>
      <c r="BE116">
        <v>42</v>
      </c>
      <c r="BF116">
        <v>83</v>
      </c>
      <c r="BG116">
        <v>10.33</v>
      </c>
      <c r="BH116">
        <v>4.83</v>
      </c>
      <c r="BI116">
        <v>2.12</v>
      </c>
      <c r="BJ116">
        <v>3.24</v>
      </c>
      <c r="BK116">
        <v>2.85</v>
      </c>
      <c r="BL116">
        <f>(1/Table1[[#This Row],[odds_ft_home_team_win]]+1/Table1[[#This Row],[odds_ft_draw]]+1/Table1[[#This Row],[odds_ft_away_team_win]]-1)/3</f>
        <v>4.3739093832881736E-2</v>
      </c>
      <c r="BM116">
        <v>1.42</v>
      </c>
      <c r="BN116">
        <v>2.25</v>
      </c>
      <c r="BO116">
        <v>3.75</v>
      </c>
      <c r="BP116">
        <v>7.5</v>
      </c>
      <c r="BQ116">
        <v>1.91</v>
      </c>
      <c r="BR116">
        <v>1.8</v>
      </c>
      <c r="BS116" t="s">
        <v>94</v>
      </c>
      <c r="BT116">
        <f>VLOOKUP(Table1[[#This Row],[Reference]],metron,8,FALSE)</f>
        <v>1.5780106027030405</v>
      </c>
      <c r="BU116">
        <f>VLOOKUP(Table1[[#This Row],[Reference]],metron,9,FALSE)</f>
        <v>1.1353025412447635</v>
      </c>
      <c r="BV116">
        <f>VLOOKUP(Table1[[#This Row],[Reference]],metron,10,FALSE)</f>
        <v>2.4884649511978703</v>
      </c>
      <c r="BW116">
        <f>VLOOKUP(Table1[[#This Row],[Reference]],metron,11,FALSE)</f>
        <v>1.396960958296362</v>
      </c>
      <c r="BX116">
        <f>VLOOKUP(Table1[[#This Row],[Reference]],metron,12,FALSE)</f>
        <v>1.091503992901508</v>
      </c>
      <c r="BY116" s="6">
        <f>VLOOKUP(Table1[[#This Row],[Reference]],metron,13,FALSE)</f>
        <v>0.60765391014975045</v>
      </c>
      <c r="BZ116" s="6">
        <f>VLOOKUP(Table1[[#This Row],[Reference]],metron,14,FALSE)</f>
        <v>0.47276760953965608</v>
      </c>
      <c r="CA116" s="6">
        <f>VLOOKUP(Table1[[#This Row],[Reference]],metron,15,FALSE)</f>
        <v>12.29504785684561</v>
      </c>
      <c r="CB116" s="6">
        <f>VLOOKUP(Table1[[#This Row],[Reference]],metron,16,FALSE)</f>
        <v>10.047232625884311</v>
      </c>
      <c r="CC116" s="6">
        <f>VLOOKUP(Table1[[#This Row],[Reference]],metron,17,FALSE)</f>
        <v>5.2917192097519967</v>
      </c>
      <c r="CD116" s="6">
        <f>VLOOKUP(Table1[[#This Row],[Reference]],metron,18,FALSE)</f>
        <v>4.2580916351408158</v>
      </c>
      <c r="CE116" s="6">
        <f>VLOOKUP(Table1[[#This Row],[Reference]],metron,19,FALSE)</f>
        <v>7.0033286470936131</v>
      </c>
      <c r="CF116" s="6">
        <f>VLOOKUP(Table1[[#This Row],[Reference]],metron,20,FALSE)</f>
        <v>5.789140990743495</v>
      </c>
      <c r="CG116" s="6">
        <f>VLOOKUP(Table1[[#This Row],[Reference]],metron,21,FALSE)</f>
        <v>12.77041895895049</v>
      </c>
      <c r="CH116" s="6">
        <f>VLOOKUP(Table1[[#This Row],[Reference]],metron,22,FALSE)</f>
        <v>13.411129919593741</v>
      </c>
      <c r="CI116" s="6">
        <f>VLOOKUP(Table1[[#This Row],[Reference]],metron,23,FALSE)</f>
        <v>1.556141062018646</v>
      </c>
      <c r="CJ116" s="6">
        <f>VLOOKUP(Table1[[#This Row],[Reference]],metron,24,FALSE)</f>
        <v>1.9114308877178761</v>
      </c>
      <c r="CK116" s="6">
        <f>VLOOKUP(Table1[[#This Row],[Reference]],metron,25,FALSE)</f>
        <v>8.4920956627482766E-2</v>
      </c>
      <c r="CL116" s="6">
        <f>VLOOKUP(Table1[[#This Row],[Reference]],metron,26,FALSE)</f>
        <v>0.1323469801378192</v>
      </c>
    </row>
    <row r="117" spans="1:90" hidden="1" x14ac:dyDescent="0.45">
      <c r="A117" t="s">
        <v>696</v>
      </c>
      <c r="B117">
        <v>1634680800</v>
      </c>
      <c r="C117" s="23" t="s">
        <v>311</v>
      </c>
      <c r="D117" t="s">
        <v>65</v>
      </c>
      <c r="E117" t="s">
        <v>66</v>
      </c>
      <c r="F117" t="s">
        <v>67</v>
      </c>
      <c r="G117" t="s">
        <v>101</v>
      </c>
      <c r="H117" t="s">
        <v>122</v>
      </c>
      <c r="I117">
        <f>MROUND(Table1[[#This Row],[ProbH]]*100,2)/100</f>
        <v>0.24</v>
      </c>
      <c r="J117">
        <f>1/Table1[[#This Row],[odds_ft_home_team_win]]-Table1[[#This Row],[Margin]]</f>
        <v>0.24362094564601799</v>
      </c>
      <c r="K117">
        <f>1/Table1[[#This Row],[odds_ft_draw]]-Table1[[#This Row],[Margin]]</f>
        <v>0.25202430699055584</v>
      </c>
      <c r="L117">
        <f>1/Table1[[#This Row],[odds_ft_away_team_win]]-Table1[[#This Row],[Margin]]</f>
        <v>0.50435474736342623</v>
      </c>
      <c r="M117">
        <v>14</v>
      </c>
      <c r="N117">
        <v>1.33</v>
      </c>
      <c r="O117">
        <v>1</v>
      </c>
      <c r="P117">
        <v>1.24</v>
      </c>
      <c r="Q117">
        <v>1.05</v>
      </c>
      <c r="R117" t="str" cm="1">
        <f t="array" ref="R1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34</v>
      </c>
      <c r="AA117">
        <v>1</v>
      </c>
      <c r="AB117">
        <v>12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10</v>
      </c>
      <c r="AL117">
        <v>15</v>
      </c>
      <c r="AM117">
        <v>3</v>
      </c>
      <c r="AN117">
        <v>9</v>
      </c>
      <c r="AO117">
        <v>7</v>
      </c>
      <c r="AP117">
        <v>6</v>
      </c>
      <c r="AQ117">
        <v>13</v>
      </c>
      <c r="AR117">
        <v>14</v>
      </c>
      <c r="AS117">
        <v>36</v>
      </c>
      <c r="AT117">
        <v>64</v>
      </c>
      <c r="AU117">
        <v>1.06</v>
      </c>
      <c r="AV117">
        <v>1.98</v>
      </c>
      <c r="AW117">
        <v>2.25</v>
      </c>
      <c r="AX117">
        <v>59</v>
      </c>
      <c r="AY117">
        <v>75</v>
      </c>
      <c r="AZ117">
        <v>42</v>
      </c>
      <c r="BA117">
        <v>17</v>
      </c>
      <c r="BB117">
        <v>0</v>
      </c>
      <c r="BC117">
        <v>34</v>
      </c>
      <c r="BD117">
        <v>67</v>
      </c>
      <c r="BE117">
        <v>25</v>
      </c>
      <c r="BF117">
        <v>75</v>
      </c>
      <c r="BG117">
        <v>6.83</v>
      </c>
      <c r="BH117">
        <v>6.5</v>
      </c>
      <c r="BI117">
        <v>3.5</v>
      </c>
      <c r="BJ117">
        <v>3.4</v>
      </c>
      <c r="BK117">
        <v>1.83</v>
      </c>
      <c r="BL117">
        <f>(1/Table1[[#This Row],[odds_ft_home_team_win]]+1/Table1[[#This Row],[odds_ft_draw]]+1/Table1[[#This Row],[odds_ft_away_team_win]]-1)/3</f>
        <v>4.2093340068267704E-2</v>
      </c>
      <c r="BM117">
        <v>1.35</v>
      </c>
      <c r="BN117">
        <v>2</v>
      </c>
      <c r="BO117">
        <v>3.5</v>
      </c>
      <c r="BP117">
        <v>7.1</v>
      </c>
      <c r="BQ117">
        <v>1.89</v>
      </c>
      <c r="BR117">
        <v>1.81</v>
      </c>
      <c r="BS117" t="s">
        <v>70</v>
      </c>
      <c r="BT117">
        <f>VLOOKUP(Table1[[#This Row],[Reference]],metron,8,FALSE)</f>
        <v>1.0221684690062811</v>
      </c>
      <c r="BU117">
        <f>VLOOKUP(Table1[[#This Row],[Reference]],metron,9,FALSE)</f>
        <v>1.7036119427882386</v>
      </c>
      <c r="BV117">
        <f>VLOOKUP(Table1[[#This Row],[Reference]],metron,10,FALSE)</f>
        <v>2.6014437689969609</v>
      </c>
      <c r="BW117">
        <f>VLOOKUP(Table1[[#This Row],[Reference]],metron,11,FALSE)</f>
        <v>1.067249240121581</v>
      </c>
      <c r="BX117">
        <f>VLOOKUP(Table1[[#This Row],[Reference]],metron,12,FALSE)</f>
        <v>1.53419452887538</v>
      </c>
      <c r="BY117" s="6">
        <f>VLOOKUP(Table1[[#This Row],[Reference]],metron,13,FALSE)</f>
        <v>0.45589353612167299</v>
      </c>
      <c r="BZ117" s="6">
        <f>VLOOKUP(Table1[[#This Row],[Reference]],metron,14,FALSE)</f>
        <v>0.65133079847908748</v>
      </c>
      <c r="CA117" s="6">
        <f>VLOOKUP(Table1[[#This Row],[Reference]],metron,15,FALSE)</f>
        <v>10.75886524822695</v>
      </c>
      <c r="CB117" s="6">
        <f>VLOOKUP(Table1[[#This Row],[Reference]],metron,16,FALSE)</f>
        <v>12.46679561573179</v>
      </c>
      <c r="CC117" s="6">
        <f>VLOOKUP(Table1[[#This Row],[Reference]],metron,17,FALSE)</f>
        <v>4.1157347204161248</v>
      </c>
      <c r="CD117" s="6">
        <f>VLOOKUP(Table1[[#This Row],[Reference]],metron,18,FALSE)</f>
        <v>5.1072821846553964</v>
      </c>
      <c r="CE117" s="6">
        <f>VLOOKUP(Table1[[#This Row],[Reference]],metron,19,FALSE)</f>
        <v>6.6431305278108255</v>
      </c>
      <c r="CF117" s="6">
        <f>VLOOKUP(Table1[[#This Row],[Reference]],metron,20,FALSE)</f>
        <v>7.3595134310763939</v>
      </c>
      <c r="CG117" s="6">
        <f>VLOOKUP(Table1[[#This Row],[Reference]],metron,21,FALSE)</f>
        <v>13.11140235910878</v>
      </c>
      <c r="CH117" s="6">
        <f>VLOOKUP(Table1[[#This Row],[Reference]],metron,22,FALSE)</f>
        <v>12.93184796854522</v>
      </c>
      <c r="CI117" s="6">
        <f>VLOOKUP(Table1[[#This Row],[Reference]],metron,23,FALSE)</f>
        <v>1.8341677096370459</v>
      </c>
      <c r="CJ117" s="6">
        <f>VLOOKUP(Table1[[#This Row],[Reference]],metron,24,FALSE)</f>
        <v>1.7903629536921151</v>
      </c>
      <c r="CK117" s="6">
        <f>VLOOKUP(Table1[[#This Row],[Reference]],metron,25,FALSE)</f>
        <v>0.1095118898623279</v>
      </c>
      <c r="CL117" s="6">
        <f>VLOOKUP(Table1[[#This Row],[Reference]],metron,26,FALSE)</f>
        <v>9.3241551939924908E-2</v>
      </c>
    </row>
    <row r="118" spans="1:90" hidden="1" x14ac:dyDescent="0.45">
      <c r="A118" t="s">
        <v>696</v>
      </c>
      <c r="B118">
        <v>1634688000</v>
      </c>
      <c r="C118" s="23" t="s">
        <v>312</v>
      </c>
      <c r="D118" t="s">
        <v>65</v>
      </c>
      <c r="E118" t="s">
        <v>66</v>
      </c>
      <c r="F118" t="s">
        <v>102</v>
      </c>
      <c r="G118" t="s">
        <v>113</v>
      </c>
      <c r="H118" t="s">
        <v>74</v>
      </c>
      <c r="I118">
        <f>MROUND(Table1[[#This Row],[ProbH]]*100,2)/100</f>
        <v>0.44</v>
      </c>
      <c r="J118">
        <f>1/Table1[[#This Row],[odds_ft_home_team_win]]-Table1[[#This Row],[Margin]]</f>
        <v>0.43677049644276272</v>
      </c>
      <c r="K118">
        <f>1/Table1[[#This Row],[odds_ft_draw]]-Table1[[#This Row],[Margin]]</f>
        <v>0.28316066541357687</v>
      </c>
      <c r="L118">
        <f>1/Table1[[#This Row],[odds_ft_away_team_win]]-Table1[[#This Row],[Margin]]</f>
        <v>0.28006883814366035</v>
      </c>
      <c r="M118">
        <v>14</v>
      </c>
      <c r="N118">
        <v>1</v>
      </c>
      <c r="O118">
        <v>0.83</v>
      </c>
      <c r="P118">
        <v>1.38</v>
      </c>
      <c r="Q118">
        <v>0.72</v>
      </c>
      <c r="R118" t="str" cm="1">
        <f t="array" ref="R1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8">
        <v>2</v>
      </c>
      <c r="T118">
        <v>0</v>
      </c>
      <c r="U118">
        <v>2</v>
      </c>
      <c r="V118">
        <v>0</v>
      </c>
      <c r="W118">
        <v>0</v>
      </c>
      <c r="X118">
        <v>0</v>
      </c>
      <c r="Y118" t="s">
        <v>313</v>
      </c>
      <c r="AA118">
        <v>5</v>
      </c>
      <c r="AB118">
        <v>1</v>
      </c>
      <c r="AC118">
        <v>3</v>
      </c>
      <c r="AD118">
        <v>0</v>
      </c>
      <c r="AE118">
        <v>1</v>
      </c>
      <c r="AF118">
        <v>0</v>
      </c>
      <c r="AG118">
        <v>1</v>
      </c>
      <c r="AH118">
        <v>2</v>
      </c>
      <c r="AI118">
        <v>0</v>
      </c>
      <c r="AJ118">
        <v>1</v>
      </c>
      <c r="AK118">
        <v>16</v>
      </c>
      <c r="AL118">
        <v>5</v>
      </c>
      <c r="AM118">
        <v>7</v>
      </c>
      <c r="AN118">
        <v>0</v>
      </c>
      <c r="AO118">
        <v>9</v>
      </c>
      <c r="AP118">
        <v>5</v>
      </c>
      <c r="AQ118">
        <v>16</v>
      </c>
      <c r="AR118">
        <v>9</v>
      </c>
      <c r="AS118">
        <v>56</v>
      </c>
      <c r="AT118">
        <v>44</v>
      </c>
      <c r="AU118">
        <v>1.83</v>
      </c>
      <c r="AV118">
        <v>0.5</v>
      </c>
      <c r="AW118">
        <v>2.17</v>
      </c>
      <c r="AX118">
        <v>42</v>
      </c>
      <c r="AY118">
        <v>75</v>
      </c>
      <c r="AZ118">
        <v>33</v>
      </c>
      <c r="BA118">
        <v>17</v>
      </c>
      <c r="BB118">
        <v>0</v>
      </c>
      <c r="BC118">
        <v>25</v>
      </c>
      <c r="BD118">
        <v>75</v>
      </c>
      <c r="BE118">
        <v>25</v>
      </c>
      <c r="BF118">
        <v>67</v>
      </c>
      <c r="BG118">
        <v>8</v>
      </c>
      <c r="BH118">
        <v>3.67</v>
      </c>
      <c r="BI118">
        <v>2.1</v>
      </c>
      <c r="BJ118">
        <v>3.1</v>
      </c>
      <c r="BK118">
        <v>3.13</v>
      </c>
      <c r="BL118">
        <f>(1/Table1[[#This Row],[odds_ft_home_team_win]]+1/Table1[[#This Row],[odds_ft_draw]]+1/Table1[[#This Row],[odds_ft_away_team_win]]-1)/3</f>
        <v>3.941997974771342E-2</v>
      </c>
      <c r="BM118">
        <v>1.38</v>
      </c>
      <c r="BN118">
        <v>2.2000000000000002</v>
      </c>
      <c r="BO118">
        <v>4</v>
      </c>
      <c r="BP118">
        <v>0</v>
      </c>
      <c r="BQ118">
        <v>0</v>
      </c>
      <c r="BR118">
        <v>0</v>
      </c>
      <c r="BS118" t="s">
        <v>124</v>
      </c>
      <c r="BT118">
        <f>VLOOKUP(Table1[[#This Row],[Reference]],metron,8,FALSE)</f>
        <v>1.6395459745305552</v>
      </c>
      <c r="BU118">
        <f>VLOOKUP(Table1[[#This Row],[Reference]],metron,9,FALSE)</f>
        <v>1.0758429359324786</v>
      </c>
      <c r="BV118">
        <f>VLOOKUP(Table1[[#This Row],[Reference]],metron,10,FALSE)</f>
        <v>2.4807646356033461</v>
      </c>
      <c r="BW118">
        <f>VLOOKUP(Table1[[#This Row],[Reference]],metron,11,FALSE)</f>
        <v>1.4140979689366791</v>
      </c>
      <c r="BX118">
        <f>VLOOKUP(Table1[[#This Row],[Reference]],metron,12,FALSE)</f>
        <v>1.0666666666666671</v>
      </c>
      <c r="BY118" s="6">
        <f>VLOOKUP(Table1[[#This Row],[Reference]],metron,13,FALSE)</f>
        <v>0.62712066905615294</v>
      </c>
      <c r="BZ118" s="6">
        <f>VLOOKUP(Table1[[#This Row],[Reference]],metron,14,FALSE)</f>
        <v>0.46009557945041818</v>
      </c>
      <c r="CA118" s="6">
        <f>VLOOKUP(Table1[[#This Row],[Reference]],metron,15,FALSE)</f>
        <v>12.56969280146722</v>
      </c>
      <c r="CB118" s="6">
        <f>VLOOKUP(Table1[[#This Row],[Reference]],metron,16,FALSE)</f>
        <v>9.8695552498853729</v>
      </c>
      <c r="CC118" s="6">
        <f>VLOOKUP(Table1[[#This Row],[Reference]],metron,17,FALSE)</f>
        <v>5.2754256787850897</v>
      </c>
      <c r="CD118" s="6">
        <f>VLOOKUP(Table1[[#This Row],[Reference]],metron,18,FALSE)</f>
        <v>4.1279337321675103</v>
      </c>
      <c r="CE118" s="6">
        <f>VLOOKUP(Table1[[#This Row],[Reference]],metron,19,FALSE)</f>
        <v>7.2942671226821298</v>
      </c>
      <c r="CF118" s="6">
        <f>VLOOKUP(Table1[[#This Row],[Reference]],metron,20,FALSE)</f>
        <v>5.7416215177178627</v>
      </c>
      <c r="CG118" s="6">
        <f>VLOOKUP(Table1[[#This Row],[Reference]],metron,21,FALSE)</f>
        <v>12.897246007868549</v>
      </c>
      <c r="CH118" s="6">
        <f>VLOOKUP(Table1[[#This Row],[Reference]],metron,22,FALSE)</f>
        <v>13.507058551261281</v>
      </c>
      <c r="CI118" s="6">
        <f>VLOOKUP(Table1[[#This Row],[Reference]],metron,23,FALSE)</f>
        <v>1.576522702104098</v>
      </c>
      <c r="CJ118" s="6">
        <f>VLOOKUP(Table1[[#This Row],[Reference]],metron,24,FALSE)</f>
        <v>1.917165005537099</v>
      </c>
      <c r="CK118" s="6">
        <f>VLOOKUP(Table1[[#This Row],[Reference]],metron,25,FALSE)</f>
        <v>8.4385382059800659E-2</v>
      </c>
      <c r="CL118" s="6">
        <f>VLOOKUP(Table1[[#This Row],[Reference]],metron,26,FALSE)</f>
        <v>0.1233665559246955</v>
      </c>
    </row>
    <row r="119" spans="1:90" hidden="1" x14ac:dyDescent="0.45">
      <c r="A119" t="s">
        <v>696</v>
      </c>
      <c r="B119">
        <v>1634688300</v>
      </c>
      <c r="C119" s="23" t="s">
        <v>314</v>
      </c>
      <c r="D119" t="s">
        <v>65</v>
      </c>
      <c r="E119" t="s">
        <v>66</v>
      </c>
      <c r="F119" t="s">
        <v>68</v>
      </c>
      <c r="G119" t="s">
        <v>73</v>
      </c>
      <c r="H119" t="s">
        <v>69</v>
      </c>
      <c r="I119">
        <f>MROUND(Table1[[#This Row],[ProbH]]*100,2)/100</f>
        <v>0.56000000000000005</v>
      </c>
      <c r="J119">
        <f>1/Table1[[#This Row],[odds_ft_home_team_win]]-Table1[[#This Row],[Margin]]</f>
        <v>0.56042164037937192</v>
      </c>
      <c r="K119">
        <f>1/Table1[[#This Row],[odds_ft_draw]]-Table1[[#This Row],[Margin]]</f>
        <v>0.25573689222861462</v>
      </c>
      <c r="L119">
        <f>1/Table1[[#This Row],[odds_ft_away_team_win]]-Table1[[#This Row],[Margin]]</f>
        <v>0.18384146739201326</v>
      </c>
      <c r="M119">
        <v>14</v>
      </c>
      <c r="N119">
        <v>2.67</v>
      </c>
      <c r="O119">
        <v>1.2</v>
      </c>
      <c r="P119">
        <v>1.9</v>
      </c>
      <c r="Q119">
        <v>1.1100000000000001</v>
      </c>
      <c r="R119" t="str" cm="1">
        <f t="array" ref="R1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9">
        <v>2</v>
      </c>
      <c r="T119">
        <v>1</v>
      </c>
      <c r="U119">
        <v>3</v>
      </c>
      <c r="V119">
        <v>0</v>
      </c>
      <c r="W119">
        <v>0</v>
      </c>
      <c r="X119">
        <v>0</v>
      </c>
      <c r="Y119" t="s">
        <v>315</v>
      </c>
      <c r="Z119">
        <v>73</v>
      </c>
      <c r="AA119">
        <v>4</v>
      </c>
      <c r="AB119">
        <v>3</v>
      </c>
      <c r="AC119">
        <v>4</v>
      </c>
      <c r="AD119">
        <v>0</v>
      </c>
      <c r="AE119">
        <v>3</v>
      </c>
      <c r="AF119">
        <v>1</v>
      </c>
      <c r="AG119">
        <v>1</v>
      </c>
      <c r="AH119">
        <v>3</v>
      </c>
      <c r="AI119">
        <v>1</v>
      </c>
      <c r="AJ119">
        <v>3</v>
      </c>
      <c r="AK119">
        <v>9</v>
      </c>
      <c r="AL119">
        <v>7</v>
      </c>
      <c r="AM119">
        <v>6</v>
      </c>
      <c r="AN119">
        <v>3</v>
      </c>
      <c r="AO119">
        <v>3</v>
      </c>
      <c r="AP119">
        <v>4</v>
      </c>
      <c r="AQ119">
        <v>21</v>
      </c>
      <c r="AR119">
        <v>11</v>
      </c>
      <c r="AS119">
        <v>47</v>
      </c>
      <c r="AT119">
        <v>53</v>
      </c>
      <c r="AU119">
        <v>1.24</v>
      </c>
      <c r="AV119">
        <v>0.87</v>
      </c>
      <c r="AW119">
        <v>2.12</v>
      </c>
      <c r="AX119">
        <v>49</v>
      </c>
      <c r="AY119">
        <v>92</v>
      </c>
      <c r="AZ119">
        <v>29</v>
      </c>
      <c r="BA119">
        <v>0</v>
      </c>
      <c r="BB119">
        <v>0</v>
      </c>
      <c r="BC119">
        <v>10</v>
      </c>
      <c r="BD119">
        <v>74</v>
      </c>
      <c r="BE119">
        <v>37</v>
      </c>
      <c r="BF119">
        <v>92</v>
      </c>
      <c r="BG119">
        <v>13.1</v>
      </c>
      <c r="BH119">
        <v>3.6</v>
      </c>
      <c r="BI119">
        <v>1.67</v>
      </c>
      <c r="BJ119">
        <v>3.4</v>
      </c>
      <c r="BK119">
        <v>4.5</v>
      </c>
      <c r="BL119">
        <f>(1/Table1[[#This Row],[odds_ft_home_team_win]]+1/Table1[[#This Row],[odds_ft_draw]]+1/Table1[[#This Row],[odds_ft_away_team_win]]-1)/3</f>
        <v>3.8380754830208939E-2</v>
      </c>
      <c r="BM119">
        <v>1.33</v>
      </c>
      <c r="BN119">
        <v>1.91</v>
      </c>
      <c r="BO119">
        <v>3.92</v>
      </c>
      <c r="BP119">
        <v>7.6</v>
      </c>
      <c r="BQ119">
        <v>2.06</v>
      </c>
      <c r="BR119">
        <v>1.68</v>
      </c>
      <c r="BS119" t="s">
        <v>116</v>
      </c>
      <c r="BT119">
        <f>VLOOKUP(Table1[[#This Row],[Reference]],metron,8,FALSE)</f>
        <v>1.9673156855724254</v>
      </c>
      <c r="BU119">
        <f>VLOOKUP(Table1[[#This Row],[Reference]],metron,9,FALSE)</f>
        <v>0.77729484582409181</v>
      </c>
      <c r="BV119">
        <f>VLOOKUP(Table1[[#This Row],[Reference]],metron,10,FALSE)</f>
        <v>2.6892488954344627</v>
      </c>
      <c r="BW119">
        <f>VLOOKUP(Table1[[#This Row],[Reference]],metron,11,FALSE)</f>
        <v>1.7546812539448771</v>
      </c>
      <c r="BX119">
        <f>VLOOKUP(Table1[[#This Row],[Reference]],metron,12,FALSE)</f>
        <v>0.93456764148958549</v>
      </c>
      <c r="BY119" s="6">
        <f>VLOOKUP(Table1[[#This Row],[Reference]],metron,13,FALSE)</f>
        <v>0.77824531874605507</v>
      </c>
      <c r="BZ119" s="6">
        <f>VLOOKUP(Table1[[#This Row],[Reference]],metron,14,FALSE)</f>
        <v>0.41237113402061848</v>
      </c>
      <c r="CA119" s="6">
        <f>VLOOKUP(Table1[[#This Row],[Reference]],metron,15,FALSE)</f>
        <v>13.77153558052435</v>
      </c>
      <c r="CB119" s="6">
        <f>VLOOKUP(Table1[[#This Row],[Reference]],metron,16,FALSE)</f>
        <v>9.0445692883895124</v>
      </c>
      <c r="CC119" s="6">
        <f>VLOOKUP(Table1[[#This Row],[Reference]],metron,17,FALSE)</f>
        <v>6.0821292775665396</v>
      </c>
      <c r="CD119" s="6">
        <f>VLOOKUP(Table1[[#This Row],[Reference]],metron,18,FALSE)</f>
        <v>3.8201520912547529</v>
      </c>
      <c r="CE119" s="6">
        <f>VLOOKUP(Table1[[#This Row],[Reference]],metron,19,FALSE)</f>
        <v>7.6894063029578108</v>
      </c>
      <c r="CF119" s="6">
        <f>VLOOKUP(Table1[[#This Row],[Reference]],metron,20,FALSE)</f>
        <v>5.224417197134759</v>
      </c>
      <c r="CG119" s="6">
        <f>VLOOKUP(Table1[[#This Row],[Reference]],metron,21,FALSE)</f>
        <v>12.297605473204101</v>
      </c>
      <c r="CH119" s="6">
        <f>VLOOKUP(Table1[[#This Row],[Reference]],metron,22,FALSE)</f>
        <v>13.310908399847969</v>
      </c>
      <c r="CI119" s="6">
        <f>VLOOKUP(Table1[[#This Row],[Reference]],metron,23,FALSE)</f>
        <v>1.3713126843657819</v>
      </c>
      <c r="CJ119" s="6">
        <f>VLOOKUP(Table1[[#This Row],[Reference]],metron,24,FALSE)</f>
        <v>1.9516961651917399</v>
      </c>
      <c r="CK119" s="6">
        <f>VLOOKUP(Table1[[#This Row],[Reference]],metron,25,FALSE)</f>
        <v>6.6002949852507375E-2</v>
      </c>
      <c r="CL119" s="6">
        <f>VLOOKUP(Table1[[#This Row],[Reference]],metron,26,FALSE)</f>
        <v>0.1297935103244838</v>
      </c>
    </row>
    <row r="120" spans="1:90" hidden="1" x14ac:dyDescent="0.45">
      <c r="A120" t="s">
        <v>696</v>
      </c>
      <c r="B120">
        <v>1634695500</v>
      </c>
      <c r="C120" s="23" t="s">
        <v>316</v>
      </c>
      <c r="D120" t="s">
        <v>65</v>
      </c>
      <c r="E120" t="s">
        <v>66</v>
      </c>
      <c r="F120" t="s">
        <v>97</v>
      </c>
      <c r="G120" t="s">
        <v>112</v>
      </c>
      <c r="H120" t="s">
        <v>80</v>
      </c>
      <c r="I120">
        <f>MROUND(Table1[[#This Row],[ProbH]]*100,2)/100</f>
        <v>0.44</v>
      </c>
      <c r="J120">
        <f>1/Table1[[#This Row],[odds_ft_home_team_win]]-Table1[[#This Row],[Margin]]</f>
        <v>0.43780110553273494</v>
      </c>
      <c r="K120">
        <f>1/Table1[[#This Row],[odds_ft_draw]]-Table1[[#This Row],[Margin]]</f>
        <v>0.28109944723363256</v>
      </c>
      <c r="L120">
        <f>1/Table1[[#This Row],[odds_ft_away_team_win]]-Table1[[#This Row],[Margin]]</f>
        <v>0.28109944723363256</v>
      </c>
      <c r="M120">
        <v>14</v>
      </c>
      <c r="N120">
        <v>1.67</v>
      </c>
      <c r="O120">
        <v>1.5</v>
      </c>
      <c r="P120">
        <v>1.55</v>
      </c>
      <c r="Q120">
        <v>1.5</v>
      </c>
      <c r="R120" t="str" cm="1">
        <f t="array" ref="R1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AA120">
        <v>4</v>
      </c>
      <c r="AB120">
        <v>5</v>
      </c>
      <c r="AC120">
        <v>3</v>
      </c>
      <c r="AD120">
        <v>0</v>
      </c>
      <c r="AE120">
        <v>4</v>
      </c>
      <c r="AF120">
        <v>0</v>
      </c>
      <c r="AG120">
        <v>2</v>
      </c>
      <c r="AH120">
        <v>1</v>
      </c>
      <c r="AI120">
        <v>1</v>
      </c>
      <c r="AJ120">
        <v>3</v>
      </c>
      <c r="AK120">
        <v>7</v>
      </c>
      <c r="AL120">
        <v>5</v>
      </c>
      <c r="AM120">
        <v>4</v>
      </c>
      <c r="AN120">
        <v>3</v>
      </c>
      <c r="AO120">
        <v>3</v>
      </c>
      <c r="AP120">
        <v>2</v>
      </c>
      <c r="AQ120">
        <v>12</v>
      </c>
      <c r="AR120">
        <v>21</v>
      </c>
      <c r="AS120">
        <v>49</v>
      </c>
      <c r="AT120">
        <v>51</v>
      </c>
      <c r="AU120">
        <v>1.1399999999999999</v>
      </c>
      <c r="AV120">
        <v>0.82</v>
      </c>
      <c r="AW120">
        <v>1.67</v>
      </c>
      <c r="AX120">
        <v>42</v>
      </c>
      <c r="AY120">
        <v>59</v>
      </c>
      <c r="AZ120">
        <v>25</v>
      </c>
      <c r="BA120">
        <v>0</v>
      </c>
      <c r="BB120">
        <v>0</v>
      </c>
      <c r="BC120">
        <v>25</v>
      </c>
      <c r="BD120">
        <v>59</v>
      </c>
      <c r="BE120">
        <v>25</v>
      </c>
      <c r="BF120">
        <v>50</v>
      </c>
      <c r="BG120">
        <v>7.5</v>
      </c>
      <c r="BH120">
        <v>5.67</v>
      </c>
      <c r="BI120">
        <v>2.1</v>
      </c>
      <c r="BJ120">
        <v>3.13</v>
      </c>
      <c r="BK120">
        <v>3.13</v>
      </c>
      <c r="BL120">
        <f>(1/Table1[[#This Row],[odds_ft_home_team_win]]+1/Table1[[#This Row],[odds_ft_draw]]+1/Table1[[#This Row],[odds_ft_away_team_win]]-1)/3</f>
        <v>3.8389370657741249E-2</v>
      </c>
      <c r="BM120">
        <v>1.44</v>
      </c>
      <c r="BN120">
        <v>2.25</v>
      </c>
      <c r="BO120">
        <v>4.12</v>
      </c>
      <c r="BP120">
        <v>8.0500000000000007</v>
      </c>
      <c r="BQ120">
        <v>1.96</v>
      </c>
      <c r="BR120">
        <v>1.76</v>
      </c>
      <c r="BS120" t="s">
        <v>136</v>
      </c>
      <c r="BT120">
        <f>VLOOKUP(Table1[[#This Row],[Reference]],metron,8,FALSE)</f>
        <v>1.6395459745305552</v>
      </c>
      <c r="BU120">
        <f>VLOOKUP(Table1[[#This Row],[Reference]],metron,9,FALSE)</f>
        <v>1.0758429359324786</v>
      </c>
      <c r="BV120">
        <f>VLOOKUP(Table1[[#This Row],[Reference]],metron,10,FALSE)</f>
        <v>2.4807646356033461</v>
      </c>
      <c r="BW120">
        <f>VLOOKUP(Table1[[#This Row],[Reference]],metron,11,FALSE)</f>
        <v>1.4140979689366791</v>
      </c>
      <c r="BX120">
        <f>VLOOKUP(Table1[[#This Row],[Reference]],metron,12,FALSE)</f>
        <v>1.0666666666666671</v>
      </c>
      <c r="BY120" s="6">
        <f>VLOOKUP(Table1[[#This Row],[Reference]],metron,13,FALSE)</f>
        <v>0.62712066905615294</v>
      </c>
      <c r="BZ120" s="6">
        <f>VLOOKUP(Table1[[#This Row],[Reference]],metron,14,FALSE)</f>
        <v>0.46009557945041818</v>
      </c>
      <c r="CA120" s="6">
        <f>VLOOKUP(Table1[[#This Row],[Reference]],metron,15,FALSE)</f>
        <v>12.56969280146722</v>
      </c>
      <c r="CB120" s="6">
        <f>VLOOKUP(Table1[[#This Row],[Reference]],metron,16,FALSE)</f>
        <v>9.8695552498853729</v>
      </c>
      <c r="CC120" s="6">
        <f>VLOOKUP(Table1[[#This Row],[Reference]],metron,17,FALSE)</f>
        <v>5.2754256787850897</v>
      </c>
      <c r="CD120" s="6">
        <f>VLOOKUP(Table1[[#This Row],[Reference]],metron,18,FALSE)</f>
        <v>4.1279337321675103</v>
      </c>
      <c r="CE120" s="6">
        <f>VLOOKUP(Table1[[#This Row],[Reference]],metron,19,FALSE)</f>
        <v>7.2942671226821298</v>
      </c>
      <c r="CF120" s="6">
        <f>VLOOKUP(Table1[[#This Row],[Reference]],metron,20,FALSE)</f>
        <v>5.7416215177178627</v>
      </c>
      <c r="CG120" s="6">
        <f>VLOOKUP(Table1[[#This Row],[Reference]],metron,21,FALSE)</f>
        <v>12.897246007868549</v>
      </c>
      <c r="CH120" s="6">
        <f>VLOOKUP(Table1[[#This Row],[Reference]],metron,22,FALSE)</f>
        <v>13.507058551261281</v>
      </c>
      <c r="CI120" s="6">
        <f>VLOOKUP(Table1[[#This Row],[Reference]],metron,23,FALSE)</f>
        <v>1.576522702104098</v>
      </c>
      <c r="CJ120" s="6">
        <f>VLOOKUP(Table1[[#This Row],[Reference]],metron,24,FALSE)</f>
        <v>1.917165005537099</v>
      </c>
      <c r="CK120" s="6">
        <f>VLOOKUP(Table1[[#This Row],[Reference]],metron,25,FALSE)</f>
        <v>8.4385382059800659E-2</v>
      </c>
      <c r="CL120" s="6">
        <f>VLOOKUP(Table1[[#This Row],[Reference]],metron,26,FALSE)</f>
        <v>0.1233665559246955</v>
      </c>
    </row>
    <row r="121" spans="1:90" hidden="1" x14ac:dyDescent="0.45">
      <c r="A121" t="s">
        <v>696</v>
      </c>
      <c r="B121">
        <v>1634774400</v>
      </c>
      <c r="C121" s="23" t="s">
        <v>317</v>
      </c>
      <c r="D121" t="s">
        <v>65</v>
      </c>
      <c r="E121" t="s">
        <v>66</v>
      </c>
      <c r="F121" t="s">
        <v>79</v>
      </c>
      <c r="G121" t="s">
        <v>72</v>
      </c>
      <c r="H121" t="s">
        <v>158</v>
      </c>
      <c r="I121">
        <f>MROUND(Table1[[#This Row],[ProbH]]*100,2)/100</f>
        <v>0.54</v>
      </c>
      <c r="J121">
        <f>1/Table1[[#This Row],[odds_ft_home_team_win]]-Table1[[#This Row],[Margin]]</f>
        <v>0.53276353276353283</v>
      </c>
      <c r="K121">
        <f>1/Table1[[#This Row],[odds_ft_draw]]-Table1[[#This Row],[Margin]]</f>
        <v>0.23361823361823367</v>
      </c>
      <c r="L121">
        <f>1/Table1[[#This Row],[odds_ft_away_team_win]]-Table1[[#This Row],[Margin]]</f>
        <v>0.23361823361823367</v>
      </c>
      <c r="M121">
        <v>14</v>
      </c>
      <c r="N121">
        <v>1.83</v>
      </c>
      <c r="O121">
        <v>0.67</v>
      </c>
      <c r="P121">
        <v>1.17</v>
      </c>
      <c r="Q121">
        <v>1.28</v>
      </c>
      <c r="R121" s="9" t="str" cm="1">
        <f t="array" ref="R1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1">
        <v>1</v>
      </c>
      <c r="T121">
        <v>1</v>
      </c>
      <c r="U121">
        <v>2</v>
      </c>
      <c r="V121">
        <v>0</v>
      </c>
      <c r="W121">
        <v>0</v>
      </c>
      <c r="X121">
        <v>0</v>
      </c>
      <c r="Y121">
        <v>56</v>
      </c>
      <c r="Z121">
        <v>52</v>
      </c>
      <c r="AA121">
        <v>4</v>
      </c>
      <c r="AB121">
        <v>5</v>
      </c>
      <c r="AC121">
        <v>2</v>
      </c>
      <c r="AD121">
        <v>1</v>
      </c>
      <c r="AE121">
        <v>3</v>
      </c>
      <c r="AF121">
        <v>0</v>
      </c>
      <c r="AG121">
        <v>1</v>
      </c>
      <c r="AH121">
        <v>2</v>
      </c>
      <c r="AI121">
        <v>3</v>
      </c>
      <c r="AJ121">
        <v>0</v>
      </c>
      <c r="AK121">
        <v>10</v>
      </c>
      <c r="AL121">
        <v>17</v>
      </c>
      <c r="AM121">
        <v>3</v>
      </c>
      <c r="AN121">
        <v>5</v>
      </c>
      <c r="AO121">
        <v>7</v>
      </c>
      <c r="AP121">
        <v>12</v>
      </c>
      <c r="AQ121">
        <v>9</v>
      </c>
      <c r="AR121">
        <v>19</v>
      </c>
      <c r="AS121">
        <v>41</v>
      </c>
      <c r="AT121">
        <v>59</v>
      </c>
      <c r="AU121">
        <v>1.1200000000000001</v>
      </c>
      <c r="AV121">
        <v>1.8</v>
      </c>
      <c r="AW121">
        <v>2.67</v>
      </c>
      <c r="AX121">
        <v>67</v>
      </c>
      <c r="AY121">
        <v>84</v>
      </c>
      <c r="AZ121">
        <v>67</v>
      </c>
      <c r="BA121">
        <v>25</v>
      </c>
      <c r="BB121">
        <v>0</v>
      </c>
      <c r="BC121">
        <v>50</v>
      </c>
      <c r="BD121">
        <v>83</v>
      </c>
      <c r="BE121">
        <v>33</v>
      </c>
      <c r="BF121">
        <v>67</v>
      </c>
      <c r="BG121">
        <v>9.5</v>
      </c>
      <c r="BH121">
        <v>5.5</v>
      </c>
      <c r="BI121">
        <v>1.8</v>
      </c>
      <c r="BJ121">
        <v>3.9</v>
      </c>
      <c r="BK121">
        <v>3.9</v>
      </c>
      <c r="BL121">
        <f>(1/Table1[[#This Row],[odds_ft_home_team_win]]+1/Table1[[#This Row],[odds_ft_draw]]+1/Table1[[#This Row],[odds_ft_away_team_win]]-1)/3</f>
        <v>2.2792022792022786E-2</v>
      </c>
      <c r="BM121">
        <v>1.29</v>
      </c>
      <c r="BN121">
        <v>2</v>
      </c>
      <c r="BO121">
        <v>3.4</v>
      </c>
      <c r="BP121">
        <v>6.4</v>
      </c>
      <c r="BQ121">
        <v>1.88</v>
      </c>
      <c r="BR121">
        <v>1.82</v>
      </c>
      <c r="BS121" t="s">
        <v>140</v>
      </c>
      <c r="BT121">
        <f>VLOOKUP(Table1[[#This Row],[Reference]],metron,8,FALSE)</f>
        <v>1.915666026436746</v>
      </c>
      <c r="BU121">
        <f>VLOOKUP(Table1[[#This Row],[Reference]],metron,9,FALSE)</f>
        <v>0.82283834599204153</v>
      </c>
      <c r="BV121">
        <f>VLOOKUP(Table1[[#This Row],[Reference]],metron,10,FALSE)</f>
        <v>2.6359702267612941</v>
      </c>
      <c r="BW121">
        <f>VLOOKUP(Table1[[#This Row],[Reference]],metron,11,FALSE)</f>
        <v>1.684957590444867</v>
      </c>
      <c r="BX121">
        <f>VLOOKUP(Table1[[#This Row],[Reference]],metron,12,FALSE)</f>
        <v>0.95101263631642718</v>
      </c>
      <c r="BY121" s="6">
        <f>VLOOKUP(Table1[[#This Row],[Reference]],metron,13,FALSE)</f>
        <v>0.72650164445213783</v>
      </c>
      <c r="BZ121" s="6">
        <f>VLOOKUP(Table1[[#This Row],[Reference]],metron,14,FALSE)</f>
        <v>0.42097974727367138</v>
      </c>
      <c r="CA121" s="6">
        <f>VLOOKUP(Table1[[#This Row],[Reference]],metron,15,FALSE)</f>
        <v>13.338806970509379</v>
      </c>
      <c r="CB121" s="6">
        <f>VLOOKUP(Table1[[#This Row],[Reference]],metron,16,FALSE)</f>
        <v>9.2530160857908843</v>
      </c>
      <c r="CC121" s="6">
        <f>VLOOKUP(Table1[[#This Row],[Reference]],metron,17,FALSE)</f>
        <v>5.9915081521739131</v>
      </c>
      <c r="CD121" s="6">
        <f>VLOOKUP(Table1[[#This Row],[Reference]],metron,18,FALSE)</f>
        <v>3.9772418478260869</v>
      </c>
      <c r="CE121" s="6">
        <f>VLOOKUP(Table1[[#This Row],[Reference]],metron,19,FALSE)</f>
        <v>7.3472988183354664</v>
      </c>
      <c r="CF121" s="6">
        <f>VLOOKUP(Table1[[#This Row],[Reference]],metron,20,FALSE)</f>
        <v>5.2757742379647974</v>
      </c>
      <c r="CG121" s="6">
        <f>VLOOKUP(Table1[[#This Row],[Reference]],metron,21,FALSE)</f>
        <v>12.59428182437032</v>
      </c>
      <c r="CH121" s="6">
        <f>VLOOKUP(Table1[[#This Row],[Reference]],metron,22,FALSE)</f>
        <v>13.577944179714089</v>
      </c>
      <c r="CI121" s="6">
        <f>VLOOKUP(Table1[[#This Row],[Reference]],metron,23,FALSE)</f>
        <v>1.4276913099870301</v>
      </c>
      <c r="CJ121" s="6">
        <f>VLOOKUP(Table1[[#This Row],[Reference]],metron,24,FALSE)</f>
        <v>1.940985732814527</v>
      </c>
      <c r="CK121" s="6">
        <f>VLOOKUP(Table1[[#This Row],[Reference]],metron,25,FALSE)</f>
        <v>8.0739299610894946E-2</v>
      </c>
      <c r="CL121" s="6">
        <f>VLOOKUP(Table1[[#This Row],[Reference]],metron,26,FALSE)</f>
        <v>0.12743190661478601</v>
      </c>
    </row>
    <row r="122" spans="1:90" hidden="1" x14ac:dyDescent="0.45">
      <c r="A122" t="s">
        <v>696</v>
      </c>
      <c r="B122">
        <v>1634774400</v>
      </c>
      <c r="C122" s="23" t="s">
        <v>317</v>
      </c>
      <c r="D122" t="s">
        <v>65</v>
      </c>
      <c r="E122" t="s">
        <v>66</v>
      </c>
      <c r="F122" t="s">
        <v>85</v>
      </c>
      <c r="G122" t="s">
        <v>96</v>
      </c>
      <c r="H122" t="s">
        <v>215</v>
      </c>
      <c r="I122">
        <f>MROUND(Table1[[#This Row],[ProbH]]*100,2)/100</f>
        <v>0.62</v>
      </c>
      <c r="J122">
        <f>1/Table1[[#This Row],[odds_ft_home_team_win]]-Table1[[#This Row],[Margin]]</f>
        <v>0.61827593262155556</v>
      </c>
      <c r="K122">
        <f>1/Table1[[#This Row],[odds_ft_draw]]-Table1[[#This Row],[Margin]]</f>
        <v>0.23498225035880119</v>
      </c>
      <c r="L122">
        <f>1/Table1[[#This Row],[odds_ft_away_team_win]]-Table1[[#This Row],[Margin]]</f>
        <v>0.14674181701964337</v>
      </c>
      <c r="M122">
        <v>14</v>
      </c>
      <c r="N122">
        <v>1.5</v>
      </c>
      <c r="O122">
        <v>0.33</v>
      </c>
      <c r="P122">
        <v>1.55</v>
      </c>
      <c r="Q122">
        <v>1.1000000000000001</v>
      </c>
      <c r="R122" t="str" cm="1">
        <f t="array" ref="R1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2">
        <v>1</v>
      </c>
      <c r="T122">
        <v>2</v>
      </c>
      <c r="U122">
        <v>3</v>
      </c>
      <c r="V122">
        <v>1</v>
      </c>
      <c r="W122">
        <v>0</v>
      </c>
      <c r="X122">
        <v>1</v>
      </c>
      <c r="Y122">
        <v>60</v>
      </c>
      <c r="Z122" t="s">
        <v>318</v>
      </c>
      <c r="AA122">
        <v>6</v>
      </c>
      <c r="AB122">
        <v>0</v>
      </c>
      <c r="AC122">
        <v>2</v>
      </c>
      <c r="AD122">
        <v>0</v>
      </c>
      <c r="AE122">
        <v>6</v>
      </c>
      <c r="AF122">
        <v>0</v>
      </c>
      <c r="AG122">
        <v>1</v>
      </c>
      <c r="AH122">
        <v>1</v>
      </c>
      <c r="AI122">
        <v>1</v>
      </c>
      <c r="AJ122">
        <v>5</v>
      </c>
      <c r="AK122">
        <v>17</v>
      </c>
      <c r="AL122">
        <v>8</v>
      </c>
      <c r="AM122">
        <v>7</v>
      </c>
      <c r="AN122">
        <v>4</v>
      </c>
      <c r="AO122">
        <v>10</v>
      </c>
      <c r="AP122">
        <v>4</v>
      </c>
      <c r="AQ122">
        <v>4</v>
      </c>
      <c r="AR122">
        <v>11</v>
      </c>
      <c r="AS122">
        <v>69</v>
      </c>
      <c r="AT122">
        <v>31</v>
      </c>
      <c r="AU122">
        <v>2.0699999999999998</v>
      </c>
      <c r="AV122">
        <v>0.99</v>
      </c>
      <c r="AW122">
        <v>2.08</v>
      </c>
      <c r="AX122">
        <v>42</v>
      </c>
      <c r="AY122">
        <v>75</v>
      </c>
      <c r="AZ122">
        <v>42</v>
      </c>
      <c r="BA122">
        <v>9</v>
      </c>
      <c r="BB122">
        <v>0</v>
      </c>
      <c r="BC122">
        <v>17</v>
      </c>
      <c r="BD122">
        <v>75</v>
      </c>
      <c r="BE122">
        <v>33</v>
      </c>
      <c r="BF122">
        <v>75</v>
      </c>
      <c r="BG122">
        <v>10.17</v>
      </c>
      <c r="BH122">
        <v>5.33</v>
      </c>
      <c r="BI122">
        <v>1.56</v>
      </c>
      <c r="BJ122">
        <v>3.88</v>
      </c>
      <c r="BK122">
        <v>5.9</v>
      </c>
      <c r="BL122">
        <f>(1/Table1[[#This Row],[odds_ft_home_team_win]]+1/Table1[[#This Row],[odds_ft_draw]]+1/Table1[[#This Row],[odds_ft_away_team_win]]-1)/3</f>
        <v>2.274970840408545E-2</v>
      </c>
      <c r="BM122">
        <v>1.32</v>
      </c>
      <c r="BN122">
        <v>2.08</v>
      </c>
      <c r="BO122">
        <v>3.5</v>
      </c>
      <c r="BP122">
        <v>7.15</v>
      </c>
      <c r="BQ122">
        <v>2.12</v>
      </c>
      <c r="BR122">
        <v>1.64</v>
      </c>
      <c r="BS122" t="s">
        <v>128</v>
      </c>
      <c r="BT122">
        <f>VLOOKUP(Table1[[#This Row],[Reference]],metron,8,FALSE)</f>
        <v>2.1234388909289978</v>
      </c>
      <c r="BU122">
        <f>VLOOKUP(Table1[[#This Row],[Reference]],metron,9,FALSE)</f>
        <v>0.63925141338926716</v>
      </c>
      <c r="BV122">
        <f>VLOOKUP(Table1[[#This Row],[Reference]],metron,10,FALSE)</f>
        <v>2.7366666666666664</v>
      </c>
      <c r="BW122">
        <f>VLOOKUP(Table1[[#This Row],[Reference]],metron,11,FALSE)</f>
        <v>1.8681481481481479</v>
      </c>
      <c r="BX122">
        <f>VLOOKUP(Table1[[#This Row],[Reference]],metron,12,FALSE)</f>
        <v>0.86851851851851847</v>
      </c>
      <c r="BY122" s="6">
        <f>VLOOKUP(Table1[[#This Row],[Reference]],metron,13,FALSE)</f>
        <v>0.81333333333333335</v>
      </c>
      <c r="BZ122" s="6">
        <f>VLOOKUP(Table1[[#This Row],[Reference]],metron,14,FALSE)</f>
        <v>0.38925925925925919</v>
      </c>
      <c r="CA122" s="6">
        <f>VLOOKUP(Table1[[#This Row],[Reference]],metron,15,FALSE)</f>
        <v>14.53422724064926</v>
      </c>
      <c r="CB122" s="6">
        <f>VLOOKUP(Table1[[#This Row],[Reference]],metron,16,FALSE)</f>
        <v>8.7882851093860275</v>
      </c>
      <c r="CC122" s="6">
        <f>VLOOKUP(Table1[[#This Row],[Reference]],metron,17,FALSE)</f>
        <v>6.3007953723788868</v>
      </c>
      <c r="CD122" s="6">
        <f>VLOOKUP(Table1[[#This Row],[Reference]],metron,18,FALSE)</f>
        <v>3.681851048445409</v>
      </c>
      <c r="CE122" s="6">
        <f>VLOOKUP(Table1[[#This Row],[Reference]],metron,19,FALSE)</f>
        <v>8.2334318682703724</v>
      </c>
      <c r="CF122" s="6">
        <f>VLOOKUP(Table1[[#This Row],[Reference]],metron,20,FALSE)</f>
        <v>5.106434060940618</v>
      </c>
      <c r="CG122" s="6">
        <f>VLOOKUP(Table1[[#This Row],[Reference]],metron,21,FALSE)</f>
        <v>12.32150615496017</v>
      </c>
      <c r="CH122" s="6">
        <f>VLOOKUP(Table1[[#This Row],[Reference]],metron,22,FALSE)</f>
        <v>13.337436640115859</v>
      </c>
      <c r="CI122" s="6">
        <f>VLOOKUP(Table1[[#This Row],[Reference]],metron,23,FALSE)</f>
        <v>1.346101231190151</v>
      </c>
      <c r="CJ122" s="6">
        <f>VLOOKUP(Table1[[#This Row],[Reference]],metron,24,FALSE)</f>
        <v>1.995212038303694</v>
      </c>
      <c r="CK122" s="6">
        <f>VLOOKUP(Table1[[#This Row],[Reference]],metron,25,FALSE)</f>
        <v>6.1559507523939808E-2</v>
      </c>
      <c r="CL122" s="6">
        <f>VLOOKUP(Table1[[#This Row],[Reference]],metron,26,FALSE)</f>
        <v>0.13201094391244869</v>
      </c>
    </row>
    <row r="123" spans="1:90" hidden="1" x14ac:dyDescent="0.45">
      <c r="A123" t="s">
        <v>696</v>
      </c>
      <c r="B123">
        <v>1634781600</v>
      </c>
      <c r="C123" s="23" t="s">
        <v>319</v>
      </c>
      <c r="D123" t="s">
        <v>65</v>
      </c>
      <c r="E123" t="s">
        <v>66</v>
      </c>
      <c r="F123" t="s">
        <v>107</v>
      </c>
      <c r="G123" t="s">
        <v>84</v>
      </c>
      <c r="H123" t="s">
        <v>98</v>
      </c>
      <c r="I123">
        <f>MROUND(Table1[[#This Row],[ProbH]]*100,2)/100</f>
        <v>0.48</v>
      </c>
      <c r="J123">
        <f>1/Table1[[#This Row],[odds_ft_home_team_win]]-Table1[[#This Row],[Margin]]</f>
        <v>0.47619047619047622</v>
      </c>
      <c r="K123">
        <f>1/Table1[[#This Row],[odds_ft_draw]]-Table1[[#This Row],[Margin]]</f>
        <v>0.26190476190476192</v>
      </c>
      <c r="L123">
        <f>1/Table1[[#This Row],[odds_ft_away_team_win]]-Table1[[#This Row],[Margin]]</f>
        <v>0.26190476190476192</v>
      </c>
      <c r="M123">
        <v>14</v>
      </c>
      <c r="N123">
        <v>1.33</v>
      </c>
      <c r="O123">
        <v>1.17</v>
      </c>
      <c r="P123">
        <v>2</v>
      </c>
      <c r="Q123">
        <v>1.42</v>
      </c>
      <c r="R123" t="str" cm="1">
        <f t="array" ref="R1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23">
        <v>3</v>
      </c>
      <c r="T123">
        <v>0</v>
      </c>
      <c r="U123">
        <v>3</v>
      </c>
      <c r="V123">
        <v>2</v>
      </c>
      <c r="W123">
        <v>2</v>
      </c>
      <c r="X123">
        <v>0</v>
      </c>
      <c r="Y123" t="s">
        <v>320</v>
      </c>
      <c r="AA123">
        <v>3</v>
      </c>
      <c r="AB123">
        <v>6</v>
      </c>
      <c r="AC123">
        <v>2</v>
      </c>
      <c r="AD123">
        <v>0</v>
      </c>
      <c r="AE123">
        <v>2</v>
      </c>
      <c r="AF123">
        <v>0</v>
      </c>
      <c r="AG123">
        <v>1</v>
      </c>
      <c r="AH123">
        <v>1</v>
      </c>
      <c r="AI123">
        <v>0</v>
      </c>
      <c r="AJ123">
        <v>2</v>
      </c>
      <c r="AK123">
        <v>12</v>
      </c>
      <c r="AL123">
        <v>17</v>
      </c>
      <c r="AM123">
        <v>6</v>
      </c>
      <c r="AN123">
        <v>7</v>
      </c>
      <c r="AO123">
        <v>6</v>
      </c>
      <c r="AP123">
        <v>10</v>
      </c>
      <c r="AQ123">
        <v>10</v>
      </c>
      <c r="AR123">
        <v>8</v>
      </c>
      <c r="AS123">
        <v>48</v>
      </c>
      <c r="AT123">
        <v>52</v>
      </c>
      <c r="AU123">
        <v>1.41</v>
      </c>
      <c r="AV123">
        <v>1.96</v>
      </c>
      <c r="AW123">
        <v>2.17</v>
      </c>
      <c r="AX123">
        <v>59</v>
      </c>
      <c r="AY123">
        <v>75</v>
      </c>
      <c r="AZ123">
        <v>42</v>
      </c>
      <c r="BA123">
        <v>17</v>
      </c>
      <c r="BB123">
        <v>0</v>
      </c>
      <c r="BC123">
        <v>25</v>
      </c>
      <c r="BD123">
        <v>75</v>
      </c>
      <c r="BE123">
        <v>17</v>
      </c>
      <c r="BF123">
        <v>84</v>
      </c>
      <c r="BG123">
        <v>9.84</v>
      </c>
      <c r="BH123">
        <v>5</v>
      </c>
      <c r="BI123">
        <v>2</v>
      </c>
      <c r="BJ123">
        <v>3.5</v>
      </c>
      <c r="BK123">
        <v>3.5</v>
      </c>
      <c r="BL123">
        <f>(1/Table1[[#This Row],[odds_ft_home_team_win]]+1/Table1[[#This Row],[odds_ft_draw]]+1/Table1[[#This Row],[odds_ft_away_team_win]]-1)/3</f>
        <v>2.3809523809523798E-2</v>
      </c>
      <c r="BM123">
        <v>1.33</v>
      </c>
      <c r="BN123">
        <v>2.11</v>
      </c>
      <c r="BO123">
        <v>3.6</v>
      </c>
      <c r="BP123">
        <v>7.55</v>
      </c>
      <c r="BQ123">
        <v>1.92</v>
      </c>
      <c r="BR123">
        <v>1.79</v>
      </c>
      <c r="BS123" t="s">
        <v>161</v>
      </c>
      <c r="BT123">
        <f>VLOOKUP(Table1[[#This Row],[Reference]],metron,8,FALSE)</f>
        <v>1.743992017160418</v>
      </c>
      <c r="BU123">
        <f>VLOOKUP(Table1[[#This Row],[Reference]],metron,9,FALSE)</f>
        <v>0.97803937284245479</v>
      </c>
      <c r="BV123">
        <f>VLOOKUP(Table1[[#This Row],[Reference]],metron,10,FALSE)</f>
        <v>2.5271929824561399</v>
      </c>
      <c r="BW123">
        <f>VLOOKUP(Table1[[#This Row],[Reference]],metron,11,FALSE)</f>
        <v>1.510877192982456</v>
      </c>
      <c r="BX123">
        <f>VLOOKUP(Table1[[#This Row],[Reference]],metron,12,FALSE)</f>
        <v>1.0163157894736841</v>
      </c>
      <c r="BY123" s="6">
        <f>VLOOKUP(Table1[[#This Row],[Reference]],metron,13,FALSE)</f>
        <v>0.67350877192982461</v>
      </c>
      <c r="BZ123" s="6">
        <f>VLOOKUP(Table1[[#This Row],[Reference]],metron,14,FALSE)</f>
        <v>0.4442105263157895</v>
      </c>
      <c r="CA123" s="6">
        <f>VLOOKUP(Table1[[#This Row],[Reference]],metron,15,FALSE)</f>
        <v>12.80980392156863</v>
      </c>
      <c r="CB123" s="6">
        <f>VLOOKUP(Table1[[#This Row],[Reference]],metron,16,FALSE)</f>
        <v>9.6872549019607845</v>
      </c>
      <c r="CC123" s="6">
        <f>VLOOKUP(Table1[[#This Row],[Reference]],metron,17,FALSE)</f>
        <v>5.6491169610129957</v>
      </c>
      <c r="CD123" s="6">
        <f>VLOOKUP(Table1[[#This Row],[Reference]],metron,18,FALSE)</f>
        <v>4.1379540153282237</v>
      </c>
      <c r="CE123" s="6">
        <f>VLOOKUP(Table1[[#This Row],[Reference]],metron,19,FALSE)</f>
        <v>7.1606869605556343</v>
      </c>
      <c r="CF123" s="6">
        <f>VLOOKUP(Table1[[#This Row],[Reference]],metron,20,FALSE)</f>
        <v>5.5493008866325608</v>
      </c>
      <c r="CG123" s="6">
        <f>VLOOKUP(Table1[[#This Row],[Reference]],metron,21,FALSE)</f>
        <v>12.9029029029029</v>
      </c>
      <c r="CH123" s="6">
        <f>VLOOKUP(Table1[[#This Row],[Reference]],metron,22,FALSE)</f>
        <v>13.75508842175509</v>
      </c>
      <c r="CI123" s="6">
        <f>VLOOKUP(Table1[[#This Row],[Reference]],metron,23,FALSE)</f>
        <v>1.5287356321839081</v>
      </c>
      <c r="CJ123" s="6">
        <f>VLOOKUP(Table1[[#This Row],[Reference]],metron,24,FALSE)</f>
        <v>1.9664750957854411</v>
      </c>
      <c r="CK123" s="6">
        <f>VLOOKUP(Table1[[#This Row],[Reference]],metron,25,FALSE)</f>
        <v>8.8441890166028103E-2</v>
      </c>
      <c r="CL123" s="6">
        <f>VLOOKUP(Table1[[#This Row],[Reference]],metron,26,FALSE)</f>
        <v>0.13409961685823751</v>
      </c>
    </row>
    <row r="124" spans="1:90" hidden="1" x14ac:dyDescent="0.45">
      <c r="A124" t="s">
        <v>696</v>
      </c>
      <c r="B124">
        <v>1634781960</v>
      </c>
      <c r="C124" s="23" t="s">
        <v>321</v>
      </c>
      <c r="D124" t="s">
        <v>65</v>
      </c>
      <c r="E124" t="s">
        <v>66</v>
      </c>
      <c r="F124" t="s">
        <v>106</v>
      </c>
      <c r="G124" t="s">
        <v>90</v>
      </c>
      <c r="H124" t="s">
        <v>229</v>
      </c>
      <c r="I124">
        <f>MROUND(Table1[[#This Row],[ProbH]]*100,2)/100</f>
        <v>0.36</v>
      </c>
      <c r="J124">
        <f>1/Table1[[#This Row],[odds_ft_home_team_win]]-Table1[[#This Row],[Margin]]</f>
        <v>0.36117216117216117</v>
      </c>
      <c r="K124">
        <f>1/Table1[[#This Row],[odds_ft_draw]]-Table1[[#This Row],[Margin]]</f>
        <v>0.26227106227106228</v>
      </c>
      <c r="L124">
        <f>1/Table1[[#This Row],[odds_ft_away_team_win]]-Table1[[#This Row],[Margin]]</f>
        <v>0.37655677655677661</v>
      </c>
      <c r="M124">
        <v>14</v>
      </c>
      <c r="N124">
        <v>0.86</v>
      </c>
      <c r="O124">
        <v>1.17</v>
      </c>
      <c r="P124">
        <v>1.35</v>
      </c>
      <c r="Q124">
        <v>1.32</v>
      </c>
      <c r="R124" t="str" cm="1">
        <f t="array" ref="R1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AA124">
        <v>5</v>
      </c>
      <c r="AB124">
        <v>6</v>
      </c>
      <c r="AC124">
        <v>1</v>
      </c>
      <c r="AD124">
        <v>0</v>
      </c>
      <c r="AE124">
        <v>3</v>
      </c>
      <c r="AF124">
        <v>0</v>
      </c>
      <c r="AG124">
        <v>1</v>
      </c>
      <c r="AH124">
        <v>0</v>
      </c>
      <c r="AI124">
        <v>0</v>
      </c>
      <c r="AJ124">
        <v>3</v>
      </c>
      <c r="AK124">
        <v>10</v>
      </c>
      <c r="AL124">
        <v>11</v>
      </c>
      <c r="AM124">
        <v>4</v>
      </c>
      <c r="AN124">
        <v>5</v>
      </c>
      <c r="AO124">
        <v>6</v>
      </c>
      <c r="AP124">
        <v>6</v>
      </c>
      <c r="AQ124">
        <v>13</v>
      </c>
      <c r="AR124">
        <v>12</v>
      </c>
      <c r="AS124">
        <v>33</v>
      </c>
      <c r="AT124">
        <v>67</v>
      </c>
      <c r="AU124">
        <v>1.22</v>
      </c>
      <c r="AV124">
        <v>1.29</v>
      </c>
      <c r="AW124">
        <v>1.32</v>
      </c>
      <c r="AX124">
        <v>29</v>
      </c>
      <c r="AY124">
        <v>44</v>
      </c>
      <c r="AZ124">
        <v>22</v>
      </c>
      <c r="BA124">
        <v>7</v>
      </c>
      <c r="BB124">
        <v>0</v>
      </c>
      <c r="BC124">
        <v>7</v>
      </c>
      <c r="BD124">
        <v>43</v>
      </c>
      <c r="BE124">
        <v>23</v>
      </c>
      <c r="BF124">
        <v>52</v>
      </c>
      <c r="BG124">
        <v>10.47</v>
      </c>
      <c r="BH124">
        <v>4.96</v>
      </c>
      <c r="BI124">
        <v>2.6</v>
      </c>
      <c r="BJ124">
        <v>3.5</v>
      </c>
      <c r="BK124">
        <v>2.5</v>
      </c>
      <c r="BL124">
        <f>(1/Table1[[#This Row],[odds_ft_home_team_win]]+1/Table1[[#This Row],[odds_ft_draw]]+1/Table1[[#This Row],[odds_ft_away_team_win]]-1)/3</f>
        <v>2.3443223443223433E-2</v>
      </c>
      <c r="BM124">
        <v>1.38</v>
      </c>
      <c r="BN124">
        <v>2.1800000000000002</v>
      </c>
      <c r="BO124">
        <v>3.9</v>
      </c>
      <c r="BP124">
        <v>8.0500000000000007</v>
      </c>
      <c r="BQ124">
        <v>1.93</v>
      </c>
      <c r="BR124">
        <v>1.78</v>
      </c>
      <c r="BS124" t="s">
        <v>110</v>
      </c>
      <c r="BT124">
        <f>VLOOKUP(Table1[[#This Row],[Reference]],metron,8,FALSE)</f>
        <v>1.4023864615972674</v>
      </c>
      <c r="BU124">
        <f>VLOOKUP(Table1[[#This Row],[Reference]],metron,9,FALSE)</f>
        <v>1.3093265904245279</v>
      </c>
      <c r="BV124">
        <f>VLOOKUP(Table1[[#This Row],[Reference]],metron,10,FALSE)</f>
        <v>2.5110350525197691</v>
      </c>
      <c r="BW124">
        <f>VLOOKUP(Table1[[#This Row],[Reference]],metron,11,FALSE)</f>
        <v>1.269326094653606</v>
      </c>
      <c r="BX124">
        <f>VLOOKUP(Table1[[#This Row],[Reference]],metron,12,FALSE)</f>
        <v>1.2417089578661631</v>
      </c>
      <c r="BY124" s="6">
        <f>VLOOKUP(Table1[[#This Row],[Reference]],metron,13,FALSE)</f>
        <v>0.56586402266288949</v>
      </c>
      <c r="BZ124" s="6">
        <f>VLOOKUP(Table1[[#This Row],[Reference]],metron,14,FALSE)</f>
        <v>0.55158168083097259</v>
      </c>
      <c r="CA124" s="6">
        <f>VLOOKUP(Table1[[#This Row],[Reference]],metron,15,FALSE)</f>
        <v>11.49400826446281</v>
      </c>
      <c r="CB124" s="6">
        <f>VLOOKUP(Table1[[#This Row],[Reference]],metron,16,FALSE)</f>
        <v>10.507231404958681</v>
      </c>
      <c r="CC124" s="6">
        <f>VLOOKUP(Table1[[#This Row],[Reference]],metron,17,FALSE)</f>
        <v>4.9238790406673623</v>
      </c>
      <c r="CD124" s="6">
        <f>VLOOKUP(Table1[[#This Row],[Reference]],metron,18,FALSE)</f>
        <v>4.6296141814389991</v>
      </c>
      <c r="CE124" s="6">
        <f>VLOOKUP(Table1[[#This Row],[Reference]],metron,19,FALSE)</f>
        <v>6.5701292237954476</v>
      </c>
      <c r="CF124" s="6">
        <f>VLOOKUP(Table1[[#This Row],[Reference]],metron,20,FALSE)</f>
        <v>5.8776172235196817</v>
      </c>
      <c r="CG124" s="6">
        <f>VLOOKUP(Table1[[#This Row],[Reference]],metron,21,FALSE)</f>
        <v>12.798739495798319</v>
      </c>
      <c r="CH124" s="6">
        <f>VLOOKUP(Table1[[#This Row],[Reference]],metron,22,FALSE)</f>
        <v>12.98844537815126</v>
      </c>
      <c r="CI124" s="6">
        <f>VLOOKUP(Table1[[#This Row],[Reference]],metron,23,FALSE)</f>
        <v>1.604928297313674</v>
      </c>
      <c r="CJ124" s="6">
        <f>VLOOKUP(Table1[[#This Row],[Reference]],metron,24,FALSE)</f>
        <v>1.791961219955565</v>
      </c>
      <c r="CK124" s="6">
        <f>VLOOKUP(Table1[[#This Row],[Reference]],metron,25,FALSE)</f>
        <v>8.887093516461321E-2</v>
      </c>
      <c r="CL124" s="6">
        <f>VLOOKUP(Table1[[#This Row],[Reference]],metron,26,FALSE)</f>
        <v>0.11694607150070691</v>
      </c>
    </row>
    <row r="125" spans="1:90" hidden="1" x14ac:dyDescent="0.45">
      <c r="A125" t="s">
        <v>696</v>
      </c>
      <c r="B125">
        <v>1634954400</v>
      </c>
      <c r="C125" s="23" t="s">
        <v>322</v>
      </c>
      <c r="D125" t="s">
        <v>65</v>
      </c>
      <c r="E125" t="s">
        <v>66</v>
      </c>
      <c r="F125" t="s">
        <v>113</v>
      </c>
      <c r="G125" t="s">
        <v>67</v>
      </c>
      <c r="H125" t="s">
        <v>108</v>
      </c>
      <c r="I125">
        <f>MROUND(Table1[[#This Row],[ProbH]]*100,2)/100</f>
        <v>0.36</v>
      </c>
      <c r="J125">
        <f>1/Table1[[#This Row],[odds_ft_home_team_win]]-Table1[[#This Row],[Margin]]</f>
        <v>0.35008818342151676</v>
      </c>
      <c r="K125">
        <f>1/Table1[[#This Row],[odds_ft_draw]]-Table1[[#This Row],[Margin]]</f>
        <v>0.33686067019400356</v>
      </c>
      <c r="L125">
        <f>1/Table1[[#This Row],[odds_ft_away_team_win]]-Table1[[#This Row],[Margin]]</f>
        <v>0.31305114638447973</v>
      </c>
      <c r="M125">
        <v>15</v>
      </c>
      <c r="N125">
        <v>1.71</v>
      </c>
      <c r="O125">
        <v>0.56999999999999995</v>
      </c>
      <c r="P125">
        <v>1.71</v>
      </c>
      <c r="Q125">
        <v>0.65</v>
      </c>
      <c r="R125" t="str" cm="1">
        <f t="array" ref="R1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25">
        <v>2</v>
      </c>
      <c r="T125">
        <v>1</v>
      </c>
      <c r="U125">
        <v>3</v>
      </c>
      <c r="V125">
        <v>1</v>
      </c>
      <c r="W125">
        <v>0</v>
      </c>
      <c r="X125">
        <v>1</v>
      </c>
      <c r="Y125" t="s">
        <v>323</v>
      </c>
      <c r="Z125">
        <v>32</v>
      </c>
      <c r="AA125">
        <v>4</v>
      </c>
      <c r="AB125">
        <v>6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6</v>
      </c>
      <c r="AL125">
        <v>10</v>
      </c>
      <c r="AM125">
        <v>3</v>
      </c>
      <c r="AN125">
        <v>2</v>
      </c>
      <c r="AO125">
        <v>3</v>
      </c>
      <c r="AP125">
        <v>8</v>
      </c>
      <c r="AQ125">
        <v>15</v>
      </c>
      <c r="AR125">
        <v>15</v>
      </c>
      <c r="AS125">
        <v>46</v>
      </c>
      <c r="AT125">
        <v>54</v>
      </c>
      <c r="AU125">
        <v>0.79</v>
      </c>
      <c r="AV125">
        <v>1.07</v>
      </c>
      <c r="AW125">
        <v>2.2200000000000002</v>
      </c>
      <c r="AX125">
        <v>50</v>
      </c>
      <c r="AY125">
        <v>72</v>
      </c>
      <c r="AZ125">
        <v>43</v>
      </c>
      <c r="BA125">
        <v>22</v>
      </c>
      <c r="BB125">
        <v>0</v>
      </c>
      <c r="BC125">
        <v>29</v>
      </c>
      <c r="BD125">
        <v>65</v>
      </c>
      <c r="BE125">
        <v>43</v>
      </c>
      <c r="BF125">
        <v>71</v>
      </c>
      <c r="BG125">
        <v>6.86</v>
      </c>
      <c r="BH125">
        <v>6.14</v>
      </c>
      <c r="BI125">
        <v>2.7</v>
      </c>
      <c r="BJ125">
        <v>2.8</v>
      </c>
      <c r="BK125">
        <v>3</v>
      </c>
      <c r="BL125">
        <f>(1/Table1[[#This Row],[odds_ft_home_team_win]]+1/Table1[[#This Row],[odds_ft_draw]]+1/Table1[[#This Row],[odds_ft_away_team_win]]-1)/3</f>
        <v>2.0282186948853569E-2</v>
      </c>
      <c r="BM125">
        <v>1.53</v>
      </c>
      <c r="BN125">
        <v>2.2000000000000002</v>
      </c>
      <c r="BO125">
        <v>0</v>
      </c>
      <c r="BP125">
        <v>0</v>
      </c>
      <c r="BQ125">
        <v>0</v>
      </c>
      <c r="BR125">
        <v>0</v>
      </c>
      <c r="BS125" t="s">
        <v>120</v>
      </c>
      <c r="BT125">
        <f>VLOOKUP(Table1[[#This Row],[Reference]],metron,8,FALSE)</f>
        <v>1.4023864615972674</v>
      </c>
      <c r="BU125">
        <f>VLOOKUP(Table1[[#This Row],[Reference]],metron,9,FALSE)</f>
        <v>1.3093265904245279</v>
      </c>
      <c r="BV125">
        <f>VLOOKUP(Table1[[#This Row],[Reference]],metron,10,FALSE)</f>
        <v>2.5110350525197691</v>
      </c>
      <c r="BW125">
        <f>VLOOKUP(Table1[[#This Row],[Reference]],metron,11,FALSE)</f>
        <v>1.269326094653606</v>
      </c>
      <c r="BX125">
        <f>VLOOKUP(Table1[[#This Row],[Reference]],metron,12,FALSE)</f>
        <v>1.2417089578661631</v>
      </c>
      <c r="BY125" s="6">
        <f>VLOOKUP(Table1[[#This Row],[Reference]],metron,13,FALSE)</f>
        <v>0.56586402266288949</v>
      </c>
      <c r="BZ125" s="6">
        <f>VLOOKUP(Table1[[#This Row],[Reference]],metron,14,FALSE)</f>
        <v>0.55158168083097259</v>
      </c>
      <c r="CA125" s="6">
        <f>VLOOKUP(Table1[[#This Row],[Reference]],metron,15,FALSE)</f>
        <v>11.49400826446281</v>
      </c>
      <c r="CB125" s="6">
        <f>VLOOKUP(Table1[[#This Row],[Reference]],metron,16,FALSE)</f>
        <v>10.507231404958681</v>
      </c>
      <c r="CC125" s="6">
        <f>VLOOKUP(Table1[[#This Row],[Reference]],metron,17,FALSE)</f>
        <v>4.9238790406673623</v>
      </c>
      <c r="CD125" s="6">
        <f>VLOOKUP(Table1[[#This Row],[Reference]],metron,18,FALSE)</f>
        <v>4.6296141814389991</v>
      </c>
      <c r="CE125" s="6">
        <f>VLOOKUP(Table1[[#This Row],[Reference]],metron,19,FALSE)</f>
        <v>6.5701292237954476</v>
      </c>
      <c r="CF125" s="6">
        <f>VLOOKUP(Table1[[#This Row],[Reference]],metron,20,FALSE)</f>
        <v>5.8776172235196817</v>
      </c>
      <c r="CG125" s="6">
        <f>VLOOKUP(Table1[[#This Row],[Reference]],metron,21,FALSE)</f>
        <v>12.798739495798319</v>
      </c>
      <c r="CH125" s="6">
        <f>VLOOKUP(Table1[[#This Row],[Reference]],metron,22,FALSE)</f>
        <v>12.98844537815126</v>
      </c>
      <c r="CI125" s="6">
        <f>VLOOKUP(Table1[[#This Row],[Reference]],metron,23,FALSE)</f>
        <v>1.604928297313674</v>
      </c>
      <c r="CJ125" s="6">
        <f>VLOOKUP(Table1[[#This Row],[Reference]],metron,24,FALSE)</f>
        <v>1.791961219955565</v>
      </c>
      <c r="CK125" s="6">
        <f>VLOOKUP(Table1[[#This Row],[Reference]],metron,25,FALSE)</f>
        <v>8.887093516461321E-2</v>
      </c>
      <c r="CL125" s="6">
        <f>VLOOKUP(Table1[[#This Row],[Reference]],metron,26,FALSE)</f>
        <v>0.11694607150070691</v>
      </c>
    </row>
    <row r="126" spans="1:90" hidden="1" x14ac:dyDescent="0.45">
      <c r="A126" t="s">
        <v>696</v>
      </c>
      <c r="B126">
        <v>1635026400</v>
      </c>
      <c r="C126" s="23" t="s">
        <v>324</v>
      </c>
      <c r="D126" t="s">
        <v>65</v>
      </c>
      <c r="E126" t="s">
        <v>66</v>
      </c>
      <c r="F126" t="s">
        <v>102</v>
      </c>
      <c r="G126" t="s">
        <v>85</v>
      </c>
      <c r="H126" t="s">
        <v>92</v>
      </c>
      <c r="I126">
        <f>MROUND(Table1[[#This Row],[ProbH]]*100,2)/100</f>
        <v>0.32</v>
      </c>
      <c r="J126">
        <f>1/Table1[[#This Row],[odds_ft_home_team_win]]-Table1[[#This Row],[Margin]]</f>
        <v>0.32779544368766939</v>
      </c>
      <c r="K126">
        <f>1/Table1[[#This Row],[odds_ft_draw]]-Table1[[#This Row],[Margin]]</f>
        <v>0.29279480731246255</v>
      </c>
      <c r="L126">
        <f>1/Table1[[#This Row],[odds_ft_away_team_win]]-Table1[[#This Row],[Margin]]</f>
        <v>0.37940974899986807</v>
      </c>
      <c r="M126">
        <v>15</v>
      </c>
      <c r="N126">
        <v>1.29</v>
      </c>
      <c r="O126">
        <v>1.67</v>
      </c>
      <c r="P126">
        <v>1.38</v>
      </c>
      <c r="Q126">
        <v>1.4</v>
      </c>
      <c r="R126" t="str" cm="1">
        <f t="array" ref="R1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Z126">
        <v>66</v>
      </c>
      <c r="AA126">
        <v>3</v>
      </c>
      <c r="AB126">
        <v>6</v>
      </c>
      <c r="AC126">
        <v>5</v>
      </c>
      <c r="AD126">
        <v>1</v>
      </c>
      <c r="AE126">
        <v>2</v>
      </c>
      <c r="AF126">
        <v>0</v>
      </c>
      <c r="AG126">
        <v>2</v>
      </c>
      <c r="AH126">
        <v>4</v>
      </c>
      <c r="AI126">
        <v>1</v>
      </c>
      <c r="AJ126">
        <v>1</v>
      </c>
      <c r="AK126">
        <v>13</v>
      </c>
      <c r="AL126">
        <v>11</v>
      </c>
      <c r="AM126">
        <v>7</v>
      </c>
      <c r="AN126">
        <v>5</v>
      </c>
      <c r="AO126">
        <v>6</v>
      </c>
      <c r="AP126">
        <v>6</v>
      </c>
      <c r="AQ126">
        <v>23</v>
      </c>
      <c r="AR126">
        <v>9</v>
      </c>
      <c r="AS126">
        <v>41</v>
      </c>
      <c r="AT126">
        <v>59</v>
      </c>
      <c r="AU126">
        <v>1.51</v>
      </c>
      <c r="AV126">
        <v>1.38</v>
      </c>
      <c r="AW126">
        <v>2.4</v>
      </c>
      <c r="AX126">
        <v>37</v>
      </c>
      <c r="AY126">
        <v>77</v>
      </c>
      <c r="AZ126">
        <v>40</v>
      </c>
      <c r="BA126">
        <v>24</v>
      </c>
      <c r="BB126">
        <v>0</v>
      </c>
      <c r="BC126">
        <v>23</v>
      </c>
      <c r="BD126">
        <v>70</v>
      </c>
      <c r="BE126">
        <v>38</v>
      </c>
      <c r="BF126">
        <v>77</v>
      </c>
      <c r="BG126">
        <v>9.57</v>
      </c>
      <c r="BH126">
        <v>4.0999999999999996</v>
      </c>
      <c r="BI126">
        <v>2.91</v>
      </c>
      <c r="BJ126">
        <v>3.24</v>
      </c>
      <c r="BK126">
        <v>2.5299999999999998</v>
      </c>
      <c r="BL126">
        <f>(1/Table1[[#This Row],[odds_ft_home_team_win]]+1/Table1[[#This Row],[odds_ft_draw]]+1/Table1[[#This Row],[odds_ft_away_team_win]]-1)/3</f>
        <v>1.5847167996179429E-2</v>
      </c>
      <c r="BM126">
        <v>1.4</v>
      </c>
      <c r="BN126">
        <v>2.1</v>
      </c>
      <c r="BO126">
        <v>4.13</v>
      </c>
      <c r="BP126">
        <v>8.1</v>
      </c>
      <c r="BQ126">
        <v>2</v>
      </c>
      <c r="BR126">
        <v>1.8</v>
      </c>
      <c r="BS126" t="s">
        <v>124</v>
      </c>
      <c r="BT126">
        <f>VLOOKUP(Table1[[#This Row],[Reference]],metron,8,FALSE)</f>
        <v>1.274681051426811</v>
      </c>
      <c r="BU126">
        <f>VLOOKUP(Table1[[#This Row],[Reference]],metron,9,FALSE)</f>
        <v>1.4392482240810365</v>
      </c>
      <c r="BV126">
        <f>VLOOKUP(Table1[[#This Row],[Reference]],metron,10,FALSE)</f>
        <v>2.5313454284174597</v>
      </c>
      <c r="BW126">
        <f>VLOOKUP(Table1[[#This Row],[Reference]],metron,11,FALSE)</f>
        <v>1.210167055864918</v>
      </c>
      <c r="BX126">
        <f>VLOOKUP(Table1[[#This Row],[Reference]],metron,12,FALSE)</f>
        <v>1.3211783725525419</v>
      </c>
      <c r="BY126" s="6">
        <f>VLOOKUP(Table1[[#This Row],[Reference]],metron,13,FALSE)</f>
        <v>0.53135669362084459</v>
      </c>
      <c r="BZ126" s="6">
        <f>VLOOKUP(Table1[[#This Row],[Reference]],metron,14,FALSE)</f>
        <v>0.55633423180592989</v>
      </c>
      <c r="CA126" s="6">
        <f>VLOOKUP(Table1[[#This Row],[Reference]],metron,15,FALSE)</f>
        <v>11.21109010712035</v>
      </c>
      <c r="CB126" s="6">
        <f>VLOOKUP(Table1[[#This Row],[Reference]],metron,16,FALSE)</f>
        <v>11.01700787401575</v>
      </c>
      <c r="CC126" s="6">
        <f>VLOOKUP(Table1[[#This Row],[Reference]],metron,17,FALSE)</f>
        <v>4.6792332268370611</v>
      </c>
      <c r="CD126" s="6">
        <f>VLOOKUP(Table1[[#This Row],[Reference]],metron,18,FALSE)</f>
        <v>4.7080804854679013</v>
      </c>
      <c r="CE126" s="6">
        <f>VLOOKUP(Table1[[#This Row],[Reference]],metron,19,FALSE)</f>
        <v>6.5318568802832893</v>
      </c>
      <c r="CF126" s="6">
        <f>VLOOKUP(Table1[[#This Row],[Reference]],metron,20,FALSE)</f>
        <v>6.3089273885478487</v>
      </c>
      <c r="CG126" s="6">
        <f>VLOOKUP(Table1[[#This Row],[Reference]],metron,21,FALSE)</f>
        <v>12.72547770700637</v>
      </c>
      <c r="CH126" s="6">
        <f>VLOOKUP(Table1[[#This Row],[Reference]],metron,22,FALSE)</f>
        <v>13.06847133757962</v>
      </c>
      <c r="CI126" s="6">
        <f>VLOOKUP(Table1[[#This Row],[Reference]],metron,23,FALSE)</f>
        <v>1.6902356902356901</v>
      </c>
      <c r="CJ126" s="6">
        <f>VLOOKUP(Table1[[#This Row],[Reference]],metron,24,FALSE)</f>
        <v>1.8050198959289869</v>
      </c>
      <c r="CK126" s="6">
        <f>VLOOKUP(Table1[[#This Row],[Reference]],metron,25,FALSE)</f>
        <v>0.105907560453015</v>
      </c>
      <c r="CL126" s="6">
        <f>VLOOKUP(Table1[[#This Row],[Reference]],metron,26,FALSE)</f>
        <v>0.1141720232629324</v>
      </c>
    </row>
    <row r="127" spans="1:90" hidden="1" x14ac:dyDescent="0.45">
      <c r="A127" t="s">
        <v>696</v>
      </c>
      <c r="B127">
        <v>1635026760</v>
      </c>
      <c r="C127" s="23" t="s">
        <v>325</v>
      </c>
      <c r="D127" t="s">
        <v>65</v>
      </c>
      <c r="E127" t="s">
        <v>66</v>
      </c>
      <c r="F127" t="s">
        <v>101</v>
      </c>
      <c r="G127" t="s">
        <v>72</v>
      </c>
      <c r="H127" t="s">
        <v>98</v>
      </c>
      <c r="I127">
        <f>MROUND(Table1[[#This Row],[ProbH]]*100,2)/100</f>
        <v>0.66</v>
      </c>
      <c r="J127">
        <f>1/Table1[[#This Row],[odds_ft_home_team_win]]-Table1[[#This Row],[Margin]]</f>
        <v>0.65584797790065619</v>
      </c>
      <c r="K127">
        <f>1/Table1[[#This Row],[odds_ft_draw]]-Table1[[#This Row],[Margin]]</f>
        <v>0.22055609490711428</v>
      </c>
      <c r="L127">
        <f>1/Table1[[#This Row],[odds_ft_away_team_win]]-Table1[[#This Row],[Margin]]</f>
        <v>0.12359592719222962</v>
      </c>
      <c r="M127">
        <v>15</v>
      </c>
      <c r="N127">
        <v>2</v>
      </c>
      <c r="O127">
        <v>0.71</v>
      </c>
      <c r="P127">
        <v>1.79</v>
      </c>
      <c r="Q127">
        <v>1.28</v>
      </c>
      <c r="R127" t="str" cm="1">
        <f t="array" ref="R1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Z127" t="s">
        <v>326</v>
      </c>
      <c r="AA127">
        <v>3</v>
      </c>
      <c r="AB127">
        <v>5</v>
      </c>
      <c r="AC127">
        <v>1</v>
      </c>
      <c r="AD127">
        <v>0</v>
      </c>
      <c r="AE127">
        <v>3</v>
      </c>
      <c r="AF127">
        <v>0</v>
      </c>
      <c r="AG127">
        <v>0</v>
      </c>
      <c r="AH127">
        <v>1</v>
      </c>
      <c r="AI127">
        <v>1</v>
      </c>
      <c r="AJ127">
        <v>2</v>
      </c>
      <c r="AK127">
        <v>13</v>
      </c>
      <c r="AL127">
        <v>17</v>
      </c>
      <c r="AM127">
        <v>2</v>
      </c>
      <c r="AN127">
        <v>5</v>
      </c>
      <c r="AO127">
        <v>11</v>
      </c>
      <c r="AP127">
        <v>12</v>
      </c>
      <c r="AQ127">
        <v>16</v>
      </c>
      <c r="AR127">
        <v>9</v>
      </c>
      <c r="AS127">
        <v>48</v>
      </c>
      <c r="AT127">
        <v>52</v>
      </c>
      <c r="AU127">
        <v>1.23</v>
      </c>
      <c r="AV127">
        <v>1.7</v>
      </c>
      <c r="AW127">
        <v>1.93</v>
      </c>
      <c r="AX127">
        <v>36</v>
      </c>
      <c r="AY127">
        <v>71</v>
      </c>
      <c r="AZ127">
        <v>29</v>
      </c>
      <c r="BA127">
        <v>7</v>
      </c>
      <c r="BB127">
        <v>0</v>
      </c>
      <c r="BC127">
        <v>7</v>
      </c>
      <c r="BD127">
        <v>71</v>
      </c>
      <c r="BE127">
        <v>36</v>
      </c>
      <c r="BF127">
        <v>71</v>
      </c>
      <c r="BG127">
        <v>8.14</v>
      </c>
      <c r="BH127">
        <v>4.8499999999999996</v>
      </c>
      <c r="BI127">
        <v>1.49</v>
      </c>
      <c r="BJ127">
        <v>4.24</v>
      </c>
      <c r="BK127">
        <v>7.2</v>
      </c>
      <c r="BL127">
        <f>(1/Table1[[#This Row],[odds_ft_home_team_win]]+1/Table1[[#This Row],[odds_ft_draw]]+1/Table1[[#This Row],[odds_ft_away_team_win]]-1)/3</f>
        <v>1.529296169665928E-2</v>
      </c>
      <c r="BM127">
        <v>1.33</v>
      </c>
      <c r="BN127">
        <v>2</v>
      </c>
      <c r="BO127">
        <v>3.63</v>
      </c>
      <c r="BP127">
        <v>7</v>
      </c>
      <c r="BQ127">
        <v>2.2000000000000002</v>
      </c>
      <c r="BR127">
        <v>1.62</v>
      </c>
      <c r="BS127" t="s">
        <v>104</v>
      </c>
      <c r="BT127">
        <f>VLOOKUP(Table1[[#This Row],[Reference]],metron,8,FALSE)</f>
        <v>2.2311424831798083</v>
      </c>
      <c r="BU127">
        <f>VLOOKUP(Table1[[#This Row],[Reference]],metron,9,FALSE)</f>
        <v>0.55281092137037047</v>
      </c>
      <c r="BV127">
        <f>VLOOKUP(Table1[[#This Row],[Reference]],metron,10,FALSE)</f>
        <v>2.9251336898395728</v>
      </c>
      <c r="BW127">
        <f>VLOOKUP(Table1[[#This Row],[Reference]],metron,11,FALSE)</f>
        <v>2.089675030851502</v>
      </c>
      <c r="BX127">
        <f>VLOOKUP(Table1[[#This Row],[Reference]],metron,12,FALSE)</f>
        <v>0.8354586589880707</v>
      </c>
      <c r="BY127" s="6">
        <f>VLOOKUP(Table1[[#This Row],[Reference]],metron,13,FALSE)</f>
        <v>0.92472233648704238</v>
      </c>
      <c r="BZ127" s="6">
        <f>VLOOKUP(Table1[[#This Row],[Reference]],metron,14,FALSE)</f>
        <v>0.35252982311805842</v>
      </c>
      <c r="CA127" s="6">
        <f>VLOOKUP(Table1[[#This Row],[Reference]],metron,15,FALSE)</f>
        <v>15.366666666666671</v>
      </c>
      <c r="CB127" s="6">
        <f>VLOOKUP(Table1[[#This Row],[Reference]],metron,16,FALSE)</f>
        <v>8.5234848484848484</v>
      </c>
      <c r="CC127" s="6">
        <f>VLOOKUP(Table1[[#This Row],[Reference]],metron,17,FALSE)</f>
        <v>6.6873065015479876</v>
      </c>
      <c r="CD127" s="6">
        <f>VLOOKUP(Table1[[#This Row],[Reference]],metron,18,FALSE)</f>
        <v>3.3490712074303399</v>
      </c>
      <c r="CE127" s="6">
        <f>VLOOKUP(Table1[[#This Row],[Reference]],metron,19,FALSE)</f>
        <v>8.679360165118684</v>
      </c>
      <c r="CF127" s="6">
        <f>VLOOKUP(Table1[[#This Row],[Reference]],metron,20,FALSE)</f>
        <v>5.1744136410545085</v>
      </c>
      <c r="CG127" s="6">
        <f>VLOOKUP(Table1[[#This Row],[Reference]],metron,21,FALSE)</f>
        <v>12.62384615384615</v>
      </c>
      <c r="CH127" s="6">
        <f>VLOOKUP(Table1[[#This Row],[Reference]],metron,22,FALSE)</f>
        <v>13.844615384615381</v>
      </c>
      <c r="CI127" s="6">
        <f>VLOOKUP(Table1[[#This Row],[Reference]],metron,23,FALSE)</f>
        <v>1.369710467706013</v>
      </c>
      <c r="CJ127" s="6">
        <f>VLOOKUP(Table1[[#This Row],[Reference]],metron,24,FALSE)</f>
        <v>2.0920564216778019</v>
      </c>
      <c r="CK127" s="6">
        <f>VLOOKUP(Table1[[#This Row],[Reference]],metron,25,FALSE)</f>
        <v>7.126948775055679E-2</v>
      </c>
      <c r="CL127" s="6">
        <f>VLOOKUP(Table1[[#This Row],[Reference]],metron,26,FALSE)</f>
        <v>0.13214550853749071</v>
      </c>
    </row>
    <row r="128" spans="1:90" hidden="1" x14ac:dyDescent="0.45">
      <c r="A128" t="s">
        <v>696</v>
      </c>
      <c r="B128">
        <v>1635033600</v>
      </c>
      <c r="C128" s="23" t="s">
        <v>327</v>
      </c>
      <c r="D128" t="s">
        <v>65</v>
      </c>
      <c r="E128" t="s">
        <v>66</v>
      </c>
      <c r="F128" t="s">
        <v>68</v>
      </c>
      <c r="G128" t="s">
        <v>107</v>
      </c>
      <c r="H128" t="s">
        <v>122</v>
      </c>
      <c r="I128">
        <f>MROUND(Table1[[#This Row],[ProbH]]*100,2)/100</f>
        <v>0.48</v>
      </c>
      <c r="J128">
        <f>1/Table1[[#This Row],[odds_ft_home_team_win]]-Table1[[#This Row],[Margin]]</f>
        <v>0.48193506258224689</v>
      </c>
      <c r="K128">
        <f>1/Table1[[#This Row],[odds_ft_draw]]-Table1[[#This Row],[Margin]]</f>
        <v>0.27854027183012509</v>
      </c>
      <c r="L128">
        <f>1/Table1[[#This Row],[odds_ft_away_team_win]]-Table1[[#This Row],[Margin]]</f>
        <v>0.23952466558762811</v>
      </c>
      <c r="M128">
        <v>15</v>
      </c>
      <c r="N128">
        <v>2.71</v>
      </c>
      <c r="O128">
        <v>1.57</v>
      </c>
      <c r="P128">
        <v>1.9</v>
      </c>
      <c r="Q128">
        <v>1.48</v>
      </c>
      <c r="R128" t="str" cm="1">
        <f t="array" ref="R1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53</v>
      </c>
      <c r="AA128">
        <v>2</v>
      </c>
      <c r="AB128">
        <v>5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6</v>
      </c>
      <c r="AL128">
        <v>13</v>
      </c>
      <c r="AM128">
        <v>2</v>
      </c>
      <c r="AN128">
        <v>5</v>
      </c>
      <c r="AO128">
        <v>4</v>
      </c>
      <c r="AP128">
        <v>8</v>
      </c>
      <c r="AQ128">
        <v>9</v>
      </c>
      <c r="AR128">
        <v>8</v>
      </c>
      <c r="AS128">
        <v>39</v>
      </c>
      <c r="AT128">
        <v>61</v>
      </c>
      <c r="AU128">
        <v>0.85</v>
      </c>
      <c r="AV128">
        <v>1.48</v>
      </c>
      <c r="AW128">
        <v>2.36</v>
      </c>
      <c r="AX128">
        <v>43</v>
      </c>
      <c r="AY128">
        <v>93</v>
      </c>
      <c r="AZ128">
        <v>43</v>
      </c>
      <c r="BA128">
        <v>7</v>
      </c>
      <c r="BB128">
        <v>0</v>
      </c>
      <c r="BC128">
        <v>15</v>
      </c>
      <c r="BD128">
        <v>72</v>
      </c>
      <c r="BE128">
        <v>50</v>
      </c>
      <c r="BF128">
        <v>86</v>
      </c>
      <c r="BG128">
        <v>8.43</v>
      </c>
      <c r="BH128">
        <v>3.29</v>
      </c>
      <c r="BI128">
        <v>2.0099999999999998</v>
      </c>
      <c r="BJ128">
        <v>3.4</v>
      </c>
      <c r="BK128">
        <v>3.92</v>
      </c>
      <c r="BL128">
        <f>(1/Table1[[#This Row],[odds_ft_home_team_win]]+1/Table1[[#This Row],[odds_ft_draw]]+1/Table1[[#This Row],[odds_ft_away_team_win]]-1)/3</f>
        <v>1.5577375228698434E-2</v>
      </c>
      <c r="BM128">
        <v>1.4</v>
      </c>
      <c r="BN128">
        <v>2.2000000000000002</v>
      </c>
      <c r="BO128">
        <v>4.1500000000000004</v>
      </c>
      <c r="BP128">
        <v>8.15</v>
      </c>
      <c r="BQ128">
        <v>1.91</v>
      </c>
      <c r="BR128">
        <v>1.8</v>
      </c>
      <c r="BS128" t="s">
        <v>116</v>
      </c>
      <c r="BT128">
        <f>VLOOKUP(Table1[[#This Row],[Reference]],metron,8,FALSE)</f>
        <v>1.743992017160418</v>
      </c>
      <c r="BU128">
        <f>VLOOKUP(Table1[[#This Row],[Reference]],metron,9,FALSE)</f>
        <v>0.97803937284245479</v>
      </c>
      <c r="BV128">
        <f>VLOOKUP(Table1[[#This Row],[Reference]],metron,10,FALSE)</f>
        <v>2.5271929824561399</v>
      </c>
      <c r="BW128">
        <f>VLOOKUP(Table1[[#This Row],[Reference]],metron,11,FALSE)</f>
        <v>1.510877192982456</v>
      </c>
      <c r="BX128">
        <f>VLOOKUP(Table1[[#This Row],[Reference]],metron,12,FALSE)</f>
        <v>1.0163157894736841</v>
      </c>
      <c r="BY128" s="6">
        <f>VLOOKUP(Table1[[#This Row],[Reference]],metron,13,FALSE)</f>
        <v>0.67350877192982461</v>
      </c>
      <c r="BZ128" s="6">
        <f>VLOOKUP(Table1[[#This Row],[Reference]],metron,14,FALSE)</f>
        <v>0.4442105263157895</v>
      </c>
      <c r="CA128" s="6">
        <f>VLOOKUP(Table1[[#This Row],[Reference]],metron,15,FALSE)</f>
        <v>12.80980392156863</v>
      </c>
      <c r="CB128" s="6">
        <f>VLOOKUP(Table1[[#This Row],[Reference]],metron,16,FALSE)</f>
        <v>9.6872549019607845</v>
      </c>
      <c r="CC128" s="6">
        <f>VLOOKUP(Table1[[#This Row],[Reference]],metron,17,FALSE)</f>
        <v>5.6491169610129957</v>
      </c>
      <c r="CD128" s="6">
        <f>VLOOKUP(Table1[[#This Row],[Reference]],metron,18,FALSE)</f>
        <v>4.1379540153282237</v>
      </c>
      <c r="CE128" s="6">
        <f>VLOOKUP(Table1[[#This Row],[Reference]],metron,19,FALSE)</f>
        <v>7.1606869605556343</v>
      </c>
      <c r="CF128" s="6">
        <f>VLOOKUP(Table1[[#This Row],[Reference]],metron,20,FALSE)</f>
        <v>5.5493008866325608</v>
      </c>
      <c r="CG128" s="6">
        <f>VLOOKUP(Table1[[#This Row],[Reference]],metron,21,FALSE)</f>
        <v>12.9029029029029</v>
      </c>
      <c r="CH128" s="6">
        <f>VLOOKUP(Table1[[#This Row],[Reference]],metron,22,FALSE)</f>
        <v>13.75508842175509</v>
      </c>
      <c r="CI128" s="6">
        <f>VLOOKUP(Table1[[#This Row],[Reference]],metron,23,FALSE)</f>
        <v>1.5287356321839081</v>
      </c>
      <c r="CJ128" s="6">
        <f>VLOOKUP(Table1[[#This Row],[Reference]],metron,24,FALSE)</f>
        <v>1.9664750957854411</v>
      </c>
      <c r="CK128" s="6">
        <f>VLOOKUP(Table1[[#This Row],[Reference]],metron,25,FALSE)</f>
        <v>8.8441890166028103E-2</v>
      </c>
      <c r="CL128" s="6">
        <f>VLOOKUP(Table1[[#This Row],[Reference]],metron,26,FALSE)</f>
        <v>0.13409961685823751</v>
      </c>
    </row>
    <row r="129" spans="1:90" hidden="1" x14ac:dyDescent="0.45">
      <c r="A129" t="s">
        <v>696</v>
      </c>
      <c r="B129">
        <v>1635040800</v>
      </c>
      <c r="C129" s="23" t="s">
        <v>328</v>
      </c>
      <c r="D129" t="s">
        <v>65</v>
      </c>
      <c r="E129" t="s">
        <v>66</v>
      </c>
      <c r="F129" t="s">
        <v>90</v>
      </c>
      <c r="G129" t="s">
        <v>112</v>
      </c>
      <c r="H129" t="s">
        <v>69</v>
      </c>
      <c r="I129">
        <f>MROUND(Table1[[#This Row],[ProbH]]*100,2)/100</f>
        <v>0.34</v>
      </c>
      <c r="J129">
        <f>1/Table1[[#This Row],[odds_ft_home_team_win]]-Table1[[#This Row],[Margin]]</f>
        <v>0.34750251860518022</v>
      </c>
      <c r="K129">
        <f>1/Table1[[#This Row],[odds_ft_draw]]-Table1[[#This Row],[Margin]]</f>
        <v>0.30060771505638423</v>
      </c>
      <c r="L129">
        <f>1/Table1[[#This Row],[odds_ft_away_team_win]]-Table1[[#This Row],[Margin]]</f>
        <v>0.35188976633843549</v>
      </c>
      <c r="M129">
        <v>15</v>
      </c>
      <c r="N129">
        <v>1.43</v>
      </c>
      <c r="O129">
        <v>1.43</v>
      </c>
      <c r="P129">
        <v>1.47</v>
      </c>
      <c r="Q129">
        <v>1.5</v>
      </c>
      <c r="R129" t="str" cm="1">
        <f t="array" ref="R1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9">
        <v>1</v>
      </c>
      <c r="T129">
        <v>1</v>
      </c>
      <c r="U129">
        <v>2</v>
      </c>
      <c r="V129">
        <v>1</v>
      </c>
      <c r="W129">
        <v>0</v>
      </c>
      <c r="X129">
        <v>1</v>
      </c>
      <c r="Y129" t="s">
        <v>329</v>
      </c>
      <c r="Z129">
        <v>45</v>
      </c>
      <c r="AA129">
        <v>7</v>
      </c>
      <c r="AB129">
        <v>2</v>
      </c>
      <c r="AC129">
        <v>3</v>
      </c>
      <c r="AD129">
        <v>0</v>
      </c>
      <c r="AE129">
        <v>5</v>
      </c>
      <c r="AF129">
        <v>0</v>
      </c>
      <c r="AG129">
        <v>1</v>
      </c>
      <c r="AH129">
        <v>2</v>
      </c>
      <c r="AI129">
        <v>0</v>
      </c>
      <c r="AJ129">
        <v>5</v>
      </c>
      <c r="AK129">
        <v>8</v>
      </c>
      <c r="AL129">
        <v>7</v>
      </c>
      <c r="AM129">
        <v>4</v>
      </c>
      <c r="AN129">
        <v>2</v>
      </c>
      <c r="AO129">
        <v>4</v>
      </c>
      <c r="AP129">
        <v>5</v>
      </c>
      <c r="AQ129">
        <v>10</v>
      </c>
      <c r="AR129">
        <v>9</v>
      </c>
      <c r="AS129">
        <v>55</v>
      </c>
      <c r="AT129">
        <v>45</v>
      </c>
      <c r="AU129">
        <v>1.3</v>
      </c>
      <c r="AV129">
        <v>0.87</v>
      </c>
      <c r="AW129">
        <v>2</v>
      </c>
      <c r="AX129">
        <v>50</v>
      </c>
      <c r="AY129">
        <v>64</v>
      </c>
      <c r="AZ129">
        <v>43</v>
      </c>
      <c r="BA129">
        <v>7</v>
      </c>
      <c r="BB129">
        <v>0</v>
      </c>
      <c r="BC129">
        <v>29</v>
      </c>
      <c r="BD129">
        <v>72</v>
      </c>
      <c r="BE129">
        <v>36</v>
      </c>
      <c r="BF129">
        <v>58</v>
      </c>
      <c r="BG129">
        <v>9.14</v>
      </c>
      <c r="BH129">
        <v>5.86</v>
      </c>
      <c r="BI129">
        <v>2.63</v>
      </c>
      <c r="BJ129">
        <v>3</v>
      </c>
      <c r="BK129">
        <v>2.6</v>
      </c>
      <c r="BL129">
        <f>(1/Table1[[#This Row],[odds_ft_home_team_win]]+1/Table1[[#This Row],[odds_ft_draw]]+1/Table1[[#This Row],[odds_ft_away_team_win]]-1)/3</f>
        <v>3.2725618276949087E-2</v>
      </c>
      <c r="BM129">
        <v>1.5</v>
      </c>
      <c r="BN129">
        <v>2.46</v>
      </c>
      <c r="BO129">
        <v>4.68</v>
      </c>
      <c r="BP129">
        <v>9.25</v>
      </c>
      <c r="BQ129">
        <v>2.1</v>
      </c>
      <c r="BR129">
        <v>1.73</v>
      </c>
      <c r="BS129" t="s">
        <v>94</v>
      </c>
      <c r="BT129">
        <f>VLOOKUP(Table1[[#This Row],[Reference]],metron,8,FALSE)</f>
        <v>1.3382439854569812</v>
      </c>
      <c r="BU129">
        <f>VLOOKUP(Table1[[#This Row],[Reference]],metron,9,FALSE)</f>
        <v>1.3740319615582339</v>
      </c>
      <c r="BV129">
        <f>VLOOKUP(Table1[[#This Row],[Reference]],metron,10,FALSE)</f>
        <v>2.5229727551184897</v>
      </c>
      <c r="BW129">
        <f>VLOOKUP(Table1[[#This Row],[Reference]],metron,11,FALSE)</f>
        <v>1.228921489601805</v>
      </c>
      <c r="BX129">
        <f>VLOOKUP(Table1[[#This Row],[Reference]],metron,12,FALSE)</f>
        <v>1.2940512655166849</v>
      </c>
      <c r="BY129" s="6">
        <f>VLOOKUP(Table1[[#This Row],[Reference]],metron,13,FALSE)</f>
        <v>0.53240890035472432</v>
      </c>
      <c r="BZ129" s="6">
        <f>VLOOKUP(Table1[[#This Row],[Reference]],metron,14,FALSE)</f>
        <v>0.56514027732989358</v>
      </c>
      <c r="CA129" s="6">
        <f>VLOOKUP(Table1[[#This Row],[Reference]],metron,15,FALSE)</f>
        <v>11.417888124439131</v>
      </c>
      <c r="CB129" s="6">
        <f>VLOOKUP(Table1[[#This Row],[Reference]],metron,16,FALSE)</f>
        <v>10.76308704756207</v>
      </c>
      <c r="CC129" s="6">
        <f>VLOOKUP(Table1[[#This Row],[Reference]],metron,17,FALSE)</f>
        <v>4.8317672021824798</v>
      </c>
      <c r="CD129" s="6">
        <f>VLOOKUP(Table1[[#This Row],[Reference]],metron,18,FALSE)</f>
        <v>4.6698999696877843</v>
      </c>
      <c r="CE129" s="6">
        <f>VLOOKUP(Table1[[#This Row],[Reference]],metron,19,FALSE)</f>
        <v>6.5861209222566508</v>
      </c>
      <c r="CF129" s="6">
        <f>VLOOKUP(Table1[[#This Row],[Reference]],metron,20,FALSE)</f>
        <v>6.093187077874286</v>
      </c>
      <c r="CG129" s="6">
        <f>VLOOKUP(Table1[[#This Row],[Reference]],metron,21,FALSE)</f>
        <v>12.685679611650491</v>
      </c>
      <c r="CH129" s="6">
        <f>VLOOKUP(Table1[[#This Row],[Reference]],metron,22,FALSE)</f>
        <v>13.02639563106796</v>
      </c>
      <c r="CI129" s="6">
        <f>VLOOKUP(Table1[[#This Row],[Reference]],metron,23,FALSE)</f>
        <v>1.6481211768132831</v>
      </c>
      <c r="CJ129" s="6">
        <f>VLOOKUP(Table1[[#This Row],[Reference]],metron,24,FALSE)</f>
        <v>1.8572676958928049</v>
      </c>
      <c r="CK129" s="6">
        <f>VLOOKUP(Table1[[#This Row],[Reference]],metron,25,FALSE)</f>
        <v>9.641712787649287E-2</v>
      </c>
      <c r="CL129" s="6">
        <f>VLOOKUP(Table1[[#This Row],[Reference]],metron,26,FALSE)</f>
        <v>0.11302068161957469</v>
      </c>
    </row>
    <row r="130" spans="1:90" hidden="1" x14ac:dyDescent="0.45">
      <c r="A130" t="s">
        <v>696</v>
      </c>
      <c r="B130">
        <v>1635094800</v>
      </c>
      <c r="C130" s="23" t="s">
        <v>330</v>
      </c>
      <c r="D130" t="s">
        <v>65</v>
      </c>
      <c r="E130" t="s">
        <v>66</v>
      </c>
      <c r="F130" t="s">
        <v>96</v>
      </c>
      <c r="G130" t="s">
        <v>106</v>
      </c>
      <c r="H130" t="s">
        <v>130</v>
      </c>
      <c r="I130">
        <f>MROUND(Table1[[#This Row],[ProbH]]*100,2)/100</f>
        <v>0.44</v>
      </c>
      <c r="J130">
        <f>1/Table1[[#This Row],[odds_ft_home_team_win]]-Table1[[#This Row],[Margin]]</f>
        <v>0.43691497091096154</v>
      </c>
      <c r="K130">
        <f>1/Table1[[#This Row],[odds_ft_draw]]-Table1[[#This Row],[Margin]]</f>
        <v>0.28517201512523926</v>
      </c>
      <c r="L130">
        <f>1/Table1[[#This Row],[odds_ft_away_team_win]]-Table1[[#This Row],[Margin]]</f>
        <v>0.27791301396379908</v>
      </c>
      <c r="M130">
        <v>15</v>
      </c>
      <c r="N130">
        <v>1.5</v>
      </c>
      <c r="O130">
        <v>0.33</v>
      </c>
      <c r="P130">
        <v>1.58</v>
      </c>
      <c r="Q130">
        <v>0.53</v>
      </c>
      <c r="R130" t="str" cm="1">
        <f t="array" ref="R1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0">
        <v>3</v>
      </c>
      <c r="T130">
        <v>1</v>
      </c>
      <c r="U130">
        <v>4</v>
      </c>
      <c r="V130">
        <v>1</v>
      </c>
      <c r="W130">
        <v>1</v>
      </c>
      <c r="X130">
        <v>0</v>
      </c>
      <c r="Y130" t="s">
        <v>331</v>
      </c>
      <c r="Z130">
        <v>65</v>
      </c>
      <c r="AA130">
        <v>7</v>
      </c>
      <c r="AB130">
        <v>4</v>
      </c>
      <c r="AC130">
        <v>3</v>
      </c>
      <c r="AD130">
        <v>0</v>
      </c>
      <c r="AE130">
        <v>1</v>
      </c>
      <c r="AF130">
        <v>0</v>
      </c>
      <c r="AG130">
        <v>2</v>
      </c>
      <c r="AH130">
        <v>1</v>
      </c>
      <c r="AI130">
        <v>1</v>
      </c>
      <c r="AJ130">
        <v>0</v>
      </c>
      <c r="AK130">
        <v>18</v>
      </c>
      <c r="AL130">
        <v>12</v>
      </c>
      <c r="AM130">
        <v>5</v>
      </c>
      <c r="AN130">
        <v>6</v>
      </c>
      <c r="AO130">
        <v>13</v>
      </c>
      <c r="AP130">
        <v>6</v>
      </c>
      <c r="AQ130">
        <v>11</v>
      </c>
      <c r="AR130">
        <v>10</v>
      </c>
      <c r="AS130">
        <v>49</v>
      </c>
      <c r="AT130">
        <v>51</v>
      </c>
      <c r="AU130">
        <v>1.79</v>
      </c>
      <c r="AV130">
        <v>1.38</v>
      </c>
      <c r="AW130">
        <v>2</v>
      </c>
      <c r="AX130">
        <v>42</v>
      </c>
      <c r="AY130">
        <v>67</v>
      </c>
      <c r="AZ130">
        <v>34</v>
      </c>
      <c r="BA130">
        <v>17</v>
      </c>
      <c r="BB130">
        <v>9</v>
      </c>
      <c r="BC130">
        <v>25</v>
      </c>
      <c r="BD130">
        <v>42</v>
      </c>
      <c r="BE130">
        <v>34</v>
      </c>
      <c r="BF130">
        <v>67</v>
      </c>
      <c r="BG130">
        <v>7</v>
      </c>
      <c r="BH130">
        <v>5.33</v>
      </c>
      <c r="BI130">
        <v>2.19</v>
      </c>
      <c r="BJ130">
        <v>3.28</v>
      </c>
      <c r="BK130">
        <v>3.36</v>
      </c>
      <c r="BL130">
        <f>(1/Table1[[#This Row],[odds_ft_home_team_win]]+1/Table1[[#This Row],[odds_ft_draw]]+1/Table1[[#This Row],[odds_ft_away_team_win]]-1)/3</f>
        <v>1.9706033655248516E-2</v>
      </c>
      <c r="BM130">
        <v>1.4</v>
      </c>
      <c r="BN130">
        <v>2.2000000000000002</v>
      </c>
      <c r="BO130">
        <v>3.98</v>
      </c>
      <c r="BP130">
        <v>7.85</v>
      </c>
      <c r="BQ130">
        <v>1.91</v>
      </c>
      <c r="BR130">
        <v>1.8</v>
      </c>
      <c r="BS130" t="s">
        <v>99</v>
      </c>
      <c r="BT130">
        <f>VLOOKUP(Table1[[#This Row],[Reference]],metron,8,FALSE)</f>
        <v>1.6395459745305552</v>
      </c>
      <c r="BU130">
        <f>VLOOKUP(Table1[[#This Row],[Reference]],metron,9,FALSE)</f>
        <v>1.0758429359324786</v>
      </c>
      <c r="BV130">
        <f>VLOOKUP(Table1[[#This Row],[Reference]],metron,10,FALSE)</f>
        <v>2.4807646356033461</v>
      </c>
      <c r="BW130">
        <f>VLOOKUP(Table1[[#This Row],[Reference]],metron,11,FALSE)</f>
        <v>1.4140979689366791</v>
      </c>
      <c r="BX130">
        <f>VLOOKUP(Table1[[#This Row],[Reference]],metron,12,FALSE)</f>
        <v>1.0666666666666671</v>
      </c>
      <c r="BY130" s="6">
        <f>VLOOKUP(Table1[[#This Row],[Reference]],metron,13,FALSE)</f>
        <v>0.62712066905615294</v>
      </c>
      <c r="BZ130" s="6">
        <f>VLOOKUP(Table1[[#This Row],[Reference]],metron,14,FALSE)</f>
        <v>0.46009557945041818</v>
      </c>
      <c r="CA130" s="6">
        <f>VLOOKUP(Table1[[#This Row],[Reference]],metron,15,FALSE)</f>
        <v>12.56969280146722</v>
      </c>
      <c r="CB130" s="6">
        <f>VLOOKUP(Table1[[#This Row],[Reference]],metron,16,FALSE)</f>
        <v>9.8695552498853729</v>
      </c>
      <c r="CC130" s="6">
        <f>VLOOKUP(Table1[[#This Row],[Reference]],metron,17,FALSE)</f>
        <v>5.2754256787850897</v>
      </c>
      <c r="CD130" s="6">
        <f>VLOOKUP(Table1[[#This Row],[Reference]],metron,18,FALSE)</f>
        <v>4.1279337321675103</v>
      </c>
      <c r="CE130" s="6">
        <f>VLOOKUP(Table1[[#This Row],[Reference]],metron,19,FALSE)</f>
        <v>7.2942671226821298</v>
      </c>
      <c r="CF130" s="6">
        <f>VLOOKUP(Table1[[#This Row],[Reference]],metron,20,FALSE)</f>
        <v>5.7416215177178627</v>
      </c>
      <c r="CG130" s="6">
        <f>VLOOKUP(Table1[[#This Row],[Reference]],metron,21,FALSE)</f>
        <v>12.897246007868549</v>
      </c>
      <c r="CH130" s="6">
        <f>VLOOKUP(Table1[[#This Row],[Reference]],metron,22,FALSE)</f>
        <v>13.507058551261281</v>
      </c>
      <c r="CI130" s="6">
        <f>VLOOKUP(Table1[[#This Row],[Reference]],metron,23,FALSE)</f>
        <v>1.576522702104098</v>
      </c>
      <c r="CJ130" s="6">
        <f>VLOOKUP(Table1[[#This Row],[Reference]],metron,24,FALSE)</f>
        <v>1.917165005537099</v>
      </c>
      <c r="CK130" s="6">
        <f>VLOOKUP(Table1[[#This Row],[Reference]],metron,25,FALSE)</f>
        <v>8.4385382059800659E-2</v>
      </c>
      <c r="CL130" s="6">
        <f>VLOOKUP(Table1[[#This Row],[Reference]],metron,26,FALSE)</f>
        <v>0.1233665559246955</v>
      </c>
    </row>
    <row r="131" spans="1:90" hidden="1" x14ac:dyDescent="0.45">
      <c r="A131" t="s">
        <v>696</v>
      </c>
      <c r="B131">
        <v>1635120000</v>
      </c>
      <c r="C131" s="23" t="s">
        <v>332</v>
      </c>
      <c r="D131" t="s">
        <v>65</v>
      </c>
      <c r="E131" t="s">
        <v>66</v>
      </c>
      <c r="F131" t="s">
        <v>91</v>
      </c>
      <c r="G131" t="s">
        <v>97</v>
      </c>
      <c r="H131" t="s">
        <v>158</v>
      </c>
      <c r="I131">
        <f>MROUND(Table1[[#This Row],[ProbH]]*100,2)/100</f>
        <v>0.36</v>
      </c>
      <c r="J131">
        <f>1/Table1[[#This Row],[odds_ft_home_team_win]]-Table1[[#This Row],[Margin]]</f>
        <v>0.35159261513491585</v>
      </c>
      <c r="K131">
        <f>1/Table1[[#This Row],[odds_ft_draw]]-Table1[[#This Row],[Margin]]</f>
        <v>0.2968147697301684</v>
      </c>
      <c r="L131">
        <f>1/Table1[[#This Row],[odds_ft_away_team_win]]-Table1[[#This Row],[Margin]]</f>
        <v>0.35159261513491585</v>
      </c>
      <c r="M131">
        <v>15</v>
      </c>
      <c r="N131">
        <v>0.83</v>
      </c>
      <c r="O131">
        <v>1.71</v>
      </c>
      <c r="P131">
        <v>1.1100000000000001</v>
      </c>
      <c r="Q131">
        <v>1.68</v>
      </c>
      <c r="R131" s="9" t="str" cm="1">
        <f t="array" ref="R1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1">
        <v>2</v>
      </c>
      <c r="T131">
        <v>6</v>
      </c>
      <c r="U131">
        <v>8</v>
      </c>
      <c r="V131">
        <v>4</v>
      </c>
      <c r="W131">
        <v>0</v>
      </c>
      <c r="X131">
        <v>4</v>
      </c>
      <c r="Y131" t="s">
        <v>333</v>
      </c>
      <c r="Z131" t="s">
        <v>334</v>
      </c>
      <c r="AA131">
        <v>5</v>
      </c>
      <c r="AB131">
        <v>8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12</v>
      </c>
      <c r="AL131">
        <v>21</v>
      </c>
      <c r="AM131">
        <v>7</v>
      </c>
      <c r="AN131">
        <v>7</v>
      </c>
      <c r="AO131">
        <v>5</v>
      </c>
      <c r="AP131">
        <v>14</v>
      </c>
      <c r="AQ131">
        <v>9</v>
      </c>
      <c r="AR131">
        <v>12</v>
      </c>
      <c r="AS131">
        <v>48</v>
      </c>
      <c r="AT131">
        <v>52</v>
      </c>
      <c r="AU131">
        <v>1.56</v>
      </c>
      <c r="AV131">
        <v>2.06</v>
      </c>
      <c r="AW131">
        <v>1.8</v>
      </c>
      <c r="AX131">
        <v>31</v>
      </c>
      <c r="AY131">
        <v>55</v>
      </c>
      <c r="AZ131">
        <v>24</v>
      </c>
      <c r="BA131">
        <v>9</v>
      </c>
      <c r="BB131">
        <v>9</v>
      </c>
      <c r="BC131">
        <v>16</v>
      </c>
      <c r="BD131">
        <v>77</v>
      </c>
      <c r="BE131">
        <v>9</v>
      </c>
      <c r="BF131">
        <v>63</v>
      </c>
      <c r="BG131">
        <v>11.6</v>
      </c>
      <c r="BH131">
        <v>4.03</v>
      </c>
      <c r="BI131">
        <v>2.65</v>
      </c>
      <c r="BJ131">
        <v>3.1</v>
      </c>
      <c r="BK131">
        <v>2.65</v>
      </c>
      <c r="BL131">
        <f>(1/Table1[[#This Row],[odds_ft_home_team_win]]+1/Table1[[#This Row],[odds_ft_draw]]+1/Table1[[#This Row],[odds_ft_away_team_win]]-1)/3</f>
        <v>2.5765875431121927E-2</v>
      </c>
      <c r="BM131">
        <v>1.4</v>
      </c>
      <c r="BN131">
        <v>2.21</v>
      </c>
      <c r="BO131">
        <v>4.33</v>
      </c>
      <c r="BP131">
        <v>7.6</v>
      </c>
      <c r="BQ131">
        <v>1.95</v>
      </c>
      <c r="BR131">
        <v>1.8</v>
      </c>
      <c r="BS131" t="s">
        <v>144</v>
      </c>
      <c r="BT131">
        <f>VLOOKUP(Table1[[#This Row],[Reference]],metron,8,FALSE)</f>
        <v>1.4023864615972674</v>
      </c>
      <c r="BU131">
        <f>VLOOKUP(Table1[[#This Row],[Reference]],metron,9,FALSE)</f>
        <v>1.3093265904245279</v>
      </c>
      <c r="BV131">
        <f>VLOOKUP(Table1[[#This Row],[Reference]],metron,10,FALSE)</f>
        <v>2.5110350525197691</v>
      </c>
      <c r="BW131">
        <f>VLOOKUP(Table1[[#This Row],[Reference]],metron,11,FALSE)</f>
        <v>1.269326094653606</v>
      </c>
      <c r="BX131">
        <f>VLOOKUP(Table1[[#This Row],[Reference]],metron,12,FALSE)</f>
        <v>1.2417089578661631</v>
      </c>
      <c r="BY131" s="6">
        <f>VLOOKUP(Table1[[#This Row],[Reference]],metron,13,FALSE)</f>
        <v>0.56586402266288949</v>
      </c>
      <c r="BZ131" s="6">
        <f>VLOOKUP(Table1[[#This Row],[Reference]],metron,14,FALSE)</f>
        <v>0.55158168083097259</v>
      </c>
      <c r="CA131" s="6">
        <f>VLOOKUP(Table1[[#This Row],[Reference]],metron,15,FALSE)</f>
        <v>11.49400826446281</v>
      </c>
      <c r="CB131" s="6">
        <f>VLOOKUP(Table1[[#This Row],[Reference]],metron,16,FALSE)</f>
        <v>10.507231404958681</v>
      </c>
      <c r="CC131" s="6">
        <f>VLOOKUP(Table1[[#This Row],[Reference]],metron,17,FALSE)</f>
        <v>4.9238790406673623</v>
      </c>
      <c r="CD131" s="6">
        <f>VLOOKUP(Table1[[#This Row],[Reference]],metron,18,FALSE)</f>
        <v>4.6296141814389991</v>
      </c>
      <c r="CE131" s="6">
        <f>VLOOKUP(Table1[[#This Row],[Reference]],metron,19,FALSE)</f>
        <v>6.5701292237954476</v>
      </c>
      <c r="CF131" s="6">
        <f>VLOOKUP(Table1[[#This Row],[Reference]],metron,20,FALSE)</f>
        <v>5.8776172235196817</v>
      </c>
      <c r="CG131" s="6">
        <f>VLOOKUP(Table1[[#This Row],[Reference]],metron,21,FALSE)</f>
        <v>12.798739495798319</v>
      </c>
      <c r="CH131" s="6">
        <f>VLOOKUP(Table1[[#This Row],[Reference]],metron,22,FALSE)</f>
        <v>12.98844537815126</v>
      </c>
      <c r="CI131" s="6">
        <f>VLOOKUP(Table1[[#This Row],[Reference]],metron,23,FALSE)</f>
        <v>1.604928297313674</v>
      </c>
      <c r="CJ131" s="6">
        <f>VLOOKUP(Table1[[#This Row],[Reference]],metron,24,FALSE)</f>
        <v>1.791961219955565</v>
      </c>
      <c r="CK131" s="6">
        <f>VLOOKUP(Table1[[#This Row],[Reference]],metron,25,FALSE)</f>
        <v>8.887093516461321E-2</v>
      </c>
      <c r="CL131" s="6">
        <f>VLOOKUP(Table1[[#This Row],[Reference]],metron,26,FALSE)</f>
        <v>0.11694607150070691</v>
      </c>
    </row>
    <row r="132" spans="1:90" hidden="1" x14ac:dyDescent="0.45">
      <c r="A132" t="s">
        <v>696</v>
      </c>
      <c r="B132">
        <v>1635120360</v>
      </c>
      <c r="C132" s="23" t="s">
        <v>335</v>
      </c>
      <c r="D132" t="s">
        <v>65</v>
      </c>
      <c r="E132" t="s">
        <v>66</v>
      </c>
      <c r="F132" t="s">
        <v>73</v>
      </c>
      <c r="G132" t="s">
        <v>79</v>
      </c>
      <c r="H132" t="s">
        <v>80</v>
      </c>
      <c r="I132">
        <f>MROUND(Table1[[#This Row],[ProbH]]*100,2)/100</f>
        <v>0.48</v>
      </c>
      <c r="J132">
        <f>1/Table1[[#This Row],[odds_ft_home_team_win]]-Table1[[#This Row],[Margin]]</f>
        <v>0.47603485838779952</v>
      </c>
      <c r="K132">
        <f>1/Table1[[#This Row],[odds_ft_draw]]-Table1[[#This Row],[Margin]]</f>
        <v>0.27015250544662306</v>
      </c>
      <c r="L132">
        <f>1/Table1[[#This Row],[odds_ft_away_team_win]]-Table1[[#This Row],[Margin]]</f>
        <v>0.25381263616557731</v>
      </c>
      <c r="M132">
        <v>15</v>
      </c>
      <c r="N132">
        <v>1.43</v>
      </c>
      <c r="O132">
        <v>1.43</v>
      </c>
      <c r="P132">
        <v>1.58</v>
      </c>
      <c r="Q132">
        <v>1.29</v>
      </c>
      <c r="R132" t="str" cm="1">
        <f t="array" ref="R1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32">
        <v>2</v>
      </c>
      <c r="T132">
        <v>2</v>
      </c>
      <c r="U132">
        <v>4</v>
      </c>
      <c r="V132">
        <v>1</v>
      </c>
      <c r="W132">
        <v>1</v>
      </c>
      <c r="X132">
        <v>0</v>
      </c>
      <c r="Y132" t="s">
        <v>336</v>
      </c>
      <c r="Z132" t="s">
        <v>337</v>
      </c>
      <c r="AA132">
        <v>9</v>
      </c>
      <c r="AB132">
        <v>3</v>
      </c>
      <c r="AC132">
        <v>2</v>
      </c>
      <c r="AD132">
        <v>0</v>
      </c>
      <c r="AE132">
        <v>4</v>
      </c>
      <c r="AF132">
        <v>0</v>
      </c>
      <c r="AG132">
        <v>1</v>
      </c>
      <c r="AH132">
        <v>1</v>
      </c>
      <c r="AI132">
        <v>2</v>
      </c>
      <c r="AJ132">
        <v>2</v>
      </c>
      <c r="AK132">
        <v>24</v>
      </c>
      <c r="AL132">
        <v>12</v>
      </c>
      <c r="AM132">
        <v>7</v>
      </c>
      <c r="AN132">
        <v>7</v>
      </c>
      <c r="AO132">
        <v>17</v>
      </c>
      <c r="AP132">
        <v>5</v>
      </c>
      <c r="AQ132">
        <v>9</v>
      </c>
      <c r="AR132">
        <v>15</v>
      </c>
      <c r="AS132">
        <v>62</v>
      </c>
      <c r="AT132">
        <v>38</v>
      </c>
      <c r="AU132">
        <v>2.5499999999999998</v>
      </c>
      <c r="AV132">
        <v>1.39</v>
      </c>
      <c r="AW132">
        <v>2.0699999999999998</v>
      </c>
      <c r="AX132">
        <v>43</v>
      </c>
      <c r="AY132">
        <v>79</v>
      </c>
      <c r="AZ132">
        <v>29</v>
      </c>
      <c r="BA132">
        <v>15</v>
      </c>
      <c r="BB132">
        <v>0</v>
      </c>
      <c r="BC132">
        <v>22</v>
      </c>
      <c r="BD132">
        <v>58</v>
      </c>
      <c r="BE132">
        <v>36</v>
      </c>
      <c r="BF132">
        <v>79</v>
      </c>
      <c r="BG132">
        <v>10.14</v>
      </c>
      <c r="BH132">
        <v>4.1500000000000004</v>
      </c>
      <c r="BI132">
        <v>2</v>
      </c>
      <c r="BJ132">
        <v>3.4</v>
      </c>
      <c r="BK132">
        <v>3.6</v>
      </c>
      <c r="BL132">
        <f>(1/Table1[[#This Row],[odds_ft_home_team_win]]+1/Table1[[#This Row],[odds_ft_draw]]+1/Table1[[#This Row],[odds_ft_away_team_win]]-1)/3</f>
        <v>2.3965141612200497E-2</v>
      </c>
      <c r="BM132">
        <v>1.36</v>
      </c>
      <c r="BN132">
        <v>2.0699999999999998</v>
      </c>
      <c r="BO132">
        <v>3.6</v>
      </c>
      <c r="BP132">
        <v>6.85</v>
      </c>
      <c r="BQ132">
        <v>1.91</v>
      </c>
      <c r="BR132">
        <v>1.83</v>
      </c>
      <c r="BS132" t="s">
        <v>142</v>
      </c>
      <c r="BT132">
        <f>VLOOKUP(Table1[[#This Row],[Reference]],metron,8,FALSE)</f>
        <v>1.743992017160418</v>
      </c>
      <c r="BU132">
        <f>VLOOKUP(Table1[[#This Row],[Reference]],metron,9,FALSE)</f>
        <v>0.97803937284245479</v>
      </c>
      <c r="BV132">
        <f>VLOOKUP(Table1[[#This Row],[Reference]],metron,10,FALSE)</f>
        <v>2.5271929824561399</v>
      </c>
      <c r="BW132">
        <f>VLOOKUP(Table1[[#This Row],[Reference]],metron,11,FALSE)</f>
        <v>1.510877192982456</v>
      </c>
      <c r="BX132">
        <f>VLOOKUP(Table1[[#This Row],[Reference]],metron,12,FALSE)</f>
        <v>1.0163157894736841</v>
      </c>
      <c r="BY132" s="6">
        <f>VLOOKUP(Table1[[#This Row],[Reference]],metron,13,FALSE)</f>
        <v>0.67350877192982461</v>
      </c>
      <c r="BZ132" s="6">
        <f>VLOOKUP(Table1[[#This Row],[Reference]],metron,14,FALSE)</f>
        <v>0.4442105263157895</v>
      </c>
      <c r="CA132" s="6">
        <f>VLOOKUP(Table1[[#This Row],[Reference]],metron,15,FALSE)</f>
        <v>12.80980392156863</v>
      </c>
      <c r="CB132" s="6">
        <f>VLOOKUP(Table1[[#This Row],[Reference]],metron,16,FALSE)</f>
        <v>9.6872549019607845</v>
      </c>
      <c r="CC132" s="6">
        <f>VLOOKUP(Table1[[#This Row],[Reference]],metron,17,FALSE)</f>
        <v>5.6491169610129957</v>
      </c>
      <c r="CD132" s="6">
        <f>VLOOKUP(Table1[[#This Row],[Reference]],metron,18,FALSE)</f>
        <v>4.1379540153282237</v>
      </c>
      <c r="CE132" s="6">
        <f>VLOOKUP(Table1[[#This Row],[Reference]],metron,19,FALSE)</f>
        <v>7.1606869605556343</v>
      </c>
      <c r="CF132" s="6">
        <f>VLOOKUP(Table1[[#This Row],[Reference]],metron,20,FALSE)</f>
        <v>5.5493008866325608</v>
      </c>
      <c r="CG132" s="6">
        <f>VLOOKUP(Table1[[#This Row],[Reference]],metron,21,FALSE)</f>
        <v>12.9029029029029</v>
      </c>
      <c r="CH132" s="6">
        <f>VLOOKUP(Table1[[#This Row],[Reference]],metron,22,FALSE)</f>
        <v>13.75508842175509</v>
      </c>
      <c r="CI132" s="6">
        <f>VLOOKUP(Table1[[#This Row],[Reference]],metron,23,FALSE)</f>
        <v>1.5287356321839081</v>
      </c>
      <c r="CJ132" s="6">
        <f>VLOOKUP(Table1[[#This Row],[Reference]],metron,24,FALSE)</f>
        <v>1.9664750957854411</v>
      </c>
      <c r="CK132" s="6">
        <f>VLOOKUP(Table1[[#This Row],[Reference]],metron,25,FALSE)</f>
        <v>8.8441890166028103E-2</v>
      </c>
      <c r="CL132" s="6">
        <f>VLOOKUP(Table1[[#This Row],[Reference]],metron,26,FALSE)</f>
        <v>0.13409961685823751</v>
      </c>
    </row>
    <row r="133" spans="1:90" hidden="1" x14ac:dyDescent="0.45">
      <c r="A133" t="s">
        <v>696</v>
      </c>
      <c r="B133">
        <v>1635127200</v>
      </c>
      <c r="C133" s="23" t="s">
        <v>338</v>
      </c>
      <c r="D133" t="s">
        <v>65</v>
      </c>
      <c r="E133" t="s">
        <v>66</v>
      </c>
      <c r="F133" t="s">
        <v>84</v>
      </c>
      <c r="G133" t="s">
        <v>78</v>
      </c>
      <c r="H133" t="s">
        <v>114</v>
      </c>
      <c r="I133">
        <f>MROUND(Table1[[#This Row],[ProbH]]*100,2)/100</f>
        <v>0.54</v>
      </c>
      <c r="J133">
        <f>1/Table1[[#This Row],[odds_ft_home_team_win]]-Table1[[#This Row],[Margin]]</f>
        <v>0.53159041394335504</v>
      </c>
      <c r="K133">
        <f>1/Table1[[#This Row],[odds_ft_draw]]-Table1[[#This Row],[Margin]]</f>
        <v>0.27015250544662306</v>
      </c>
      <c r="L133">
        <f>1/Table1[[#This Row],[odds_ft_away_team_win]]-Table1[[#This Row],[Margin]]</f>
        <v>0.1982570806100217</v>
      </c>
      <c r="M133">
        <v>15</v>
      </c>
      <c r="N133">
        <v>1.33</v>
      </c>
      <c r="O133">
        <v>0.56999999999999995</v>
      </c>
      <c r="P133">
        <v>1.89</v>
      </c>
      <c r="Q133">
        <v>0.71</v>
      </c>
      <c r="R133" t="str" cm="1">
        <f t="array" ref="R1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33">
        <v>1</v>
      </c>
      <c r="T133">
        <v>1</v>
      </c>
      <c r="U133">
        <v>2</v>
      </c>
      <c r="V133">
        <v>1</v>
      </c>
      <c r="W133">
        <v>0</v>
      </c>
      <c r="X133">
        <v>1</v>
      </c>
      <c r="Y133">
        <v>74</v>
      </c>
      <c r="Z133">
        <v>33</v>
      </c>
      <c r="AA133">
        <v>10</v>
      </c>
      <c r="AB133">
        <v>3</v>
      </c>
      <c r="AC133">
        <v>2</v>
      </c>
      <c r="AD133">
        <v>0</v>
      </c>
      <c r="AE133">
        <v>3</v>
      </c>
      <c r="AF133">
        <v>0</v>
      </c>
      <c r="AG133">
        <v>0</v>
      </c>
      <c r="AH133">
        <v>2</v>
      </c>
      <c r="AI133">
        <v>0</v>
      </c>
      <c r="AJ133">
        <v>3</v>
      </c>
      <c r="AK133">
        <v>26</v>
      </c>
      <c r="AL133">
        <v>11</v>
      </c>
      <c r="AM133">
        <v>6</v>
      </c>
      <c r="AN133">
        <v>4</v>
      </c>
      <c r="AO133">
        <v>20</v>
      </c>
      <c r="AP133">
        <v>7</v>
      </c>
      <c r="AQ133">
        <v>9</v>
      </c>
      <c r="AR133">
        <v>9</v>
      </c>
      <c r="AS133">
        <v>57</v>
      </c>
      <c r="AT133">
        <v>43</v>
      </c>
      <c r="AU133">
        <v>2.5</v>
      </c>
      <c r="AV133">
        <v>1.19</v>
      </c>
      <c r="AW133">
        <v>2.16</v>
      </c>
      <c r="AX133">
        <v>40</v>
      </c>
      <c r="AY133">
        <v>62</v>
      </c>
      <c r="AZ133">
        <v>31</v>
      </c>
      <c r="BA133">
        <v>23</v>
      </c>
      <c r="BB133">
        <v>0</v>
      </c>
      <c r="BC133">
        <v>31</v>
      </c>
      <c r="BD133">
        <v>48</v>
      </c>
      <c r="BE133">
        <v>45</v>
      </c>
      <c r="BF133">
        <v>75</v>
      </c>
      <c r="BG133">
        <v>6.36</v>
      </c>
      <c r="BH133">
        <v>4.5</v>
      </c>
      <c r="BI133">
        <v>1.8</v>
      </c>
      <c r="BJ133">
        <v>3.4</v>
      </c>
      <c r="BK133">
        <v>4.5</v>
      </c>
      <c r="BL133">
        <f>(1/Table1[[#This Row],[odds_ft_home_team_win]]+1/Table1[[#This Row],[odds_ft_draw]]+1/Table1[[#This Row],[odds_ft_away_team_win]]-1)/3</f>
        <v>2.3965141612200497E-2</v>
      </c>
      <c r="BM133">
        <v>1.38</v>
      </c>
      <c r="BN133">
        <v>2.15</v>
      </c>
      <c r="BO133">
        <v>4.0199999999999996</v>
      </c>
      <c r="BP133">
        <v>7.85</v>
      </c>
      <c r="BQ133">
        <v>2.1</v>
      </c>
      <c r="BR133">
        <v>1.7</v>
      </c>
      <c r="BS133" t="s">
        <v>88</v>
      </c>
      <c r="BT133">
        <f>VLOOKUP(Table1[[#This Row],[Reference]],metron,8,FALSE)</f>
        <v>1.915666026436746</v>
      </c>
      <c r="BU133">
        <f>VLOOKUP(Table1[[#This Row],[Reference]],metron,9,FALSE)</f>
        <v>0.82283834599204153</v>
      </c>
      <c r="BV133">
        <f>VLOOKUP(Table1[[#This Row],[Reference]],metron,10,FALSE)</f>
        <v>2.6359702267612941</v>
      </c>
      <c r="BW133">
        <f>VLOOKUP(Table1[[#This Row],[Reference]],metron,11,FALSE)</f>
        <v>1.684957590444867</v>
      </c>
      <c r="BX133">
        <f>VLOOKUP(Table1[[#This Row],[Reference]],metron,12,FALSE)</f>
        <v>0.95101263631642718</v>
      </c>
      <c r="BY133" s="6">
        <f>VLOOKUP(Table1[[#This Row],[Reference]],metron,13,FALSE)</f>
        <v>0.72650164445213783</v>
      </c>
      <c r="BZ133" s="6">
        <f>VLOOKUP(Table1[[#This Row],[Reference]],metron,14,FALSE)</f>
        <v>0.42097974727367138</v>
      </c>
      <c r="CA133" s="6">
        <f>VLOOKUP(Table1[[#This Row],[Reference]],metron,15,FALSE)</f>
        <v>13.338806970509379</v>
      </c>
      <c r="CB133" s="6">
        <f>VLOOKUP(Table1[[#This Row],[Reference]],metron,16,FALSE)</f>
        <v>9.2530160857908843</v>
      </c>
      <c r="CC133" s="6">
        <f>VLOOKUP(Table1[[#This Row],[Reference]],metron,17,FALSE)</f>
        <v>5.9915081521739131</v>
      </c>
      <c r="CD133" s="6">
        <f>VLOOKUP(Table1[[#This Row],[Reference]],metron,18,FALSE)</f>
        <v>3.9772418478260869</v>
      </c>
      <c r="CE133" s="6">
        <f>VLOOKUP(Table1[[#This Row],[Reference]],metron,19,FALSE)</f>
        <v>7.3472988183354664</v>
      </c>
      <c r="CF133" s="6">
        <f>VLOOKUP(Table1[[#This Row],[Reference]],metron,20,FALSE)</f>
        <v>5.2757742379647974</v>
      </c>
      <c r="CG133" s="6">
        <f>VLOOKUP(Table1[[#This Row],[Reference]],metron,21,FALSE)</f>
        <v>12.59428182437032</v>
      </c>
      <c r="CH133" s="6">
        <f>VLOOKUP(Table1[[#This Row],[Reference]],metron,22,FALSE)</f>
        <v>13.577944179714089</v>
      </c>
      <c r="CI133" s="6">
        <f>VLOOKUP(Table1[[#This Row],[Reference]],metron,23,FALSE)</f>
        <v>1.4276913099870301</v>
      </c>
      <c r="CJ133" s="6">
        <f>VLOOKUP(Table1[[#This Row],[Reference]],metron,24,FALSE)</f>
        <v>1.940985732814527</v>
      </c>
      <c r="CK133" s="6">
        <f>VLOOKUP(Table1[[#This Row],[Reference]],metron,25,FALSE)</f>
        <v>8.0739299610894946E-2</v>
      </c>
      <c r="CL133" s="6">
        <f>VLOOKUP(Table1[[#This Row],[Reference]],metron,26,FALSE)</f>
        <v>0.12743190661478601</v>
      </c>
    </row>
    <row r="134" spans="1:90" hidden="1" x14ac:dyDescent="0.45">
      <c r="A134" t="s">
        <v>696</v>
      </c>
      <c r="B134">
        <v>1635465600</v>
      </c>
      <c r="C134" s="23" t="s">
        <v>339</v>
      </c>
      <c r="D134" t="s">
        <v>65</v>
      </c>
      <c r="E134" t="s">
        <v>66</v>
      </c>
      <c r="F134" t="s">
        <v>97</v>
      </c>
      <c r="G134" t="s">
        <v>106</v>
      </c>
      <c r="H134" t="s">
        <v>108</v>
      </c>
      <c r="I134">
        <f>MROUND(Table1[[#This Row],[ProbH]]*100,2)/100</f>
        <v>0.64</v>
      </c>
      <c r="J134">
        <f>1/Table1[[#This Row],[odds_ft_home_team_win]]-Table1[[#This Row],[Margin]]</f>
        <v>0.63489069587652869</v>
      </c>
      <c r="K134">
        <f>1/Table1[[#This Row],[odds_ft_draw]]-Table1[[#This Row],[Margin]]</f>
        <v>0.22580359720941487</v>
      </c>
      <c r="L134">
        <f>1/Table1[[#This Row],[odds_ft_away_team_win]]-Table1[[#This Row],[Margin]]</f>
        <v>0.13930570691405625</v>
      </c>
      <c r="M134">
        <v>16</v>
      </c>
      <c r="N134">
        <v>1.57</v>
      </c>
      <c r="O134">
        <v>0.28999999999999998</v>
      </c>
      <c r="P134">
        <v>1.55</v>
      </c>
      <c r="Q134">
        <v>0.53</v>
      </c>
      <c r="R134" t="str" cm="1">
        <f t="array" ref="R1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4">
        <v>0</v>
      </c>
      <c r="T134">
        <v>2</v>
      </c>
      <c r="U134">
        <v>2</v>
      </c>
      <c r="V134">
        <v>1</v>
      </c>
      <c r="W134">
        <v>0</v>
      </c>
      <c r="X134">
        <v>1</v>
      </c>
      <c r="Z134" t="s">
        <v>340</v>
      </c>
      <c r="AA134">
        <v>9</v>
      </c>
      <c r="AB134">
        <v>3</v>
      </c>
      <c r="AC134">
        <v>2</v>
      </c>
      <c r="AD134">
        <v>0</v>
      </c>
      <c r="AE134">
        <v>3</v>
      </c>
      <c r="AF134">
        <v>0</v>
      </c>
      <c r="AG134">
        <v>0</v>
      </c>
      <c r="AH134">
        <v>2</v>
      </c>
      <c r="AI134">
        <v>1</v>
      </c>
      <c r="AJ134">
        <v>2</v>
      </c>
      <c r="AK134">
        <v>17</v>
      </c>
      <c r="AL134">
        <v>13</v>
      </c>
      <c r="AM134">
        <v>5</v>
      </c>
      <c r="AN134">
        <v>6</v>
      </c>
      <c r="AO134">
        <v>12</v>
      </c>
      <c r="AP134">
        <v>7</v>
      </c>
      <c r="AQ134">
        <v>7</v>
      </c>
      <c r="AR134">
        <v>14</v>
      </c>
      <c r="AS134">
        <v>64</v>
      </c>
      <c r="AT134">
        <v>36</v>
      </c>
      <c r="AU134">
        <v>1.98</v>
      </c>
      <c r="AV134">
        <v>1.4</v>
      </c>
      <c r="AW134">
        <v>2.15</v>
      </c>
      <c r="AX134">
        <v>43</v>
      </c>
      <c r="AY134">
        <v>72</v>
      </c>
      <c r="AZ134">
        <v>36</v>
      </c>
      <c r="BA134">
        <v>15</v>
      </c>
      <c r="BB134">
        <v>7</v>
      </c>
      <c r="BC134">
        <v>15</v>
      </c>
      <c r="BD134">
        <v>57</v>
      </c>
      <c r="BE134">
        <v>43</v>
      </c>
      <c r="BF134">
        <v>72</v>
      </c>
      <c r="BG134">
        <v>7.29</v>
      </c>
      <c r="BH134">
        <v>5</v>
      </c>
      <c r="BI134">
        <v>1.51</v>
      </c>
      <c r="BJ134">
        <v>3.95</v>
      </c>
      <c r="BK134">
        <v>6</v>
      </c>
      <c r="BL134">
        <f>(1/Table1[[#This Row],[odds_ft_home_team_win]]+1/Table1[[#This Row],[odds_ft_draw]]+1/Table1[[#This Row],[odds_ft_away_team_win]]-1)/3</f>
        <v>2.7360959752610398E-2</v>
      </c>
      <c r="BM134">
        <v>1.33</v>
      </c>
      <c r="BN134">
        <v>2.0499999999999998</v>
      </c>
      <c r="BO134">
        <v>3.5</v>
      </c>
      <c r="BP134">
        <v>6.65</v>
      </c>
      <c r="BQ134">
        <v>2.08</v>
      </c>
      <c r="BR134">
        <v>1.67</v>
      </c>
      <c r="BS134" t="s">
        <v>136</v>
      </c>
      <c r="BT134">
        <f>VLOOKUP(Table1[[#This Row],[Reference]],metron,8,FALSE)</f>
        <v>2.1745910991837163</v>
      </c>
      <c r="BU134">
        <f>VLOOKUP(Table1[[#This Row],[Reference]],metron,9,FALSE)</f>
        <v>0.59796358565236019</v>
      </c>
      <c r="BV134">
        <f>VLOOKUP(Table1[[#This Row],[Reference]],metron,10,FALSE)</f>
        <v>2.8343749999999996</v>
      </c>
      <c r="BW134">
        <f>VLOOKUP(Table1[[#This Row],[Reference]],metron,11,FALSE)</f>
        <v>1.980803571428571</v>
      </c>
      <c r="BX134">
        <f>VLOOKUP(Table1[[#This Row],[Reference]],metron,12,FALSE)</f>
        <v>0.85357142857142854</v>
      </c>
      <c r="BY134" s="6">
        <f>VLOOKUP(Table1[[#This Row],[Reference]],metron,13,FALSE)</f>
        <v>0.8683035714285714</v>
      </c>
      <c r="BZ134" s="6">
        <f>VLOOKUP(Table1[[#This Row],[Reference]],metron,14,FALSE)</f>
        <v>0.36607142857142849</v>
      </c>
      <c r="CA134" s="6">
        <f>VLOOKUP(Table1[[#This Row],[Reference]],metron,15,FALSE)</f>
        <v>15.03980099502488</v>
      </c>
      <c r="CB134" s="6">
        <f>VLOOKUP(Table1[[#This Row],[Reference]],metron,16,FALSE)</f>
        <v>8.6326699834162515</v>
      </c>
      <c r="CC134" s="6">
        <f>VLOOKUP(Table1[[#This Row],[Reference]],metron,17,FALSE)</f>
        <v>6.5189234650967203</v>
      </c>
      <c r="CD134" s="6">
        <f>VLOOKUP(Table1[[#This Row],[Reference]],metron,18,FALSE)</f>
        <v>3.4507989907485279</v>
      </c>
      <c r="CE134" s="6">
        <f>VLOOKUP(Table1[[#This Row],[Reference]],metron,19,FALSE)</f>
        <v>8.5208775299281605</v>
      </c>
      <c r="CF134" s="6">
        <f>VLOOKUP(Table1[[#This Row],[Reference]],metron,20,FALSE)</f>
        <v>5.181870992667724</v>
      </c>
      <c r="CG134" s="6">
        <f>VLOOKUP(Table1[[#This Row],[Reference]],metron,21,FALSE)</f>
        <v>12.48566610455312</v>
      </c>
      <c r="CH134" s="6">
        <f>VLOOKUP(Table1[[#This Row],[Reference]],metron,22,FALSE)</f>
        <v>13.573355817875211</v>
      </c>
      <c r="CI134" s="6">
        <f>VLOOKUP(Table1[[#This Row],[Reference]],metron,23,FALSE)</f>
        <v>1.395273023634882</v>
      </c>
      <c r="CJ134" s="6">
        <f>VLOOKUP(Table1[[#This Row],[Reference]],metron,24,FALSE)</f>
        <v>2.0586797066014668</v>
      </c>
      <c r="CK134" s="6">
        <f>VLOOKUP(Table1[[#This Row],[Reference]],metron,25,FALSE)</f>
        <v>6.8459657701711488E-2</v>
      </c>
      <c r="CL134" s="6">
        <f>VLOOKUP(Table1[[#This Row],[Reference]],metron,26,FALSE)</f>
        <v>0.12713936430317849</v>
      </c>
    </row>
    <row r="135" spans="1:90" hidden="1" x14ac:dyDescent="0.45">
      <c r="A135" t="s">
        <v>696</v>
      </c>
      <c r="B135">
        <v>1635552000</v>
      </c>
      <c r="C135" s="23" t="s">
        <v>341</v>
      </c>
      <c r="D135" t="s">
        <v>65</v>
      </c>
      <c r="E135" t="s">
        <v>66</v>
      </c>
      <c r="F135" t="s">
        <v>72</v>
      </c>
      <c r="G135" t="s">
        <v>113</v>
      </c>
      <c r="H135" t="s">
        <v>103</v>
      </c>
      <c r="I135">
        <f>MROUND(Table1[[#This Row],[ProbH]]*100,2)/100</f>
        <v>0.5</v>
      </c>
      <c r="J135">
        <f>1/Table1[[#This Row],[odds_ft_home_team_win]]-Table1[[#This Row],[Margin]]</f>
        <v>0.50072043026092417</v>
      </c>
      <c r="K135">
        <f>1/Table1[[#This Row],[odds_ft_draw]]-Table1[[#This Row],[Margin]]</f>
        <v>0.24963978486953797</v>
      </c>
      <c r="L135">
        <f>1/Table1[[#This Row],[odds_ft_away_team_win]]-Table1[[#This Row],[Margin]]</f>
        <v>0.24963978486953797</v>
      </c>
      <c r="M135">
        <v>16</v>
      </c>
      <c r="N135">
        <v>1.29</v>
      </c>
      <c r="O135">
        <v>0.71</v>
      </c>
      <c r="P135">
        <v>1.24</v>
      </c>
      <c r="Q135">
        <v>0.72</v>
      </c>
      <c r="R135" t="str" cm="1">
        <f t="array" ref="R1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5">
        <v>2</v>
      </c>
      <c r="T135">
        <v>1</v>
      </c>
      <c r="U135">
        <v>3</v>
      </c>
      <c r="V135">
        <v>1</v>
      </c>
      <c r="W135">
        <v>1</v>
      </c>
      <c r="X135">
        <v>0</v>
      </c>
      <c r="Y135" t="s">
        <v>342</v>
      </c>
      <c r="Z135">
        <v>71</v>
      </c>
      <c r="AA135">
        <v>11</v>
      </c>
      <c r="AB135">
        <v>0</v>
      </c>
      <c r="AC135">
        <v>2</v>
      </c>
      <c r="AD135">
        <v>0</v>
      </c>
      <c r="AE135">
        <v>5</v>
      </c>
      <c r="AF135">
        <v>0</v>
      </c>
      <c r="AG135">
        <v>0</v>
      </c>
      <c r="AH135">
        <v>2</v>
      </c>
      <c r="AI135">
        <v>1</v>
      </c>
      <c r="AJ135">
        <v>4</v>
      </c>
      <c r="AK135">
        <v>15</v>
      </c>
      <c r="AL135">
        <v>11</v>
      </c>
      <c r="AM135">
        <v>9</v>
      </c>
      <c r="AN135">
        <v>6</v>
      </c>
      <c r="AO135">
        <v>6</v>
      </c>
      <c r="AP135">
        <v>5</v>
      </c>
      <c r="AQ135">
        <v>17</v>
      </c>
      <c r="AR135">
        <v>7</v>
      </c>
      <c r="AS135">
        <v>67</v>
      </c>
      <c r="AT135">
        <v>33</v>
      </c>
      <c r="AU135">
        <v>1.96</v>
      </c>
      <c r="AV135">
        <v>1.33</v>
      </c>
      <c r="AW135">
        <v>2.2200000000000002</v>
      </c>
      <c r="AX135">
        <v>14</v>
      </c>
      <c r="AY135">
        <v>71</v>
      </c>
      <c r="AZ135">
        <v>50</v>
      </c>
      <c r="BA135">
        <v>7</v>
      </c>
      <c r="BB135">
        <v>0</v>
      </c>
      <c r="BC135">
        <v>29</v>
      </c>
      <c r="BD135">
        <v>64</v>
      </c>
      <c r="BE135">
        <v>29</v>
      </c>
      <c r="BF135">
        <v>79</v>
      </c>
      <c r="BG135">
        <v>6.57</v>
      </c>
      <c r="BH135">
        <v>2.86</v>
      </c>
      <c r="BI135">
        <v>1.91</v>
      </c>
      <c r="BJ135">
        <v>3.67</v>
      </c>
      <c r="BK135">
        <v>3.67</v>
      </c>
      <c r="BL135">
        <f>(1/Table1[[#This Row],[odds_ft_home_team_win]]+1/Table1[[#This Row],[odds_ft_draw]]+1/Table1[[#This Row],[odds_ft_away_team_win]]-1)/3</f>
        <v>2.2839779163159601E-2</v>
      </c>
      <c r="BM135">
        <v>0</v>
      </c>
      <c r="BN135">
        <v>2.06</v>
      </c>
      <c r="BO135">
        <v>0</v>
      </c>
      <c r="BP135">
        <v>0</v>
      </c>
      <c r="BQ135">
        <v>0</v>
      </c>
      <c r="BR135">
        <v>0</v>
      </c>
      <c r="BS135" t="s">
        <v>76</v>
      </c>
      <c r="BT135">
        <f>VLOOKUP(Table1[[#This Row],[Reference]],metron,8,FALSE)</f>
        <v>1.8001937313313046</v>
      </c>
      <c r="BU135">
        <f>VLOOKUP(Table1[[#This Row],[Reference]],metron,9,FALSE)</f>
        <v>0.9268512077832276</v>
      </c>
      <c r="BV135">
        <f>VLOOKUP(Table1[[#This Row],[Reference]],metron,10,FALSE)</f>
        <v>2.5202079886551649</v>
      </c>
      <c r="BW135">
        <f>VLOOKUP(Table1[[#This Row],[Reference]],metron,11,FALSE)</f>
        <v>1.5342708579532029</v>
      </c>
      <c r="BX135">
        <f>VLOOKUP(Table1[[#This Row],[Reference]],metron,12,FALSE)</f>
        <v>0.98593713070196176</v>
      </c>
      <c r="BY135" s="6">
        <f>VLOOKUP(Table1[[#This Row],[Reference]],metron,13,FALSE)</f>
        <v>0.67513590167809023</v>
      </c>
      <c r="BZ135" s="6">
        <f>VLOOKUP(Table1[[#This Row],[Reference]],metron,14,FALSE)</f>
        <v>0.4286727337194185</v>
      </c>
      <c r="CA135" s="6">
        <f>VLOOKUP(Table1[[#This Row],[Reference]],metron,15,FALSE)</f>
        <v>12.98669114272602</v>
      </c>
      <c r="CB135" s="6">
        <f>VLOOKUP(Table1[[#This Row],[Reference]],metron,16,FALSE)</f>
        <v>9.4167049105094076</v>
      </c>
      <c r="CC135" s="6">
        <f>VLOOKUP(Table1[[#This Row],[Reference]],metron,17,FALSE)</f>
        <v>5.6645716945996272</v>
      </c>
      <c r="CD135" s="6">
        <f>VLOOKUP(Table1[[#This Row],[Reference]],metron,18,FALSE)</f>
        <v>4.0242085661080074</v>
      </c>
      <c r="CE135" s="6">
        <f>VLOOKUP(Table1[[#This Row],[Reference]],metron,19,FALSE)</f>
        <v>7.3221194481263927</v>
      </c>
      <c r="CF135" s="6">
        <f>VLOOKUP(Table1[[#This Row],[Reference]],metron,20,FALSE)</f>
        <v>5.3924963444014002</v>
      </c>
      <c r="CG135" s="6">
        <f>VLOOKUP(Table1[[#This Row],[Reference]],metron,21,FALSE)</f>
        <v>12.508162313432839</v>
      </c>
      <c r="CH135" s="6">
        <f>VLOOKUP(Table1[[#This Row],[Reference]],metron,22,FALSE)</f>
        <v>13.36963619402985</v>
      </c>
      <c r="CI135" s="6">
        <f>VLOOKUP(Table1[[#This Row],[Reference]],metron,23,FALSE)</f>
        <v>1.4438014689517029</v>
      </c>
      <c r="CJ135" s="6">
        <f>VLOOKUP(Table1[[#This Row],[Reference]],metron,24,FALSE)</f>
        <v>1.9410193634542621</v>
      </c>
      <c r="CK135" s="6">
        <f>VLOOKUP(Table1[[#This Row],[Reference]],metron,25,FALSE)</f>
        <v>8.4130870242599604E-2</v>
      </c>
      <c r="CL135" s="6">
        <f>VLOOKUP(Table1[[#This Row],[Reference]],metron,26,FALSE)</f>
        <v>0.1275317160026708</v>
      </c>
    </row>
    <row r="136" spans="1:90" hidden="1" x14ac:dyDescent="0.45">
      <c r="A136" t="s">
        <v>696</v>
      </c>
      <c r="B136">
        <v>1635559200</v>
      </c>
      <c r="C136" s="23" t="s">
        <v>343</v>
      </c>
      <c r="D136" t="s">
        <v>65</v>
      </c>
      <c r="E136" t="s">
        <v>66</v>
      </c>
      <c r="F136" t="s">
        <v>78</v>
      </c>
      <c r="G136" t="s">
        <v>102</v>
      </c>
      <c r="H136" t="s">
        <v>215</v>
      </c>
      <c r="I136">
        <f>MROUND(Table1[[#This Row],[ProbH]]*100,2)/100</f>
        <v>0.42</v>
      </c>
      <c r="J136">
        <f>1/Table1[[#This Row],[odds_ft_home_team_win]]-Table1[[#This Row],[Margin]]</f>
        <v>0.41528416398690676</v>
      </c>
      <c r="K136">
        <f>1/Table1[[#This Row],[odds_ft_draw]]-Table1[[#This Row],[Margin]]</f>
        <v>0.25837781360390699</v>
      </c>
      <c r="L136">
        <f>1/Table1[[#This Row],[odds_ft_away_team_win]]-Table1[[#This Row],[Margin]]</f>
        <v>0.32633802240918625</v>
      </c>
      <c r="M136">
        <v>16</v>
      </c>
      <c r="N136">
        <v>1.57</v>
      </c>
      <c r="O136">
        <v>1.29</v>
      </c>
      <c r="P136">
        <v>0.88</v>
      </c>
      <c r="Q136">
        <v>1.42</v>
      </c>
      <c r="R136" t="str" cm="1">
        <f t="array" ref="R1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6">
        <v>0</v>
      </c>
      <c r="T136">
        <v>2</v>
      </c>
      <c r="U136">
        <v>2</v>
      </c>
      <c r="V136">
        <v>0</v>
      </c>
      <c r="W136">
        <v>0</v>
      </c>
      <c r="X136">
        <v>0</v>
      </c>
      <c r="Z136" t="s">
        <v>344</v>
      </c>
      <c r="AA136">
        <v>1</v>
      </c>
      <c r="AB136">
        <v>9</v>
      </c>
      <c r="AC136">
        <v>1</v>
      </c>
      <c r="AD136">
        <v>0</v>
      </c>
      <c r="AE136">
        <v>2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6</v>
      </c>
      <c r="AL136">
        <v>9</v>
      </c>
      <c r="AM136">
        <v>5</v>
      </c>
      <c r="AN136">
        <v>6</v>
      </c>
      <c r="AO136">
        <v>1</v>
      </c>
      <c r="AP136">
        <v>3</v>
      </c>
      <c r="AQ136">
        <v>8</v>
      </c>
      <c r="AR136">
        <v>10</v>
      </c>
      <c r="AS136">
        <v>52</v>
      </c>
      <c r="AT136">
        <v>48</v>
      </c>
      <c r="AU136">
        <v>1.04</v>
      </c>
      <c r="AV136">
        <v>1.29</v>
      </c>
      <c r="AW136">
        <v>2.0699999999999998</v>
      </c>
      <c r="AX136">
        <v>57</v>
      </c>
      <c r="AY136">
        <v>71</v>
      </c>
      <c r="AZ136">
        <v>29</v>
      </c>
      <c r="BA136">
        <v>15</v>
      </c>
      <c r="BB136">
        <v>0</v>
      </c>
      <c r="BC136">
        <v>36</v>
      </c>
      <c r="BD136">
        <v>65</v>
      </c>
      <c r="BE136">
        <v>29</v>
      </c>
      <c r="BF136">
        <v>65</v>
      </c>
      <c r="BG136">
        <v>7.15</v>
      </c>
      <c r="BH136">
        <v>5.57</v>
      </c>
      <c r="BI136">
        <v>2.2799999999999998</v>
      </c>
      <c r="BJ136">
        <v>3.55</v>
      </c>
      <c r="BK136">
        <v>2.86</v>
      </c>
      <c r="BL136">
        <f>(1/Table1[[#This Row],[odds_ft_home_team_win]]+1/Table1[[#This Row],[odds_ft_draw]]+1/Table1[[#This Row],[odds_ft_away_team_win]]-1)/3</f>
        <v>2.3312327241163427E-2</v>
      </c>
      <c r="BM136">
        <v>1.53</v>
      </c>
      <c r="BN136">
        <v>2.12</v>
      </c>
      <c r="BO136">
        <v>4.0199999999999996</v>
      </c>
      <c r="BP136">
        <v>7.9</v>
      </c>
      <c r="BQ136">
        <v>1.9</v>
      </c>
      <c r="BR136">
        <v>1.8</v>
      </c>
      <c r="BS136" t="s">
        <v>82</v>
      </c>
      <c r="BT136">
        <f>VLOOKUP(Table1[[#This Row],[Reference]],metron,8,FALSE)</f>
        <v>1.5780106027030405</v>
      </c>
      <c r="BU136">
        <f>VLOOKUP(Table1[[#This Row],[Reference]],metron,9,FALSE)</f>
        <v>1.1353025412447635</v>
      </c>
      <c r="BV136">
        <f>VLOOKUP(Table1[[#This Row],[Reference]],metron,10,FALSE)</f>
        <v>2.4884649511978703</v>
      </c>
      <c r="BW136">
        <f>VLOOKUP(Table1[[#This Row],[Reference]],metron,11,FALSE)</f>
        <v>1.396960958296362</v>
      </c>
      <c r="BX136">
        <f>VLOOKUP(Table1[[#This Row],[Reference]],metron,12,FALSE)</f>
        <v>1.091503992901508</v>
      </c>
      <c r="BY136" s="6">
        <f>VLOOKUP(Table1[[#This Row],[Reference]],metron,13,FALSE)</f>
        <v>0.60765391014975045</v>
      </c>
      <c r="BZ136" s="6">
        <f>VLOOKUP(Table1[[#This Row],[Reference]],metron,14,FALSE)</f>
        <v>0.47276760953965608</v>
      </c>
      <c r="CA136" s="6">
        <f>VLOOKUP(Table1[[#This Row],[Reference]],metron,15,FALSE)</f>
        <v>12.29504785684561</v>
      </c>
      <c r="CB136" s="6">
        <f>VLOOKUP(Table1[[#This Row],[Reference]],metron,16,FALSE)</f>
        <v>10.047232625884311</v>
      </c>
      <c r="CC136" s="6">
        <f>VLOOKUP(Table1[[#This Row],[Reference]],metron,17,FALSE)</f>
        <v>5.2917192097519967</v>
      </c>
      <c r="CD136" s="6">
        <f>VLOOKUP(Table1[[#This Row],[Reference]],metron,18,FALSE)</f>
        <v>4.2580916351408158</v>
      </c>
      <c r="CE136" s="6">
        <f>VLOOKUP(Table1[[#This Row],[Reference]],metron,19,FALSE)</f>
        <v>7.0033286470936131</v>
      </c>
      <c r="CF136" s="6">
        <f>VLOOKUP(Table1[[#This Row],[Reference]],metron,20,FALSE)</f>
        <v>5.789140990743495</v>
      </c>
      <c r="CG136" s="6">
        <f>VLOOKUP(Table1[[#This Row],[Reference]],metron,21,FALSE)</f>
        <v>12.77041895895049</v>
      </c>
      <c r="CH136" s="6">
        <f>VLOOKUP(Table1[[#This Row],[Reference]],metron,22,FALSE)</f>
        <v>13.411129919593741</v>
      </c>
      <c r="CI136" s="6">
        <f>VLOOKUP(Table1[[#This Row],[Reference]],metron,23,FALSE)</f>
        <v>1.556141062018646</v>
      </c>
      <c r="CJ136" s="6">
        <f>VLOOKUP(Table1[[#This Row],[Reference]],metron,24,FALSE)</f>
        <v>1.9114308877178761</v>
      </c>
      <c r="CK136" s="6">
        <f>VLOOKUP(Table1[[#This Row],[Reference]],metron,25,FALSE)</f>
        <v>8.4920956627482766E-2</v>
      </c>
      <c r="CL136" s="6">
        <f>VLOOKUP(Table1[[#This Row],[Reference]],metron,26,FALSE)</f>
        <v>0.1323469801378192</v>
      </c>
    </row>
    <row r="137" spans="1:90" hidden="1" x14ac:dyDescent="0.45">
      <c r="A137" t="s">
        <v>696</v>
      </c>
      <c r="B137">
        <v>1635631200</v>
      </c>
      <c r="C137" s="23" t="s">
        <v>345</v>
      </c>
      <c r="D137" t="s">
        <v>65</v>
      </c>
      <c r="E137" t="s">
        <v>66</v>
      </c>
      <c r="F137" t="s">
        <v>67</v>
      </c>
      <c r="G137" t="s">
        <v>73</v>
      </c>
      <c r="H137" t="s">
        <v>74</v>
      </c>
      <c r="I137">
        <f>MROUND(Table1[[#This Row],[ProbH]]*100,2)/100</f>
        <v>0.38</v>
      </c>
      <c r="J137">
        <f>1/Table1[[#This Row],[odds_ft_home_team_win]]-Table1[[#This Row],[Margin]]</f>
        <v>0.38009259259259259</v>
      </c>
      <c r="K137">
        <f>1/Table1[[#This Row],[odds_ft_draw]]-Table1[[#This Row],[Margin]]</f>
        <v>0.29259259259259257</v>
      </c>
      <c r="L137">
        <f>1/Table1[[#This Row],[odds_ft_away_team_win]]-Table1[[#This Row],[Margin]]</f>
        <v>0.32731481481481478</v>
      </c>
      <c r="M137">
        <v>16</v>
      </c>
      <c r="N137">
        <v>1.57</v>
      </c>
      <c r="O137">
        <v>1</v>
      </c>
      <c r="P137">
        <v>1.24</v>
      </c>
      <c r="Q137">
        <v>1.1100000000000001</v>
      </c>
      <c r="R137" t="str" cm="1">
        <f t="array" ref="R1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7">
        <v>2</v>
      </c>
      <c r="T137">
        <v>3</v>
      </c>
      <c r="U137">
        <v>5</v>
      </c>
      <c r="V137">
        <v>2</v>
      </c>
      <c r="W137">
        <v>0</v>
      </c>
      <c r="X137">
        <v>2</v>
      </c>
      <c r="Y137" t="s">
        <v>346</v>
      </c>
      <c r="Z137" t="s">
        <v>347</v>
      </c>
      <c r="AA137">
        <v>7</v>
      </c>
      <c r="AB137">
        <v>8</v>
      </c>
      <c r="AC137">
        <v>3</v>
      </c>
      <c r="AD137">
        <v>1</v>
      </c>
      <c r="AE137">
        <v>2</v>
      </c>
      <c r="AF137">
        <v>1</v>
      </c>
      <c r="AG137">
        <v>1</v>
      </c>
      <c r="AH137">
        <v>3</v>
      </c>
      <c r="AI137">
        <v>1</v>
      </c>
      <c r="AJ137">
        <v>2</v>
      </c>
      <c r="AK137">
        <v>17</v>
      </c>
      <c r="AL137">
        <v>18</v>
      </c>
      <c r="AM137">
        <v>5</v>
      </c>
      <c r="AN137">
        <v>9</v>
      </c>
      <c r="AO137">
        <v>12</v>
      </c>
      <c r="AP137">
        <v>9</v>
      </c>
      <c r="AQ137">
        <v>15</v>
      </c>
      <c r="AR137">
        <v>19</v>
      </c>
      <c r="AS137">
        <v>50</v>
      </c>
      <c r="AT137">
        <v>50</v>
      </c>
      <c r="AU137">
        <v>1.72</v>
      </c>
      <c r="AV137">
        <v>2.02</v>
      </c>
      <c r="AW137">
        <v>1.97</v>
      </c>
      <c r="AX137">
        <v>49</v>
      </c>
      <c r="AY137">
        <v>72</v>
      </c>
      <c r="AZ137">
        <v>32</v>
      </c>
      <c r="BA137">
        <v>0</v>
      </c>
      <c r="BB137">
        <v>0</v>
      </c>
      <c r="BC137">
        <v>16</v>
      </c>
      <c r="BD137">
        <v>69</v>
      </c>
      <c r="BE137">
        <v>25</v>
      </c>
      <c r="BF137">
        <v>79</v>
      </c>
      <c r="BG137">
        <v>10.24</v>
      </c>
      <c r="BH137">
        <v>5.57</v>
      </c>
      <c r="BI137">
        <v>2.5</v>
      </c>
      <c r="BJ137">
        <v>3.2</v>
      </c>
      <c r="BK137">
        <v>2.88</v>
      </c>
      <c r="BL137">
        <f>(1/Table1[[#This Row],[odds_ft_home_team_win]]+1/Table1[[#This Row],[odds_ft_draw]]+1/Table1[[#This Row],[odds_ft_away_team_win]]-1)/3</f>
        <v>1.9907407407407412E-2</v>
      </c>
      <c r="BM137">
        <v>1.36</v>
      </c>
      <c r="BN137">
        <v>2.12</v>
      </c>
      <c r="BO137">
        <v>3.75</v>
      </c>
      <c r="BP137">
        <v>7.35</v>
      </c>
      <c r="BQ137">
        <v>1.82</v>
      </c>
      <c r="BR137">
        <v>1.89</v>
      </c>
      <c r="BS137" t="s">
        <v>70</v>
      </c>
      <c r="BT137">
        <f>VLOOKUP(Table1[[#This Row],[Reference]],metron,8,FALSE)</f>
        <v>1.464160929441638</v>
      </c>
      <c r="BU137">
        <f>VLOOKUP(Table1[[#This Row],[Reference]],metron,9,FALSE)</f>
        <v>1.2477119808919459</v>
      </c>
      <c r="BV137">
        <f>VLOOKUP(Table1[[#This Row],[Reference]],metron,10,FALSE)</f>
        <v>2.4900895140664963</v>
      </c>
      <c r="BW137">
        <f>VLOOKUP(Table1[[#This Row],[Reference]],metron,11,FALSE)</f>
        <v>1.330562659846547</v>
      </c>
      <c r="BX137">
        <f>VLOOKUP(Table1[[#This Row],[Reference]],metron,12,FALSE)</f>
        <v>1.1595268542199491</v>
      </c>
      <c r="BY137" s="6">
        <f>VLOOKUP(Table1[[#This Row],[Reference]],metron,13,FALSE)</f>
        <v>0.59053607588191415</v>
      </c>
      <c r="BZ137" s="6">
        <f>VLOOKUP(Table1[[#This Row],[Reference]],metron,14,FALSE)</f>
        <v>0.50069274219332838</v>
      </c>
      <c r="CA137" s="6">
        <f>VLOOKUP(Table1[[#This Row],[Reference]],metron,15,FALSE)</f>
        <v>11.79715236686391</v>
      </c>
      <c r="CB137" s="6">
        <f>VLOOKUP(Table1[[#This Row],[Reference]],metron,16,FALSE)</f>
        <v>10.317122781065089</v>
      </c>
      <c r="CC137" s="6">
        <f>VLOOKUP(Table1[[#This Row],[Reference]],metron,17,FALSE)</f>
        <v>5.0637025966747622</v>
      </c>
      <c r="CD137" s="6">
        <f>VLOOKUP(Table1[[#This Row],[Reference]],metron,18,FALSE)</f>
        <v>4.4674014571268454</v>
      </c>
      <c r="CE137" s="6">
        <f>VLOOKUP(Table1[[#This Row],[Reference]],metron,19,FALSE)</f>
        <v>6.7334497701891483</v>
      </c>
      <c r="CF137" s="6">
        <f>VLOOKUP(Table1[[#This Row],[Reference]],metron,20,FALSE)</f>
        <v>5.849721323938244</v>
      </c>
      <c r="CG137" s="6">
        <f>VLOOKUP(Table1[[#This Row],[Reference]],metron,21,FALSE)</f>
        <v>12.89644194756554</v>
      </c>
      <c r="CH137" s="6">
        <f>VLOOKUP(Table1[[#This Row],[Reference]],metron,22,FALSE)</f>
        <v>13.3434456928839</v>
      </c>
      <c r="CI137" s="6">
        <f>VLOOKUP(Table1[[#This Row],[Reference]],metron,23,FALSE)</f>
        <v>1.6144382124117971</v>
      </c>
      <c r="CJ137" s="6">
        <f>VLOOKUP(Table1[[#This Row],[Reference]],metron,24,FALSE)</f>
        <v>1.9032024606477289</v>
      </c>
      <c r="CK137" s="6">
        <f>VLOOKUP(Table1[[#This Row],[Reference]],metron,25,FALSE)</f>
        <v>9.372172969060974E-2</v>
      </c>
      <c r="CL137" s="6">
        <f>VLOOKUP(Table1[[#This Row],[Reference]],metron,26,FALSE)</f>
        <v>0.11669983716301791</v>
      </c>
    </row>
    <row r="138" spans="1:90" hidden="1" x14ac:dyDescent="0.45">
      <c r="A138" t="s">
        <v>696</v>
      </c>
      <c r="B138">
        <v>1635642360</v>
      </c>
      <c r="C138" s="23" t="s">
        <v>348</v>
      </c>
      <c r="D138" t="s">
        <v>65</v>
      </c>
      <c r="E138" t="s">
        <v>66</v>
      </c>
      <c r="F138" t="s">
        <v>84</v>
      </c>
      <c r="G138" t="s">
        <v>96</v>
      </c>
      <c r="H138" t="s">
        <v>122</v>
      </c>
      <c r="I138">
        <f>MROUND(Table1[[#This Row],[ProbH]]*100,2)/100</f>
        <v>0.52</v>
      </c>
      <c r="J138">
        <f>1/Table1[[#This Row],[odds_ft_home_team_win]]-Table1[[#This Row],[Margin]]</f>
        <v>0.52131651179773864</v>
      </c>
      <c r="K138">
        <f>1/Table1[[#This Row],[odds_ft_draw]]-Table1[[#This Row],[Margin]]</f>
        <v>0.25690614691143515</v>
      </c>
      <c r="L138">
        <f>1/Table1[[#This Row],[odds_ft_away_team_win]]-Table1[[#This Row],[Margin]]</f>
        <v>0.22177734129082624</v>
      </c>
      <c r="M138">
        <v>16</v>
      </c>
      <c r="N138">
        <v>1.29</v>
      </c>
      <c r="O138">
        <v>0.71</v>
      </c>
      <c r="P138">
        <v>1.89</v>
      </c>
      <c r="Q138">
        <v>1.1000000000000001</v>
      </c>
      <c r="R138" t="str" cm="1">
        <f t="array" ref="R1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38">
        <v>1</v>
      </c>
      <c r="T138">
        <v>1</v>
      </c>
      <c r="U138">
        <v>2</v>
      </c>
      <c r="V138">
        <v>1</v>
      </c>
      <c r="W138">
        <v>0</v>
      </c>
      <c r="X138">
        <v>1</v>
      </c>
      <c r="Y138">
        <v>88</v>
      </c>
      <c r="Z138">
        <v>28</v>
      </c>
      <c r="AA138">
        <v>9</v>
      </c>
      <c r="AB138">
        <v>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22</v>
      </c>
      <c r="AL138">
        <v>9</v>
      </c>
      <c r="AM138">
        <v>7</v>
      </c>
      <c r="AN138">
        <v>5</v>
      </c>
      <c r="AO138">
        <v>15</v>
      </c>
      <c r="AP138">
        <v>4</v>
      </c>
      <c r="AQ138">
        <v>7</v>
      </c>
      <c r="AR138">
        <v>5</v>
      </c>
      <c r="AS138">
        <v>61</v>
      </c>
      <c r="AT138">
        <v>39</v>
      </c>
      <c r="AU138">
        <v>2.36</v>
      </c>
      <c r="AV138">
        <v>1.17</v>
      </c>
      <c r="AW138">
        <v>2.29</v>
      </c>
      <c r="AX138">
        <v>50</v>
      </c>
      <c r="AY138">
        <v>79</v>
      </c>
      <c r="AZ138">
        <v>43</v>
      </c>
      <c r="BA138">
        <v>14</v>
      </c>
      <c r="BB138">
        <v>0</v>
      </c>
      <c r="BC138">
        <v>22</v>
      </c>
      <c r="BD138">
        <v>79</v>
      </c>
      <c r="BE138">
        <v>36</v>
      </c>
      <c r="BF138">
        <v>72</v>
      </c>
      <c r="BG138">
        <v>8.43</v>
      </c>
      <c r="BH138">
        <v>5.86</v>
      </c>
      <c r="BI138">
        <v>1.86</v>
      </c>
      <c r="BJ138">
        <v>3.66</v>
      </c>
      <c r="BK138">
        <v>4.2</v>
      </c>
      <c r="BL138">
        <f>(1/Table1[[#This Row],[odds_ft_home_team_win]]+1/Table1[[#This Row],[odds_ft_draw]]+1/Table1[[#This Row],[odds_ft_away_team_win]]-1)/3</f>
        <v>1.6317896804411831E-2</v>
      </c>
      <c r="BM138">
        <v>1.33</v>
      </c>
      <c r="BN138">
        <v>2</v>
      </c>
      <c r="BO138">
        <v>3.4</v>
      </c>
      <c r="BP138">
        <v>6</v>
      </c>
      <c r="BQ138">
        <v>1.85</v>
      </c>
      <c r="BR138">
        <v>1.85</v>
      </c>
      <c r="BS138" t="s">
        <v>88</v>
      </c>
      <c r="BT138">
        <f>VLOOKUP(Table1[[#This Row],[Reference]],metron,8,FALSE)</f>
        <v>1.8614830167843088</v>
      </c>
      <c r="BU138">
        <f>VLOOKUP(Table1[[#This Row],[Reference]],metron,9,FALSE)</f>
        <v>0.87079851622593896</v>
      </c>
      <c r="BV138">
        <f>VLOOKUP(Table1[[#This Row],[Reference]],metron,10,FALSE)</f>
        <v>2.5967403582378576</v>
      </c>
      <c r="BW138">
        <f>VLOOKUP(Table1[[#This Row],[Reference]],metron,11,FALSE)</f>
        <v>1.625948039373891</v>
      </c>
      <c r="BX138">
        <f>VLOOKUP(Table1[[#This Row],[Reference]],metron,12,FALSE)</f>
        <v>0.97079231886396644</v>
      </c>
      <c r="BY138" s="6">
        <f>VLOOKUP(Table1[[#This Row],[Reference]],metron,13,FALSE)</f>
        <v>0.71433182698515174</v>
      </c>
      <c r="BZ138" s="6">
        <f>VLOOKUP(Table1[[#This Row],[Reference]],metron,14,FALSE)</f>
        <v>0.43011620400258233</v>
      </c>
      <c r="CA138" s="6">
        <f>VLOOKUP(Table1[[#This Row],[Reference]],metron,15,FALSE)</f>
        <v>13.39951055368614</v>
      </c>
      <c r="CB138" s="6">
        <f>VLOOKUP(Table1[[#This Row],[Reference]],metron,16,FALSE)</f>
        <v>9.4252064851636579</v>
      </c>
      <c r="CC138" s="6">
        <f>VLOOKUP(Table1[[#This Row],[Reference]],metron,17,FALSE)</f>
        <v>5.7628422023992618</v>
      </c>
      <c r="CD138" s="6">
        <f>VLOOKUP(Table1[[#This Row],[Reference]],metron,18,FALSE)</f>
        <v>3.9375576745616732</v>
      </c>
      <c r="CE138" s="6">
        <f>VLOOKUP(Table1[[#This Row],[Reference]],metron,19,FALSE)</f>
        <v>7.636668351286878</v>
      </c>
      <c r="CF138" s="6">
        <f>VLOOKUP(Table1[[#This Row],[Reference]],metron,20,FALSE)</f>
        <v>5.4876488106019847</v>
      </c>
      <c r="CG138" s="6">
        <f>VLOOKUP(Table1[[#This Row],[Reference]],metron,21,FALSE)</f>
        <v>12.460420531849101</v>
      </c>
      <c r="CH138" s="6">
        <f>VLOOKUP(Table1[[#This Row],[Reference]],metron,22,FALSE)</f>
        <v>13.44897959183673</v>
      </c>
      <c r="CI138" s="6">
        <f>VLOOKUP(Table1[[#This Row],[Reference]],metron,23,FALSE)</f>
        <v>1.462202380952381</v>
      </c>
      <c r="CJ138" s="6">
        <f>VLOOKUP(Table1[[#This Row],[Reference]],metron,24,FALSE)</f>
        <v>2.01547619047619</v>
      </c>
      <c r="CK138" s="6">
        <f>VLOOKUP(Table1[[#This Row],[Reference]],metron,25,FALSE)</f>
        <v>7.7380952380952384E-2</v>
      </c>
      <c r="CL138" s="6">
        <f>VLOOKUP(Table1[[#This Row],[Reference]],metron,26,FALSE)</f>
        <v>0.13754093480202439</v>
      </c>
    </row>
    <row r="139" spans="1:90" hidden="1" x14ac:dyDescent="0.45">
      <c r="A139" t="s">
        <v>696</v>
      </c>
      <c r="B139">
        <v>1635646200</v>
      </c>
      <c r="C139" s="23" t="s">
        <v>349</v>
      </c>
      <c r="D139" t="s">
        <v>65</v>
      </c>
      <c r="E139" t="s">
        <v>66</v>
      </c>
      <c r="F139" t="s">
        <v>107</v>
      </c>
      <c r="G139" t="s">
        <v>90</v>
      </c>
      <c r="H139" t="s">
        <v>114</v>
      </c>
      <c r="I139">
        <f>MROUND(Table1[[#This Row],[ProbH]]*100,2)/100</f>
        <v>0.56000000000000005</v>
      </c>
      <c r="J139">
        <f>1/Table1[[#This Row],[odds_ft_home_team_win]]-Table1[[#This Row],[Margin]]</f>
        <v>0.55462543587810376</v>
      </c>
      <c r="K139">
        <f>1/Table1[[#This Row],[odds_ft_draw]]-Table1[[#This Row],[Margin]]</f>
        <v>0.26648298342970234</v>
      </c>
      <c r="L139">
        <f>1/Table1[[#This Row],[odds_ft_away_team_win]]-Table1[[#This Row],[Margin]]</f>
        <v>0.1788915806921938</v>
      </c>
      <c r="M139">
        <v>16</v>
      </c>
      <c r="N139">
        <v>1.57</v>
      </c>
      <c r="O139">
        <v>1.1399999999999999</v>
      </c>
      <c r="P139">
        <v>2</v>
      </c>
      <c r="Q139">
        <v>1.32</v>
      </c>
      <c r="R139" t="str" cm="1">
        <f t="array" ref="R1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9">
        <v>2</v>
      </c>
      <c r="T139">
        <v>1</v>
      </c>
      <c r="U139">
        <v>3</v>
      </c>
      <c r="V139">
        <v>1</v>
      </c>
      <c r="W139">
        <v>1</v>
      </c>
      <c r="X139">
        <v>0</v>
      </c>
      <c r="Y139" t="s">
        <v>350</v>
      </c>
      <c r="Z139">
        <v>86</v>
      </c>
      <c r="AA139">
        <v>2</v>
      </c>
      <c r="AB139">
        <v>6</v>
      </c>
      <c r="AC139">
        <v>3</v>
      </c>
      <c r="AD139">
        <v>0</v>
      </c>
      <c r="AE139">
        <v>3</v>
      </c>
      <c r="AF139">
        <v>0</v>
      </c>
      <c r="AG139">
        <v>2</v>
      </c>
      <c r="AH139">
        <v>1</v>
      </c>
      <c r="AI139">
        <v>1</v>
      </c>
      <c r="AJ139">
        <v>2</v>
      </c>
      <c r="AK139">
        <v>10</v>
      </c>
      <c r="AL139">
        <v>14</v>
      </c>
      <c r="AM139">
        <v>4</v>
      </c>
      <c r="AN139">
        <v>4</v>
      </c>
      <c r="AO139">
        <v>6</v>
      </c>
      <c r="AP139">
        <v>10</v>
      </c>
      <c r="AQ139">
        <v>10</v>
      </c>
      <c r="AR139">
        <v>8</v>
      </c>
      <c r="AS139">
        <v>46</v>
      </c>
      <c r="AT139">
        <v>54</v>
      </c>
      <c r="AU139">
        <v>1.26</v>
      </c>
      <c r="AV139">
        <v>1.5</v>
      </c>
      <c r="AW139">
        <v>1.22</v>
      </c>
      <c r="AX139">
        <v>22</v>
      </c>
      <c r="AY139">
        <v>43</v>
      </c>
      <c r="AZ139">
        <v>22</v>
      </c>
      <c r="BA139">
        <v>7</v>
      </c>
      <c r="BB139">
        <v>0</v>
      </c>
      <c r="BC139">
        <v>15</v>
      </c>
      <c r="BD139">
        <v>36</v>
      </c>
      <c r="BE139">
        <v>14</v>
      </c>
      <c r="BF139">
        <v>50</v>
      </c>
      <c r="BG139">
        <v>9.86</v>
      </c>
      <c r="BH139">
        <v>5.14</v>
      </c>
      <c r="BI139">
        <v>1.75</v>
      </c>
      <c r="BJ139">
        <v>3.53</v>
      </c>
      <c r="BK139">
        <v>5.1100000000000003</v>
      </c>
      <c r="BL139">
        <f>(1/Table1[[#This Row],[odds_ft_home_team_win]]+1/Table1[[#This Row],[odds_ft_draw]]+1/Table1[[#This Row],[odds_ft_away_team_win]]-1)/3</f>
        <v>1.6803135550467641E-2</v>
      </c>
      <c r="BM139">
        <v>1.36</v>
      </c>
      <c r="BN139">
        <v>2</v>
      </c>
      <c r="BO139">
        <v>3.5</v>
      </c>
      <c r="BP139">
        <v>6.5</v>
      </c>
      <c r="BQ139">
        <v>1.91</v>
      </c>
      <c r="BR139">
        <v>1.8</v>
      </c>
      <c r="BS139" t="s">
        <v>161</v>
      </c>
      <c r="BT139">
        <f>VLOOKUP(Table1[[#This Row],[Reference]],metron,8,FALSE)</f>
        <v>1.9673156855724254</v>
      </c>
      <c r="BU139">
        <f>VLOOKUP(Table1[[#This Row],[Reference]],metron,9,FALSE)</f>
        <v>0.77729484582409181</v>
      </c>
      <c r="BV139">
        <f>VLOOKUP(Table1[[#This Row],[Reference]],metron,10,FALSE)</f>
        <v>2.6892488954344627</v>
      </c>
      <c r="BW139">
        <f>VLOOKUP(Table1[[#This Row],[Reference]],metron,11,FALSE)</f>
        <v>1.7546812539448771</v>
      </c>
      <c r="BX139">
        <f>VLOOKUP(Table1[[#This Row],[Reference]],metron,12,FALSE)</f>
        <v>0.93456764148958549</v>
      </c>
      <c r="BY139" s="6">
        <f>VLOOKUP(Table1[[#This Row],[Reference]],metron,13,FALSE)</f>
        <v>0.77824531874605507</v>
      </c>
      <c r="BZ139" s="6">
        <f>VLOOKUP(Table1[[#This Row],[Reference]],metron,14,FALSE)</f>
        <v>0.41237113402061848</v>
      </c>
      <c r="CA139" s="6">
        <f>VLOOKUP(Table1[[#This Row],[Reference]],metron,15,FALSE)</f>
        <v>13.77153558052435</v>
      </c>
      <c r="CB139" s="6">
        <f>VLOOKUP(Table1[[#This Row],[Reference]],metron,16,FALSE)</f>
        <v>9.0445692883895124</v>
      </c>
      <c r="CC139" s="6">
        <f>VLOOKUP(Table1[[#This Row],[Reference]],metron,17,FALSE)</f>
        <v>6.0821292775665396</v>
      </c>
      <c r="CD139" s="6">
        <f>VLOOKUP(Table1[[#This Row],[Reference]],metron,18,FALSE)</f>
        <v>3.8201520912547529</v>
      </c>
      <c r="CE139" s="6">
        <f>VLOOKUP(Table1[[#This Row],[Reference]],metron,19,FALSE)</f>
        <v>7.6894063029578108</v>
      </c>
      <c r="CF139" s="6">
        <f>VLOOKUP(Table1[[#This Row],[Reference]],metron,20,FALSE)</f>
        <v>5.224417197134759</v>
      </c>
      <c r="CG139" s="6">
        <f>VLOOKUP(Table1[[#This Row],[Reference]],metron,21,FALSE)</f>
        <v>12.297605473204101</v>
      </c>
      <c r="CH139" s="6">
        <f>VLOOKUP(Table1[[#This Row],[Reference]],metron,22,FALSE)</f>
        <v>13.310908399847969</v>
      </c>
      <c r="CI139" s="6">
        <f>VLOOKUP(Table1[[#This Row],[Reference]],metron,23,FALSE)</f>
        <v>1.3713126843657819</v>
      </c>
      <c r="CJ139" s="6">
        <f>VLOOKUP(Table1[[#This Row],[Reference]],metron,24,FALSE)</f>
        <v>1.9516961651917399</v>
      </c>
      <c r="CK139" s="6">
        <f>VLOOKUP(Table1[[#This Row],[Reference]],metron,25,FALSE)</f>
        <v>6.6002949852507375E-2</v>
      </c>
      <c r="CL139" s="6">
        <f>VLOOKUP(Table1[[#This Row],[Reference]],metron,26,FALSE)</f>
        <v>0.1297935103244838</v>
      </c>
    </row>
    <row r="140" spans="1:90" hidden="1" x14ac:dyDescent="0.45">
      <c r="A140" t="s">
        <v>696</v>
      </c>
      <c r="B140">
        <v>1635703200</v>
      </c>
      <c r="C140" s="23" t="s">
        <v>351</v>
      </c>
      <c r="D140" t="s">
        <v>65</v>
      </c>
      <c r="E140" t="s">
        <v>66</v>
      </c>
      <c r="F140" t="s">
        <v>79</v>
      </c>
      <c r="G140" t="s">
        <v>85</v>
      </c>
      <c r="H140" t="s">
        <v>69</v>
      </c>
      <c r="I140">
        <f>MROUND(Table1[[#This Row],[ProbH]]*100,2)/100</f>
        <v>0.4</v>
      </c>
      <c r="J140">
        <f>1/Table1[[#This Row],[odds_ft_home_team_win]]-Table1[[#This Row],[Margin]]</f>
        <v>0.40455041296556027</v>
      </c>
      <c r="K140">
        <f>1/Table1[[#This Row],[odds_ft_draw]]-Table1[[#This Row],[Margin]]</f>
        <v>0.29234844943119837</v>
      </c>
      <c r="L140">
        <f>1/Table1[[#This Row],[odds_ft_away_team_win]]-Table1[[#This Row],[Margin]]</f>
        <v>0.30310113760324137</v>
      </c>
      <c r="M140">
        <v>16</v>
      </c>
      <c r="N140">
        <v>1.71</v>
      </c>
      <c r="O140">
        <v>1.86</v>
      </c>
      <c r="P140">
        <v>1.17</v>
      </c>
      <c r="Q140">
        <v>1.4</v>
      </c>
      <c r="R140" t="str" cm="1">
        <f t="array" ref="R1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AA140">
        <v>4</v>
      </c>
      <c r="AB140">
        <v>5</v>
      </c>
      <c r="AC140">
        <v>1</v>
      </c>
      <c r="AD140">
        <v>0</v>
      </c>
      <c r="AE140">
        <v>2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7</v>
      </c>
      <c r="AL140">
        <v>13</v>
      </c>
      <c r="AM140">
        <v>0</v>
      </c>
      <c r="AN140">
        <v>6</v>
      </c>
      <c r="AO140">
        <v>7</v>
      </c>
      <c r="AP140">
        <v>7</v>
      </c>
      <c r="AQ140">
        <v>10</v>
      </c>
      <c r="AR140">
        <v>5</v>
      </c>
      <c r="AS140">
        <v>47</v>
      </c>
      <c r="AT140">
        <v>53</v>
      </c>
      <c r="AU140">
        <v>0.73</v>
      </c>
      <c r="AV140">
        <v>1.6</v>
      </c>
      <c r="AW140">
        <v>2.72</v>
      </c>
      <c r="AX140">
        <v>57</v>
      </c>
      <c r="AY140">
        <v>79</v>
      </c>
      <c r="AZ140">
        <v>57</v>
      </c>
      <c r="BA140">
        <v>36</v>
      </c>
      <c r="BB140">
        <v>0</v>
      </c>
      <c r="BC140">
        <v>43</v>
      </c>
      <c r="BD140">
        <v>71</v>
      </c>
      <c r="BE140">
        <v>36</v>
      </c>
      <c r="BF140">
        <v>71</v>
      </c>
      <c r="BG140">
        <v>9.58</v>
      </c>
      <c r="BH140">
        <v>5.57</v>
      </c>
      <c r="BI140">
        <v>2.2999999999999998</v>
      </c>
      <c r="BJ140">
        <v>3.1</v>
      </c>
      <c r="BK140">
        <v>3</v>
      </c>
      <c r="BL140">
        <f>(1/Table1[[#This Row],[odds_ft_home_team_win]]+1/Table1[[#This Row],[odds_ft_draw]]+1/Table1[[#This Row],[odds_ft_away_team_win]]-1)/3</f>
        <v>3.0232195730091949E-2</v>
      </c>
      <c r="BM140">
        <v>1.3</v>
      </c>
      <c r="BN140">
        <v>1.95</v>
      </c>
      <c r="BO140">
        <v>3.25</v>
      </c>
      <c r="BP140">
        <v>5.5</v>
      </c>
      <c r="BQ140">
        <v>1.7</v>
      </c>
      <c r="BR140">
        <v>2.0499999999999998</v>
      </c>
      <c r="BS140" t="s">
        <v>140</v>
      </c>
      <c r="BT140">
        <f>VLOOKUP(Table1[[#This Row],[Reference]],metron,8,FALSE)</f>
        <v>1.5181603563290151</v>
      </c>
      <c r="BU140">
        <f>VLOOKUP(Table1[[#This Row],[Reference]],metron,9,FALSE)</f>
        <v>1.1952730370775513</v>
      </c>
      <c r="BV140">
        <f>VLOOKUP(Table1[[#This Row],[Reference]],metron,10,FALSE)</f>
        <v>2.4956155335383219</v>
      </c>
      <c r="BW140">
        <f>VLOOKUP(Table1[[#This Row],[Reference]],metron,11,FALSE)</f>
        <v>1.344038264434575</v>
      </c>
      <c r="BX140">
        <f>VLOOKUP(Table1[[#This Row],[Reference]],metron,12,FALSE)</f>
        <v>1.1515772691037469</v>
      </c>
      <c r="BY140" s="6">
        <f>VLOOKUP(Table1[[#This Row],[Reference]],metron,13,FALSE)</f>
        <v>0.59936225942375587</v>
      </c>
      <c r="BZ140" s="6">
        <f>VLOOKUP(Table1[[#This Row],[Reference]],metron,14,FALSE)</f>
        <v>0.50723152260562576</v>
      </c>
      <c r="CA140" s="6">
        <f>VLOOKUP(Table1[[#This Row],[Reference]],metron,15,FALSE)</f>
        <v>11.99278846153846</v>
      </c>
      <c r="CB140" s="6">
        <f>VLOOKUP(Table1[[#This Row],[Reference]],metron,16,FALSE)</f>
        <v>10.0277534965035</v>
      </c>
      <c r="CC140" s="6">
        <f>VLOOKUP(Table1[[#This Row],[Reference]],metron,17,FALSE)</f>
        <v>5.2857459543338514</v>
      </c>
      <c r="CD140" s="6">
        <f>VLOOKUP(Table1[[#This Row],[Reference]],metron,18,FALSE)</f>
        <v>4.4067834183107957</v>
      </c>
      <c r="CE140" s="6">
        <f>VLOOKUP(Table1[[#This Row],[Reference]],metron,19,FALSE)</f>
        <v>6.7070425072046085</v>
      </c>
      <c r="CF140" s="6">
        <f>VLOOKUP(Table1[[#This Row],[Reference]],metron,20,FALSE)</f>
        <v>5.6209700781927046</v>
      </c>
      <c r="CG140" s="6">
        <f>VLOOKUP(Table1[[#This Row],[Reference]],metron,21,FALSE)</f>
        <v>13.04463690872752</v>
      </c>
      <c r="CH140" s="6">
        <f>VLOOKUP(Table1[[#This Row],[Reference]],metron,22,FALSE)</f>
        <v>13.49811236953142</v>
      </c>
      <c r="CI140" s="6">
        <f>VLOOKUP(Table1[[#This Row],[Reference]],metron,23,FALSE)</f>
        <v>1.5836526181353769</v>
      </c>
      <c r="CJ140" s="6">
        <f>VLOOKUP(Table1[[#This Row],[Reference]],metron,24,FALSE)</f>
        <v>1.8744146445295871</v>
      </c>
      <c r="CK140" s="6">
        <f>VLOOKUP(Table1[[#This Row],[Reference]],metron,25,FALSE)</f>
        <v>8.5994040017028525E-2</v>
      </c>
      <c r="CL140" s="6">
        <f>VLOOKUP(Table1[[#This Row],[Reference]],metron,26,FALSE)</f>
        <v>0.13452532992762881</v>
      </c>
    </row>
    <row r="141" spans="1:90" hidden="1" x14ac:dyDescent="0.45">
      <c r="A141" t="s">
        <v>696</v>
      </c>
      <c r="B141">
        <v>1635721500</v>
      </c>
      <c r="C141" s="23" t="s">
        <v>352</v>
      </c>
      <c r="D141" t="s">
        <v>65</v>
      </c>
      <c r="E141" t="s">
        <v>66</v>
      </c>
      <c r="F141" t="s">
        <v>112</v>
      </c>
      <c r="G141" t="s">
        <v>68</v>
      </c>
      <c r="H141" t="s">
        <v>98</v>
      </c>
      <c r="I141">
        <f>MROUND(Table1[[#This Row],[ProbH]]*100,2)/100</f>
        <v>0.36</v>
      </c>
      <c r="J141">
        <f>1/Table1[[#This Row],[odds_ft_home_team_win]]-Table1[[#This Row],[Margin]]</f>
        <v>0.36931673052362707</v>
      </c>
      <c r="K141">
        <f>1/Table1[[#This Row],[odds_ft_draw]]-Table1[[#This Row],[Margin]]</f>
        <v>0.31414431673052362</v>
      </c>
      <c r="L141">
        <f>1/Table1[[#This Row],[odds_ft_away_team_win]]-Table1[[#This Row],[Margin]]</f>
        <v>0.31653895274584926</v>
      </c>
      <c r="M141">
        <v>16</v>
      </c>
      <c r="N141">
        <v>1.5</v>
      </c>
      <c r="O141">
        <v>1.71</v>
      </c>
      <c r="P141">
        <v>1.25</v>
      </c>
      <c r="Q141">
        <v>1.53</v>
      </c>
      <c r="R141" t="str" cm="1">
        <f t="array" ref="R1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1">
        <v>2</v>
      </c>
      <c r="T141">
        <v>1</v>
      </c>
      <c r="U141">
        <v>3</v>
      </c>
      <c r="V141">
        <v>1</v>
      </c>
      <c r="W141">
        <v>1</v>
      </c>
      <c r="X141">
        <v>0</v>
      </c>
      <c r="Y141" t="s">
        <v>353</v>
      </c>
      <c r="Z141">
        <v>52</v>
      </c>
      <c r="AA141">
        <v>5</v>
      </c>
      <c r="AB141">
        <v>3</v>
      </c>
      <c r="AC141">
        <v>2</v>
      </c>
      <c r="AD141">
        <v>0</v>
      </c>
      <c r="AE141">
        <v>2</v>
      </c>
      <c r="AF141">
        <v>1</v>
      </c>
      <c r="AG141">
        <v>1</v>
      </c>
      <c r="AH141">
        <v>1</v>
      </c>
      <c r="AI141">
        <v>1</v>
      </c>
      <c r="AJ141">
        <v>2</v>
      </c>
      <c r="AK141">
        <v>12</v>
      </c>
      <c r="AL141">
        <v>7</v>
      </c>
      <c r="AM141">
        <v>8</v>
      </c>
      <c r="AN141">
        <v>2</v>
      </c>
      <c r="AO141">
        <v>4</v>
      </c>
      <c r="AP141">
        <v>5</v>
      </c>
      <c r="AQ141">
        <v>8</v>
      </c>
      <c r="AR141">
        <v>12</v>
      </c>
      <c r="AS141">
        <v>54</v>
      </c>
      <c r="AT141">
        <v>46</v>
      </c>
      <c r="AU141">
        <v>1.68</v>
      </c>
      <c r="AV141">
        <v>0.71</v>
      </c>
      <c r="AW141">
        <v>2.1</v>
      </c>
      <c r="AX141">
        <v>54</v>
      </c>
      <c r="AY141">
        <v>79</v>
      </c>
      <c r="AZ141">
        <v>23</v>
      </c>
      <c r="BA141">
        <v>16</v>
      </c>
      <c r="BB141">
        <v>0</v>
      </c>
      <c r="BC141">
        <v>45</v>
      </c>
      <c r="BD141">
        <v>70</v>
      </c>
      <c r="BE141">
        <v>9</v>
      </c>
      <c r="BF141">
        <v>70</v>
      </c>
      <c r="BG141">
        <v>7.24</v>
      </c>
      <c r="BH141">
        <v>4.54</v>
      </c>
      <c r="BI141">
        <v>2.5</v>
      </c>
      <c r="BJ141">
        <v>2.9</v>
      </c>
      <c r="BK141">
        <v>2.88</v>
      </c>
      <c r="BL141">
        <f>(1/Table1[[#This Row],[odds_ft_home_team_win]]+1/Table1[[#This Row],[odds_ft_draw]]+1/Table1[[#This Row],[odds_ft_away_team_win]]-1)/3</f>
        <v>3.0683269476372937E-2</v>
      </c>
      <c r="BM141">
        <v>1.67</v>
      </c>
      <c r="BN141">
        <v>2.12</v>
      </c>
      <c r="BO141">
        <v>4.33</v>
      </c>
      <c r="BP141">
        <v>8</v>
      </c>
      <c r="BQ141">
        <v>1.91</v>
      </c>
      <c r="BR141">
        <v>1.8</v>
      </c>
      <c r="BS141" t="s">
        <v>116</v>
      </c>
      <c r="BT141">
        <f>VLOOKUP(Table1[[#This Row],[Reference]],metron,8,FALSE)</f>
        <v>1.4023864615972674</v>
      </c>
      <c r="BU141">
        <f>VLOOKUP(Table1[[#This Row],[Reference]],metron,9,FALSE)</f>
        <v>1.3093265904245279</v>
      </c>
      <c r="BV141">
        <f>VLOOKUP(Table1[[#This Row],[Reference]],metron,10,FALSE)</f>
        <v>2.5110350525197691</v>
      </c>
      <c r="BW141">
        <f>VLOOKUP(Table1[[#This Row],[Reference]],metron,11,FALSE)</f>
        <v>1.269326094653606</v>
      </c>
      <c r="BX141">
        <f>VLOOKUP(Table1[[#This Row],[Reference]],metron,12,FALSE)</f>
        <v>1.2417089578661631</v>
      </c>
      <c r="BY141" s="6">
        <f>VLOOKUP(Table1[[#This Row],[Reference]],metron,13,FALSE)</f>
        <v>0.56586402266288949</v>
      </c>
      <c r="BZ141" s="6">
        <f>VLOOKUP(Table1[[#This Row],[Reference]],metron,14,FALSE)</f>
        <v>0.55158168083097259</v>
      </c>
      <c r="CA141" s="6">
        <f>VLOOKUP(Table1[[#This Row],[Reference]],metron,15,FALSE)</f>
        <v>11.49400826446281</v>
      </c>
      <c r="CB141" s="6">
        <f>VLOOKUP(Table1[[#This Row],[Reference]],metron,16,FALSE)</f>
        <v>10.507231404958681</v>
      </c>
      <c r="CC141" s="6">
        <f>VLOOKUP(Table1[[#This Row],[Reference]],metron,17,FALSE)</f>
        <v>4.9238790406673623</v>
      </c>
      <c r="CD141" s="6">
        <f>VLOOKUP(Table1[[#This Row],[Reference]],metron,18,FALSE)</f>
        <v>4.6296141814389991</v>
      </c>
      <c r="CE141" s="6">
        <f>VLOOKUP(Table1[[#This Row],[Reference]],metron,19,FALSE)</f>
        <v>6.5701292237954476</v>
      </c>
      <c r="CF141" s="6">
        <f>VLOOKUP(Table1[[#This Row],[Reference]],metron,20,FALSE)</f>
        <v>5.8776172235196817</v>
      </c>
      <c r="CG141" s="6">
        <f>VLOOKUP(Table1[[#This Row],[Reference]],metron,21,FALSE)</f>
        <v>12.798739495798319</v>
      </c>
      <c r="CH141" s="6">
        <f>VLOOKUP(Table1[[#This Row],[Reference]],metron,22,FALSE)</f>
        <v>12.98844537815126</v>
      </c>
      <c r="CI141" s="6">
        <f>VLOOKUP(Table1[[#This Row],[Reference]],metron,23,FALSE)</f>
        <v>1.604928297313674</v>
      </c>
      <c r="CJ141" s="6">
        <f>VLOOKUP(Table1[[#This Row],[Reference]],metron,24,FALSE)</f>
        <v>1.791961219955565</v>
      </c>
      <c r="CK141" s="6">
        <f>VLOOKUP(Table1[[#This Row],[Reference]],metron,25,FALSE)</f>
        <v>8.887093516461321E-2</v>
      </c>
      <c r="CL141" s="6">
        <f>VLOOKUP(Table1[[#This Row],[Reference]],metron,26,FALSE)</f>
        <v>0.11694607150070691</v>
      </c>
    </row>
    <row r="142" spans="1:90" hidden="1" x14ac:dyDescent="0.45">
      <c r="A142" t="s">
        <v>696</v>
      </c>
      <c r="B142">
        <v>1635728700</v>
      </c>
      <c r="C142" s="23" t="s">
        <v>354</v>
      </c>
      <c r="D142" t="s">
        <v>65</v>
      </c>
      <c r="E142" t="s">
        <v>66</v>
      </c>
      <c r="F142" t="s">
        <v>91</v>
      </c>
      <c r="G142" t="s">
        <v>101</v>
      </c>
      <c r="H142" t="s">
        <v>133</v>
      </c>
      <c r="I142">
        <f>MROUND(Table1[[#This Row],[ProbH]]*100,2)/100</f>
        <v>0.26</v>
      </c>
      <c r="J142">
        <f>1/Table1[[#This Row],[odds_ft_home_team_win]]-Table1[[#This Row],[Margin]]</f>
        <v>0.26406926406926401</v>
      </c>
      <c r="K142">
        <f>1/Table1[[#This Row],[odds_ft_draw]]-Table1[[#This Row],[Margin]]</f>
        <v>0.28138528138528135</v>
      </c>
      <c r="L142">
        <f>1/Table1[[#This Row],[odds_ft_away_team_win]]-Table1[[#This Row],[Margin]]</f>
        <v>0.45454545454545447</v>
      </c>
      <c r="M142">
        <v>16</v>
      </c>
      <c r="N142">
        <v>0.71</v>
      </c>
      <c r="O142">
        <v>0.86</v>
      </c>
      <c r="P142">
        <v>1.1100000000000001</v>
      </c>
      <c r="Q142">
        <v>1.05</v>
      </c>
      <c r="R142" t="str" cm="1">
        <f t="array" ref="R1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42">
        <v>1</v>
      </c>
      <c r="T142">
        <v>1</v>
      </c>
      <c r="U142">
        <v>2</v>
      </c>
      <c r="V142">
        <v>1</v>
      </c>
      <c r="W142">
        <v>0</v>
      </c>
      <c r="X142">
        <v>1</v>
      </c>
      <c r="Y142">
        <v>47</v>
      </c>
      <c r="Z142">
        <v>30</v>
      </c>
      <c r="AA142">
        <v>2</v>
      </c>
      <c r="AB142">
        <v>2</v>
      </c>
      <c r="AC142">
        <v>3</v>
      </c>
      <c r="AD142">
        <v>1</v>
      </c>
      <c r="AE142">
        <v>1</v>
      </c>
      <c r="AF142">
        <v>0</v>
      </c>
      <c r="AG142">
        <v>1</v>
      </c>
      <c r="AH142">
        <v>3</v>
      </c>
      <c r="AI142">
        <v>0</v>
      </c>
      <c r="AJ142">
        <v>1</v>
      </c>
      <c r="AK142">
        <v>6</v>
      </c>
      <c r="AL142">
        <v>10</v>
      </c>
      <c r="AM142">
        <v>2</v>
      </c>
      <c r="AN142">
        <v>6</v>
      </c>
      <c r="AO142">
        <v>4</v>
      </c>
      <c r="AP142">
        <v>4</v>
      </c>
      <c r="AQ142">
        <v>8</v>
      </c>
      <c r="AR142">
        <v>11</v>
      </c>
      <c r="AS142">
        <v>36</v>
      </c>
      <c r="AT142">
        <v>64</v>
      </c>
      <c r="AU142">
        <v>0.84</v>
      </c>
      <c r="AV142">
        <v>1.4</v>
      </c>
      <c r="AW142">
        <v>2.86</v>
      </c>
      <c r="AX142">
        <v>65</v>
      </c>
      <c r="AY142">
        <v>79</v>
      </c>
      <c r="AZ142">
        <v>50</v>
      </c>
      <c r="BA142">
        <v>29</v>
      </c>
      <c r="BB142">
        <v>15</v>
      </c>
      <c r="BC142">
        <v>36</v>
      </c>
      <c r="BD142">
        <v>71</v>
      </c>
      <c r="BE142">
        <v>36</v>
      </c>
      <c r="BF142">
        <v>79</v>
      </c>
      <c r="BG142">
        <v>10.28</v>
      </c>
      <c r="BH142">
        <v>5.29</v>
      </c>
      <c r="BI142">
        <v>3.5</v>
      </c>
      <c r="BJ142">
        <v>3.3</v>
      </c>
      <c r="BK142">
        <v>2.1</v>
      </c>
      <c r="BL142">
        <f>(1/Table1[[#This Row],[odds_ft_home_team_win]]+1/Table1[[#This Row],[odds_ft_draw]]+1/Table1[[#This Row],[odds_ft_away_team_win]]-1)/3</f>
        <v>2.1645021645021689E-2</v>
      </c>
      <c r="BM142">
        <v>1.33</v>
      </c>
      <c r="BN142">
        <v>2.15</v>
      </c>
      <c r="BO142">
        <v>3.6</v>
      </c>
      <c r="BP142">
        <v>6.5</v>
      </c>
      <c r="BQ142">
        <v>1.83</v>
      </c>
      <c r="BR142">
        <v>1.83</v>
      </c>
      <c r="BS142" t="s">
        <v>144</v>
      </c>
      <c r="BT142">
        <f>VLOOKUP(Table1[[#This Row],[Reference]],metron,8,FALSE)</f>
        <v>1.0905313574236399</v>
      </c>
      <c r="BU142">
        <f>VLOOKUP(Table1[[#This Row],[Reference]],metron,9,FALSE)</f>
        <v>1.6289415604939639</v>
      </c>
      <c r="BV142">
        <f>VLOOKUP(Table1[[#This Row],[Reference]],metron,10,FALSE)</f>
        <v>2.569449507838133</v>
      </c>
      <c r="BW142">
        <f>VLOOKUP(Table1[[#This Row],[Reference]],metron,11,FALSE)</f>
        <v>1.0936930368209989</v>
      </c>
      <c r="BX142">
        <f>VLOOKUP(Table1[[#This Row],[Reference]],metron,12,FALSE)</f>
        <v>1.475756471017134</v>
      </c>
      <c r="BY142" s="6">
        <f>VLOOKUP(Table1[[#This Row],[Reference]],metron,13,FALSE)</f>
        <v>0.50018228217280347</v>
      </c>
      <c r="BZ142" s="6">
        <f>VLOOKUP(Table1[[#This Row],[Reference]],metron,14,FALSE)</f>
        <v>0.65220561429092239</v>
      </c>
      <c r="CA142" s="6">
        <f>VLOOKUP(Table1[[#This Row],[Reference]],metron,15,FALSE)</f>
        <v>10.905576679340941</v>
      </c>
      <c r="CB142" s="6">
        <f>VLOOKUP(Table1[[#This Row],[Reference]],metron,16,FALSE)</f>
        <v>12.06463878326996</v>
      </c>
      <c r="CC142" s="6">
        <f>VLOOKUP(Table1[[#This Row],[Reference]],metron,17,FALSE)</f>
        <v>4.2920127795527154</v>
      </c>
      <c r="CD142" s="6">
        <f>VLOOKUP(Table1[[#This Row],[Reference]],metron,18,FALSE)</f>
        <v>5.0095846645367406</v>
      </c>
      <c r="CE142" s="6">
        <f>VLOOKUP(Table1[[#This Row],[Reference]],metron,19,FALSE)</f>
        <v>6.6135638997882253</v>
      </c>
      <c r="CF142" s="6">
        <f>VLOOKUP(Table1[[#This Row],[Reference]],metron,20,FALSE)</f>
        <v>7.055054118733219</v>
      </c>
      <c r="CG142" s="6">
        <f>VLOOKUP(Table1[[#This Row],[Reference]],metron,21,FALSE)</f>
        <v>12.94865211810013</v>
      </c>
      <c r="CH142" s="6">
        <f>VLOOKUP(Table1[[#This Row],[Reference]],metron,22,FALSE)</f>
        <v>13.189345314505781</v>
      </c>
      <c r="CI142" s="6">
        <f>VLOOKUP(Table1[[#This Row],[Reference]],metron,23,FALSE)</f>
        <v>1.771446078431373</v>
      </c>
      <c r="CJ142" s="6">
        <f>VLOOKUP(Table1[[#This Row],[Reference]],metron,24,FALSE)</f>
        <v>1.809436274509804</v>
      </c>
      <c r="CK142" s="6">
        <f>VLOOKUP(Table1[[#This Row],[Reference]],metron,25,FALSE)</f>
        <v>0.1060049019607843</v>
      </c>
      <c r="CL142" s="6">
        <f>VLOOKUP(Table1[[#This Row],[Reference]],metron,26,FALSE)</f>
        <v>9.6813725490196081E-2</v>
      </c>
    </row>
    <row r="143" spans="1:90" hidden="1" x14ac:dyDescent="0.45">
      <c r="A143" t="s">
        <v>696</v>
      </c>
      <c r="B143">
        <v>1635987600</v>
      </c>
      <c r="C143" s="23" t="s">
        <v>355</v>
      </c>
      <c r="D143" t="s">
        <v>65</v>
      </c>
      <c r="E143" t="s">
        <v>66</v>
      </c>
      <c r="F143" t="s">
        <v>84</v>
      </c>
      <c r="G143" t="s">
        <v>91</v>
      </c>
      <c r="H143" t="s">
        <v>215</v>
      </c>
      <c r="I143">
        <f>MROUND(Table1[[#This Row],[ProbH]]*100,2)/100</f>
        <v>0.52</v>
      </c>
      <c r="J143">
        <f>1/Table1[[#This Row],[odds_ft_home_team_win]]-Table1[[#This Row],[Margin]]</f>
        <v>0.51587301587301593</v>
      </c>
      <c r="K143">
        <f>1/Table1[[#This Row],[odds_ft_draw]]-Table1[[#This Row],[Margin]]</f>
        <v>0.24603174603174602</v>
      </c>
      <c r="L143">
        <f>1/Table1[[#This Row],[odds_ft_away_team_win]]-Table1[[#This Row],[Margin]]</f>
        <v>0.23809523809523811</v>
      </c>
      <c r="M143">
        <v>5</v>
      </c>
      <c r="N143">
        <v>1.25</v>
      </c>
      <c r="O143">
        <v>1.71</v>
      </c>
      <c r="P143">
        <v>1.89</v>
      </c>
      <c r="Q143">
        <v>1.25</v>
      </c>
      <c r="R143" t="str" cm="1">
        <f t="array" ref="R1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AA143">
        <v>10</v>
      </c>
      <c r="AB143">
        <v>4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2</v>
      </c>
      <c r="AI143">
        <v>0</v>
      </c>
      <c r="AJ143">
        <v>0</v>
      </c>
      <c r="AK143">
        <v>16</v>
      </c>
      <c r="AL143">
        <v>15</v>
      </c>
      <c r="AM143">
        <v>7</v>
      </c>
      <c r="AN143">
        <v>7</v>
      </c>
      <c r="AO143">
        <v>9</v>
      </c>
      <c r="AP143">
        <v>8</v>
      </c>
      <c r="AQ143">
        <v>5</v>
      </c>
      <c r="AR143">
        <v>3</v>
      </c>
      <c r="AS143">
        <v>69</v>
      </c>
      <c r="AT143">
        <v>31</v>
      </c>
      <c r="AU143">
        <v>1.94</v>
      </c>
      <c r="AV143">
        <v>1.72</v>
      </c>
      <c r="AW143">
        <v>2.42</v>
      </c>
      <c r="AX143">
        <v>67</v>
      </c>
      <c r="AY143">
        <v>73</v>
      </c>
      <c r="AZ143">
        <v>48</v>
      </c>
      <c r="BA143">
        <v>28</v>
      </c>
      <c r="BB143">
        <v>0</v>
      </c>
      <c r="BC143">
        <v>34</v>
      </c>
      <c r="BD143">
        <v>81</v>
      </c>
      <c r="BE143">
        <v>34</v>
      </c>
      <c r="BF143">
        <v>60</v>
      </c>
      <c r="BG143">
        <v>9</v>
      </c>
      <c r="BH143">
        <v>4.2699999999999996</v>
      </c>
      <c r="BI143">
        <v>1.8</v>
      </c>
      <c r="BJ143">
        <v>3.5</v>
      </c>
      <c r="BK143">
        <v>3.6</v>
      </c>
      <c r="BL143">
        <f>(1/Table1[[#This Row],[odds_ft_home_team_win]]+1/Table1[[#This Row],[odds_ft_draw]]+1/Table1[[#This Row],[odds_ft_away_team_win]]-1)/3</f>
        <v>3.9682539682539687E-2</v>
      </c>
      <c r="BM143">
        <v>1.3</v>
      </c>
      <c r="BN143">
        <v>2.0299999999999998</v>
      </c>
      <c r="BO143">
        <v>3.28</v>
      </c>
      <c r="BP143">
        <v>6.2</v>
      </c>
      <c r="BQ143">
        <v>1.81</v>
      </c>
      <c r="BR143">
        <v>1.89</v>
      </c>
      <c r="BS143" t="s">
        <v>88</v>
      </c>
      <c r="BT143">
        <f>VLOOKUP(Table1[[#This Row],[Reference]],metron,8,FALSE)</f>
        <v>1.8614830167843088</v>
      </c>
      <c r="BU143">
        <f>VLOOKUP(Table1[[#This Row],[Reference]],metron,9,FALSE)</f>
        <v>0.87079851622593896</v>
      </c>
      <c r="BV143">
        <f>VLOOKUP(Table1[[#This Row],[Reference]],metron,10,FALSE)</f>
        <v>2.5967403582378576</v>
      </c>
      <c r="BW143">
        <f>VLOOKUP(Table1[[#This Row],[Reference]],metron,11,FALSE)</f>
        <v>1.625948039373891</v>
      </c>
      <c r="BX143">
        <f>VLOOKUP(Table1[[#This Row],[Reference]],metron,12,FALSE)</f>
        <v>0.97079231886396644</v>
      </c>
      <c r="BY143" s="6">
        <f>VLOOKUP(Table1[[#This Row],[Reference]],metron,13,FALSE)</f>
        <v>0.71433182698515174</v>
      </c>
      <c r="BZ143" s="6">
        <f>VLOOKUP(Table1[[#This Row],[Reference]],metron,14,FALSE)</f>
        <v>0.43011620400258233</v>
      </c>
      <c r="CA143" s="6">
        <f>VLOOKUP(Table1[[#This Row],[Reference]],metron,15,FALSE)</f>
        <v>13.39951055368614</v>
      </c>
      <c r="CB143" s="6">
        <f>VLOOKUP(Table1[[#This Row],[Reference]],metron,16,FALSE)</f>
        <v>9.4252064851636579</v>
      </c>
      <c r="CC143" s="6">
        <f>VLOOKUP(Table1[[#This Row],[Reference]],metron,17,FALSE)</f>
        <v>5.7628422023992618</v>
      </c>
      <c r="CD143" s="6">
        <f>VLOOKUP(Table1[[#This Row],[Reference]],metron,18,FALSE)</f>
        <v>3.9375576745616732</v>
      </c>
      <c r="CE143" s="6">
        <f>VLOOKUP(Table1[[#This Row],[Reference]],metron,19,FALSE)</f>
        <v>7.636668351286878</v>
      </c>
      <c r="CF143" s="6">
        <f>VLOOKUP(Table1[[#This Row],[Reference]],metron,20,FALSE)</f>
        <v>5.4876488106019847</v>
      </c>
      <c r="CG143" s="6">
        <f>VLOOKUP(Table1[[#This Row],[Reference]],metron,21,FALSE)</f>
        <v>12.460420531849101</v>
      </c>
      <c r="CH143" s="6">
        <f>VLOOKUP(Table1[[#This Row],[Reference]],metron,22,FALSE)</f>
        <v>13.44897959183673</v>
      </c>
      <c r="CI143" s="6">
        <f>VLOOKUP(Table1[[#This Row],[Reference]],metron,23,FALSE)</f>
        <v>1.462202380952381</v>
      </c>
      <c r="CJ143" s="6">
        <f>VLOOKUP(Table1[[#This Row],[Reference]],metron,24,FALSE)</f>
        <v>2.01547619047619</v>
      </c>
      <c r="CK143" s="6">
        <f>VLOOKUP(Table1[[#This Row],[Reference]],metron,25,FALSE)</f>
        <v>7.7380952380952384E-2</v>
      </c>
      <c r="CL143" s="6">
        <f>VLOOKUP(Table1[[#This Row],[Reference]],metron,26,FALSE)</f>
        <v>0.13754093480202439</v>
      </c>
    </row>
    <row r="144" spans="1:90" hidden="1" x14ac:dyDescent="0.45">
      <c r="A144" t="s">
        <v>696</v>
      </c>
      <c r="B144">
        <v>1635994800</v>
      </c>
      <c r="C144" s="23" t="s">
        <v>356</v>
      </c>
      <c r="D144" t="s">
        <v>65</v>
      </c>
      <c r="E144" t="s">
        <v>66</v>
      </c>
      <c r="F144" t="s">
        <v>112</v>
      </c>
      <c r="G144" t="s">
        <v>85</v>
      </c>
      <c r="H144" t="s">
        <v>122</v>
      </c>
      <c r="I144">
        <f>MROUND(Table1[[#This Row],[ProbH]]*100,2)/100</f>
        <v>0.46</v>
      </c>
      <c r="J144">
        <f>1/Table1[[#This Row],[odds_ft_home_team_win]]-Table1[[#This Row],[Margin]]</f>
        <v>0.46148989898989901</v>
      </c>
      <c r="K144">
        <f>1/Table1[[#This Row],[odds_ft_draw]]-Table1[[#This Row],[Margin]]</f>
        <v>0.27398989898989901</v>
      </c>
      <c r="L144">
        <f>1/Table1[[#This Row],[odds_ft_away_team_win]]-Table1[[#This Row],[Margin]]</f>
        <v>0.26452020202020204</v>
      </c>
      <c r="M144">
        <v>11</v>
      </c>
      <c r="N144">
        <v>1.71</v>
      </c>
      <c r="O144">
        <v>1.75</v>
      </c>
      <c r="P144">
        <v>1.25</v>
      </c>
      <c r="Q144">
        <v>1.4</v>
      </c>
      <c r="R144" t="str" cm="1">
        <f t="array" ref="R1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Z144">
        <v>31</v>
      </c>
      <c r="AA144">
        <v>7</v>
      </c>
      <c r="AB144">
        <v>4</v>
      </c>
      <c r="AC144">
        <v>3</v>
      </c>
      <c r="AD144">
        <v>0</v>
      </c>
      <c r="AE144">
        <v>4</v>
      </c>
      <c r="AF144">
        <v>0</v>
      </c>
      <c r="AG144">
        <v>0</v>
      </c>
      <c r="AH144">
        <v>3</v>
      </c>
      <c r="AI144">
        <v>0</v>
      </c>
      <c r="AJ144">
        <v>4</v>
      </c>
      <c r="AK144">
        <v>14</v>
      </c>
      <c r="AL144">
        <v>6</v>
      </c>
      <c r="AM144">
        <v>6</v>
      </c>
      <c r="AN144">
        <v>3</v>
      </c>
      <c r="AO144">
        <v>8</v>
      </c>
      <c r="AP144">
        <v>3</v>
      </c>
      <c r="AQ144">
        <v>12</v>
      </c>
      <c r="AR144">
        <v>9</v>
      </c>
      <c r="AS144">
        <v>54</v>
      </c>
      <c r="AT144">
        <v>46</v>
      </c>
      <c r="AU144">
        <v>1.79</v>
      </c>
      <c r="AV144">
        <v>0.84</v>
      </c>
      <c r="AW144">
        <v>2.2200000000000002</v>
      </c>
      <c r="AX144">
        <v>35</v>
      </c>
      <c r="AY144">
        <v>75</v>
      </c>
      <c r="AZ144">
        <v>34</v>
      </c>
      <c r="BA144">
        <v>20</v>
      </c>
      <c r="BB144">
        <v>0</v>
      </c>
      <c r="BC144">
        <v>21</v>
      </c>
      <c r="BD144">
        <v>75</v>
      </c>
      <c r="BE144">
        <v>27</v>
      </c>
      <c r="BF144">
        <v>75</v>
      </c>
      <c r="BG144">
        <v>7.38</v>
      </c>
      <c r="BH144">
        <v>4.3600000000000003</v>
      </c>
      <c r="BI144">
        <v>2</v>
      </c>
      <c r="BJ144">
        <v>3.2</v>
      </c>
      <c r="BK144">
        <v>3.3</v>
      </c>
      <c r="BL144">
        <f>(1/Table1[[#This Row],[odds_ft_home_team_win]]+1/Table1[[#This Row],[odds_ft_draw]]+1/Table1[[#This Row],[odds_ft_away_team_win]]-1)/3</f>
        <v>3.8510101010100994E-2</v>
      </c>
      <c r="BM144">
        <v>1.35</v>
      </c>
      <c r="BN144">
        <v>2.1</v>
      </c>
      <c r="BO144">
        <v>3.63</v>
      </c>
      <c r="BP144">
        <v>7.05</v>
      </c>
      <c r="BQ144">
        <v>1.84</v>
      </c>
      <c r="BR144">
        <v>1.86</v>
      </c>
      <c r="BS144" t="s">
        <v>116</v>
      </c>
      <c r="BT144">
        <f>VLOOKUP(Table1[[#This Row],[Reference]],metron,8,FALSE)</f>
        <v>1.6955772349985931</v>
      </c>
      <c r="BU144">
        <f>VLOOKUP(Table1[[#This Row],[Reference]],metron,9,FALSE)</f>
        <v>1.0239029519551039</v>
      </c>
      <c r="BV144">
        <f>VLOOKUP(Table1[[#This Row],[Reference]],metron,10,FALSE)</f>
        <v>2.5405629139072849</v>
      </c>
      <c r="BW144">
        <f>VLOOKUP(Table1[[#This Row],[Reference]],metron,11,FALSE)</f>
        <v>1.4888836329233679</v>
      </c>
      <c r="BX144">
        <f>VLOOKUP(Table1[[#This Row],[Reference]],metron,12,FALSE)</f>
        <v>1.0516792809839171</v>
      </c>
      <c r="BY144" s="6">
        <f>VLOOKUP(Table1[[#This Row],[Reference]],metron,13,FALSE)</f>
        <v>0.64581362346263005</v>
      </c>
      <c r="BZ144" s="6">
        <f>VLOOKUP(Table1[[#This Row],[Reference]],metron,14,FALSE)</f>
        <v>0.45364238410596031</v>
      </c>
      <c r="CA144" s="6">
        <f>VLOOKUP(Table1[[#This Row],[Reference]],metron,15,FALSE)</f>
        <v>12.686892177589851</v>
      </c>
      <c r="CB144" s="6">
        <f>VLOOKUP(Table1[[#This Row],[Reference]],metron,16,FALSE)</f>
        <v>9.8059196617336148</v>
      </c>
      <c r="CC144" s="6">
        <f>VLOOKUP(Table1[[#This Row],[Reference]],metron,17,FALSE)</f>
        <v>5.3198121263877027</v>
      </c>
      <c r="CD144" s="6">
        <f>VLOOKUP(Table1[[#This Row],[Reference]],metron,18,FALSE)</f>
        <v>4.0954312553373189</v>
      </c>
      <c r="CE144" s="6">
        <f>VLOOKUP(Table1[[#This Row],[Reference]],metron,19,FALSE)</f>
        <v>7.3670800512021479</v>
      </c>
      <c r="CF144" s="6">
        <f>VLOOKUP(Table1[[#This Row],[Reference]],metron,20,FALSE)</f>
        <v>5.710488406396296</v>
      </c>
      <c r="CG144" s="6">
        <f>VLOOKUP(Table1[[#This Row],[Reference]],metron,21,FALSE)</f>
        <v>13.0488908033599</v>
      </c>
      <c r="CH144" s="6">
        <f>VLOOKUP(Table1[[#This Row],[Reference]],metron,22,FALSE)</f>
        <v>13.714839543398661</v>
      </c>
      <c r="CI144" s="6">
        <f>VLOOKUP(Table1[[#This Row],[Reference]],metron,23,FALSE)</f>
        <v>1.567523459812322</v>
      </c>
      <c r="CJ144" s="6">
        <f>VLOOKUP(Table1[[#This Row],[Reference]],metron,24,FALSE)</f>
        <v>1.951040391676867</v>
      </c>
      <c r="CK144" s="6">
        <f>VLOOKUP(Table1[[#This Row],[Reference]],metron,25,FALSE)</f>
        <v>8.3027335781313744E-2</v>
      </c>
      <c r="CL144" s="6">
        <f>VLOOKUP(Table1[[#This Row],[Reference]],metron,26,FALSE)</f>
        <v>0.13117095063239501</v>
      </c>
    </row>
    <row r="145" spans="1:90" hidden="1" x14ac:dyDescent="0.45">
      <c r="A145" t="s">
        <v>696</v>
      </c>
      <c r="B145">
        <v>1636074000</v>
      </c>
      <c r="C145" s="23" t="s">
        <v>357</v>
      </c>
      <c r="D145" t="s">
        <v>65</v>
      </c>
      <c r="E145" t="s">
        <v>66</v>
      </c>
      <c r="F145" t="s">
        <v>96</v>
      </c>
      <c r="G145" t="s">
        <v>73</v>
      </c>
      <c r="H145" t="s">
        <v>133</v>
      </c>
      <c r="I145">
        <f>MROUND(Table1[[#This Row],[ProbH]]*100,2)/100</f>
        <v>0.36</v>
      </c>
      <c r="J145">
        <f>1/Table1[[#This Row],[odds_ft_home_team_win]]-Table1[[#This Row],[Margin]]</f>
        <v>0.36484794031963841</v>
      </c>
      <c r="K145">
        <f>1/Table1[[#This Row],[odds_ft_draw]]-Table1[[#This Row],[Margin]]</f>
        <v>0.29051975278390368</v>
      </c>
      <c r="L145">
        <f>1/Table1[[#This Row],[odds_ft_away_team_win]]-Table1[[#This Row],[Margin]]</f>
        <v>0.3446323068964578</v>
      </c>
      <c r="M145">
        <v>11</v>
      </c>
      <c r="N145">
        <v>1.71</v>
      </c>
      <c r="O145">
        <v>1.29</v>
      </c>
      <c r="P145">
        <v>1.58</v>
      </c>
      <c r="Q145">
        <v>1.1100000000000001</v>
      </c>
      <c r="R145" t="str" cm="1">
        <f t="array" ref="R1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45">
        <v>0</v>
      </c>
      <c r="T145">
        <v>3</v>
      </c>
      <c r="U145">
        <v>3</v>
      </c>
      <c r="V145">
        <v>1</v>
      </c>
      <c r="W145">
        <v>0</v>
      </c>
      <c r="X145">
        <v>1</v>
      </c>
      <c r="Z145" t="s">
        <v>358</v>
      </c>
      <c r="AA145">
        <v>7</v>
      </c>
      <c r="AB145">
        <v>3</v>
      </c>
      <c r="AC145">
        <v>2</v>
      </c>
      <c r="AD145">
        <v>0</v>
      </c>
      <c r="AE145">
        <v>3</v>
      </c>
      <c r="AF145">
        <v>0</v>
      </c>
      <c r="AG145">
        <v>1</v>
      </c>
      <c r="AH145">
        <v>1</v>
      </c>
      <c r="AI145">
        <v>1</v>
      </c>
      <c r="AJ145">
        <v>2</v>
      </c>
      <c r="AK145">
        <v>15</v>
      </c>
      <c r="AL145">
        <v>12</v>
      </c>
      <c r="AM145">
        <v>6</v>
      </c>
      <c r="AN145">
        <v>6</v>
      </c>
      <c r="AO145">
        <v>9</v>
      </c>
      <c r="AP145">
        <v>6</v>
      </c>
      <c r="AQ145">
        <v>14</v>
      </c>
      <c r="AR145">
        <v>13</v>
      </c>
      <c r="AS145">
        <v>69</v>
      </c>
      <c r="AT145">
        <v>31</v>
      </c>
      <c r="AU145">
        <v>1.72</v>
      </c>
      <c r="AV145">
        <v>1.4</v>
      </c>
      <c r="AW145">
        <v>2.2200000000000002</v>
      </c>
      <c r="AX145">
        <v>58</v>
      </c>
      <c r="AY145">
        <v>72</v>
      </c>
      <c r="AZ145">
        <v>43</v>
      </c>
      <c r="BA145">
        <v>22</v>
      </c>
      <c r="BB145">
        <v>7</v>
      </c>
      <c r="BC145">
        <v>22</v>
      </c>
      <c r="BD145">
        <v>50</v>
      </c>
      <c r="BE145">
        <v>43</v>
      </c>
      <c r="BF145">
        <v>79</v>
      </c>
      <c r="BG145">
        <v>12.28</v>
      </c>
      <c r="BH145">
        <v>5.57</v>
      </c>
      <c r="BI145">
        <v>2.65</v>
      </c>
      <c r="BJ145">
        <v>3.3</v>
      </c>
      <c r="BK145">
        <v>2.8</v>
      </c>
      <c r="BL145">
        <f>(1/Table1[[#This Row],[odds_ft_home_team_win]]+1/Table1[[#This Row],[odds_ft_draw]]+1/Table1[[#This Row],[odds_ft_away_team_win]]-1)/3</f>
        <v>1.2510550246399355E-2</v>
      </c>
      <c r="BM145">
        <v>1.4</v>
      </c>
      <c r="BN145">
        <v>2.14</v>
      </c>
      <c r="BO145">
        <v>4.05</v>
      </c>
      <c r="BP145">
        <v>8</v>
      </c>
      <c r="BQ145">
        <v>1.89</v>
      </c>
      <c r="BR145">
        <v>1.81</v>
      </c>
      <c r="BS145" t="s">
        <v>99</v>
      </c>
      <c r="BT145">
        <f>VLOOKUP(Table1[[#This Row],[Reference]],metron,8,FALSE)</f>
        <v>1.4023864615972674</v>
      </c>
      <c r="BU145">
        <f>VLOOKUP(Table1[[#This Row],[Reference]],metron,9,FALSE)</f>
        <v>1.3093265904245279</v>
      </c>
      <c r="BV145">
        <f>VLOOKUP(Table1[[#This Row],[Reference]],metron,10,FALSE)</f>
        <v>2.5110350525197691</v>
      </c>
      <c r="BW145">
        <f>VLOOKUP(Table1[[#This Row],[Reference]],metron,11,FALSE)</f>
        <v>1.269326094653606</v>
      </c>
      <c r="BX145">
        <f>VLOOKUP(Table1[[#This Row],[Reference]],metron,12,FALSE)</f>
        <v>1.2417089578661631</v>
      </c>
      <c r="BY145" s="6">
        <f>VLOOKUP(Table1[[#This Row],[Reference]],metron,13,FALSE)</f>
        <v>0.56586402266288949</v>
      </c>
      <c r="BZ145" s="6">
        <f>VLOOKUP(Table1[[#This Row],[Reference]],metron,14,FALSE)</f>
        <v>0.55158168083097259</v>
      </c>
      <c r="CA145" s="6">
        <f>VLOOKUP(Table1[[#This Row],[Reference]],metron,15,FALSE)</f>
        <v>11.49400826446281</v>
      </c>
      <c r="CB145" s="6">
        <f>VLOOKUP(Table1[[#This Row],[Reference]],metron,16,FALSE)</f>
        <v>10.507231404958681</v>
      </c>
      <c r="CC145" s="6">
        <f>VLOOKUP(Table1[[#This Row],[Reference]],metron,17,FALSE)</f>
        <v>4.9238790406673623</v>
      </c>
      <c r="CD145" s="6">
        <f>VLOOKUP(Table1[[#This Row],[Reference]],metron,18,FALSE)</f>
        <v>4.6296141814389991</v>
      </c>
      <c r="CE145" s="6">
        <f>VLOOKUP(Table1[[#This Row],[Reference]],metron,19,FALSE)</f>
        <v>6.5701292237954476</v>
      </c>
      <c r="CF145" s="6">
        <f>VLOOKUP(Table1[[#This Row],[Reference]],metron,20,FALSE)</f>
        <v>5.8776172235196817</v>
      </c>
      <c r="CG145" s="6">
        <f>VLOOKUP(Table1[[#This Row],[Reference]],metron,21,FALSE)</f>
        <v>12.798739495798319</v>
      </c>
      <c r="CH145" s="6">
        <f>VLOOKUP(Table1[[#This Row],[Reference]],metron,22,FALSE)</f>
        <v>12.98844537815126</v>
      </c>
      <c r="CI145" s="6">
        <f>VLOOKUP(Table1[[#This Row],[Reference]],metron,23,FALSE)</f>
        <v>1.604928297313674</v>
      </c>
      <c r="CJ145" s="6">
        <f>VLOOKUP(Table1[[#This Row],[Reference]],metron,24,FALSE)</f>
        <v>1.791961219955565</v>
      </c>
      <c r="CK145" s="6">
        <f>VLOOKUP(Table1[[#This Row],[Reference]],metron,25,FALSE)</f>
        <v>8.887093516461321E-2</v>
      </c>
      <c r="CL145" s="6">
        <f>VLOOKUP(Table1[[#This Row],[Reference]],metron,26,FALSE)</f>
        <v>0.11694607150070691</v>
      </c>
    </row>
    <row r="146" spans="1:90" hidden="1" x14ac:dyDescent="0.45">
      <c r="A146" t="s">
        <v>696</v>
      </c>
      <c r="B146">
        <v>1636081200</v>
      </c>
      <c r="C146" s="23" t="s">
        <v>359</v>
      </c>
      <c r="D146" t="s">
        <v>65</v>
      </c>
      <c r="E146" t="s">
        <v>66</v>
      </c>
      <c r="F146" t="s">
        <v>97</v>
      </c>
      <c r="G146" t="s">
        <v>67</v>
      </c>
      <c r="H146" t="s">
        <v>165</v>
      </c>
      <c r="I146">
        <f>MROUND(Table1[[#This Row],[ProbH]]*100,2)/100</f>
        <v>0.64</v>
      </c>
      <c r="J146">
        <f>1/Table1[[#This Row],[odds_ft_home_team_win]]-Table1[[#This Row],[Margin]]</f>
        <v>0.6307424475166411</v>
      </c>
      <c r="K146">
        <f>1/Table1[[#This Row],[odds_ft_draw]]-Table1[[#This Row],[Margin]]</f>
        <v>0.22367639528929856</v>
      </c>
      <c r="L146">
        <f>1/Table1[[#This Row],[odds_ft_away_team_win]]-Table1[[#This Row],[Margin]]</f>
        <v>0.14558115719406048</v>
      </c>
      <c r="M146">
        <v>17</v>
      </c>
      <c r="N146">
        <v>1.38</v>
      </c>
      <c r="O146">
        <v>0.5</v>
      </c>
      <c r="P146">
        <v>1.55</v>
      </c>
      <c r="Q146">
        <v>0.65</v>
      </c>
      <c r="R146" t="str" cm="1">
        <f t="array" ref="R1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0</v>
      </c>
      <c r="Y146" t="s">
        <v>360</v>
      </c>
      <c r="AA146">
        <v>3</v>
      </c>
      <c r="AB146">
        <v>3</v>
      </c>
      <c r="AC146">
        <v>1</v>
      </c>
      <c r="AD146">
        <v>0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2</v>
      </c>
      <c r="AK146">
        <v>16</v>
      </c>
      <c r="AL146">
        <v>7</v>
      </c>
      <c r="AM146">
        <v>7</v>
      </c>
      <c r="AN146">
        <v>0</v>
      </c>
      <c r="AO146">
        <v>9</v>
      </c>
      <c r="AP146">
        <v>7</v>
      </c>
      <c r="AQ146">
        <v>12</v>
      </c>
      <c r="AR146">
        <v>10</v>
      </c>
      <c r="AS146">
        <v>51</v>
      </c>
      <c r="AT146">
        <v>49</v>
      </c>
      <c r="AU146">
        <v>1.86</v>
      </c>
      <c r="AV146">
        <v>0.67</v>
      </c>
      <c r="AW146">
        <v>1.51</v>
      </c>
      <c r="AX146">
        <v>26</v>
      </c>
      <c r="AY146">
        <v>57</v>
      </c>
      <c r="AZ146">
        <v>19</v>
      </c>
      <c r="BA146">
        <v>0</v>
      </c>
      <c r="BB146">
        <v>0</v>
      </c>
      <c r="BC146">
        <v>0</v>
      </c>
      <c r="BD146">
        <v>50</v>
      </c>
      <c r="BE146">
        <v>32</v>
      </c>
      <c r="BF146">
        <v>69</v>
      </c>
      <c r="BG146">
        <v>10.01</v>
      </c>
      <c r="BH146">
        <v>5.38</v>
      </c>
      <c r="BI146">
        <v>1.55</v>
      </c>
      <c r="BJ146">
        <v>4.2</v>
      </c>
      <c r="BK146">
        <v>6.25</v>
      </c>
      <c r="BL146">
        <f>(1/Table1[[#This Row],[odds_ft_home_team_win]]+1/Table1[[#This Row],[odds_ft_draw]]+1/Table1[[#This Row],[odds_ft_away_team_win]]-1)/3</f>
        <v>1.4418842805939525E-2</v>
      </c>
      <c r="BM146">
        <v>1.33</v>
      </c>
      <c r="BN146">
        <v>2.16</v>
      </c>
      <c r="BO146">
        <v>3.85</v>
      </c>
      <c r="BP146">
        <v>7.5</v>
      </c>
      <c r="BQ146">
        <v>2.2000000000000002</v>
      </c>
      <c r="BR146">
        <v>1.6</v>
      </c>
      <c r="BS146" t="s">
        <v>136</v>
      </c>
      <c r="BT146">
        <f>VLOOKUP(Table1[[#This Row],[Reference]],metron,8,FALSE)</f>
        <v>2.1745910991837163</v>
      </c>
      <c r="BU146">
        <f>VLOOKUP(Table1[[#This Row],[Reference]],metron,9,FALSE)</f>
        <v>0.59796358565236019</v>
      </c>
      <c r="BV146">
        <f>VLOOKUP(Table1[[#This Row],[Reference]],metron,10,FALSE)</f>
        <v>2.8343749999999996</v>
      </c>
      <c r="BW146">
        <f>VLOOKUP(Table1[[#This Row],[Reference]],metron,11,FALSE)</f>
        <v>1.980803571428571</v>
      </c>
      <c r="BX146">
        <f>VLOOKUP(Table1[[#This Row],[Reference]],metron,12,FALSE)</f>
        <v>0.85357142857142854</v>
      </c>
      <c r="BY146" s="6">
        <f>VLOOKUP(Table1[[#This Row],[Reference]],metron,13,FALSE)</f>
        <v>0.8683035714285714</v>
      </c>
      <c r="BZ146" s="6">
        <f>VLOOKUP(Table1[[#This Row],[Reference]],metron,14,FALSE)</f>
        <v>0.36607142857142849</v>
      </c>
      <c r="CA146" s="6">
        <f>VLOOKUP(Table1[[#This Row],[Reference]],metron,15,FALSE)</f>
        <v>15.03980099502488</v>
      </c>
      <c r="CB146" s="6">
        <f>VLOOKUP(Table1[[#This Row],[Reference]],metron,16,FALSE)</f>
        <v>8.6326699834162515</v>
      </c>
      <c r="CC146" s="6">
        <f>VLOOKUP(Table1[[#This Row],[Reference]],metron,17,FALSE)</f>
        <v>6.5189234650967203</v>
      </c>
      <c r="CD146" s="6">
        <f>VLOOKUP(Table1[[#This Row],[Reference]],metron,18,FALSE)</f>
        <v>3.4507989907485279</v>
      </c>
      <c r="CE146" s="6">
        <f>VLOOKUP(Table1[[#This Row],[Reference]],metron,19,FALSE)</f>
        <v>8.5208775299281605</v>
      </c>
      <c r="CF146" s="6">
        <f>VLOOKUP(Table1[[#This Row],[Reference]],metron,20,FALSE)</f>
        <v>5.181870992667724</v>
      </c>
      <c r="CG146" s="6">
        <f>VLOOKUP(Table1[[#This Row],[Reference]],metron,21,FALSE)</f>
        <v>12.48566610455312</v>
      </c>
      <c r="CH146" s="6">
        <f>VLOOKUP(Table1[[#This Row],[Reference]],metron,22,FALSE)</f>
        <v>13.573355817875211</v>
      </c>
      <c r="CI146" s="6">
        <f>VLOOKUP(Table1[[#This Row],[Reference]],metron,23,FALSE)</f>
        <v>1.395273023634882</v>
      </c>
      <c r="CJ146" s="6">
        <f>VLOOKUP(Table1[[#This Row],[Reference]],metron,24,FALSE)</f>
        <v>2.0586797066014668</v>
      </c>
      <c r="CK146" s="6">
        <f>VLOOKUP(Table1[[#This Row],[Reference]],metron,25,FALSE)</f>
        <v>6.8459657701711488E-2</v>
      </c>
      <c r="CL146" s="6">
        <f>VLOOKUP(Table1[[#This Row],[Reference]],metron,26,FALSE)</f>
        <v>0.12713936430317849</v>
      </c>
    </row>
    <row r="147" spans="1:90" hidden="1" x14ac:dyDescent="0.45">
      <c r="A147" t="s">
        <v>696</v>
      </c>
      <c r="B147">
        <v>1636160400</v>
      </c>
      <c r="C147" s="23" t="s">
        <v>361</v>
      </c>
      <c r="D147" t="s">
        <v>65</v>
      </c>
      <c r="E147" t="s">
        <v>66</v>
      </c>
      <c r="F147" t="s">
        <v>102</v>
      </c>
      <c r="G147" t="s">
        <v>79</v>
      </c>
      <c r="H147" t="s">
        <v>74</v>
      </c>
      <c r="I147">
        <f>MROUND(Table1[[#This Row],[ProbH]]*100,2)/100</f>
        <v>0.4</v>
      </c>
      <c r="J147">
        <f>1/Table1[[#This Row],[odds_ft_home_team_win]]-Table1[[#This Row],[Margin]]</f>
        <v>0.40682389862717727</v>
      </c>
      <c r="K147">
        <f>1/Table1[[#This Row],[odds_ft_draw]]-Table1[[#This Row],[Margin]]</f>
        <v>0.29138378318706182</v>
      </c>
      <c r="L147">
        <f>1/Table1[[#This Row],[odds_ft_away_team_win]]-Table1[[#This Row],[Margin]]</f>
        <v>0.3017923181857608</v>
      </c>
      <c r="M147">
        <v>17</v>
      </c>
      <c r="N147">
        <v>1.1299999999999999</v>
      </c>
      <c r="O147">
        <v>1.38</v>
      </c>
      <c r="P147">
        <v>1.38</v>
      </c>
      <c r="Q147">
        <v>1.29</v>
      </c>
      <c r="R147" t="str" cm="1">
        <f t="array" ref="R1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60</v>
      </c>
      <c r="AA147">
        <v>6</v>
      </c>
      <c r="AB147">
        <v>2</v>
      </c>
      <c r="AC147">
        <v>3</v>
      </c>
      <c r="AD147">
        <v>0</v>
      </c>
      <c r="AE147">
        <v>1</v>
      </c>
      <c r="AF147">
        <v>0</v>
      </c>
      <c r="AG147">
        <v>0</v>
      </c>
      <c r="AH147">
        <v>3</v>
      </c>
      <c r="AI147">
        <v>0</v>
      </c>
      <c r="AJ147">
        <v>1</v>
      </c>
      <c r="AK147">
        <v>7</v>
      </c>
      <c r="AL147">
        <v>10</v>
      </c>
      <c r="AM147">
        <v>2</v>
      </c>
      <c r="AN147">
        <v>4</v>
      </c>
      <c r="AO147">
        <v>5</v>
      </c>
      <c r="AP147">
        <v>6</v>
      </c>
      <c r="AQ147">
        <v>17</v>
      </c>
      <c r="AR147">
        <v>7</v>
      </c>
      <c r="AS147">
        <v>44</v>
      </c>
      <c r="AT147">
        <v>56</v>
      </c>
      <c r="AU147">
        <v>0.96</v>
      </c>
      <c r="AV147">
        <v>1.18</v>
      </c>
      <c r="AW147">
        <v>2.38</v>
      </c>
      <c r="AX147">
        <v>44</v>
      </c>
      <c r="AY147">
        <v>82</v>
      </c>
      <c r="AZ147">
        <v>38</v>
      </c>
      <c r="BA147">
        <v>26</v>
      </c>
      <c r="BB147">
        <v>0</v>
      </c>
      <c r="BC147">
        <v>32</v>
      </c>
      <c r="BD147">
        <v>69</v>
      </c>
      <c r="BE147">
        <v>32</v>
      </c>
      <c r="BF147">
        <v>88</v>
      </c>
      <c r="BG147">
        <v>9.1300000000000008</v>
      </c>
      <c r="BH147">
        <v>5</v>
      </c>
      <c r="BI147">
        <v>2.31</v>
      </c>
      <c r="BJ147">
        <v>3.15</v>
      </c>
      <c r="BK147">
        <v>3.05</v>
      </c>
      <c r="BL147">
        <f>(1/Table1[[#This Row],[odds_ft_home_team_win]]+1/Table1[[#This Row],[odds_ft_draw]]+1/Table1[[#This Row],[odds_ft_away_team_win]]-1)/3</f>
        <v>2.6076534273255625E-2</v>
      </c>
      <c r="BM147">
        <v>1.38</v>
      </c>
      <c r="BN147">
        <v>2.16</v>
      </c>
      <c r="BO147">
        <v>3.9</v>
      </c>
      <c r="BP147">
        <v>7.6</v>
      </c>
      <c r="BQ147">
        <v>1.91</v>
      </c>
      <c r="BR147">
        <v>1.8</v>
      </c>
      <c r="BS147" t="s">
        <v>124</v>
      </c>
      <c r="BT147">
        <f>VLOOKUP(Table1[[#This Row],[Reference]],metron,8,FALSE)</f>
        <v>1.5181603563290151</v>
      </c>
      <c r="BU147">
        <f>VLOOKUP(Table1[[#This Row],[Reference]],metron,9,FALSE)</f>
        <v>1.1952730370775513</v>
      </c>
      <c r="BV147">
        <f>VLOOKUP(Table1[[#This Row],[Reference]],metron,10,FALSE)</f>
        <v>2.4956155335383219</v>
      </c>
      <c r="BW147">
        <f>VLOOKUP(Table1[[#This Row],[Reference]],metron,11,FALSE)</f>
        <v>1.344038264434575</v>
      </c>
      <c r="BX147">
        <f>VLOOKUP(Table1[[#This Row],[Reference]],metron,12,FALSE)</f>
        <v>1.1515772691037469</v>
      </c>
      <c r="BY147" s="6">
        <f>VLOOKUP(Table1[[#This Row],[Reference]],metron,13,FALSE)</f>
        <v>0.59936225942375587</v>
      </c>
      <c r="BZ147" s="6">
        <f>VLOOKUP(Table1[[#This Row],[Reference]],metron,14,FALSE)</f>
        <v>0.50723152260562576</v>
      </c>
      <c r="CA147" s="6">
        <f>VLOOKUP(Table1[[#This Row],[Reference]],metron,15,FALSE)</f>
        <v>11.99278846153846</v>
      </c>
      <c r="CB147" s="6">
        <f>VLOOKUP(Table1[[#This Row],[Reference]],metron,16,FALSE)</f>
        <v>10.0277534965035</v>
      </c>
      <c r="CC147" s="6">
        <f>VLOOKUP(Table1[[#This Row],[Reference]],metron,17,FALSE)</f>
        <v>5.2857459543338514</v>
      </c>
      <c r="CD147" s="6">
        <f>VLOOKUP(Table1[[#This Row],[Reference]],metron,18,FALSE)</f>
        <v>4.4067834183107957</v>
      </c>
      <c r="CE147" s="6">
        <f>VLOOKUP(Table1[[#This Row],[Reference]],metron,19,FALSE)</f>
        <v>6.7070425072046085</v>
      </c>
      <c r="CF147" s="6">
        <f>VLOOKUP(Table1[[#This Row],[Reference]],metron,20,FALSE)</f>
        <v>5.6209700781927046</v>
      </c>
      <c r="CG147" s="6">
        <f>VLOOKUP(Table1[[#This Row],[Reference]],metron,21,FALSE)</f>
        <v>13.04463690872752</v>
      </c>
      <c r="CH147" s="6">
        <f>VLOOKUP(Table1[[#This Row],[Reference]],metron,22,FALSE)</f>
        <v>13.49811236953142</v>
      </c>
      <c r="CI147" s="6">
        <f>VLOOKUP(Table1[[#This Row],[Reference]],metron,23,FALSE)</f>
        <v>1.5836526181353769</v>
      </c>
      <c r="CJ147" s="6">
        <f>VLOOKUP(Table1[[#This Row],[Reference]],metron,24,FALSE)</f>
        <v>1.8744146445295871</v>
      </c>
      <c r="CK147" s="6">
        <f>VLOOKUP(Table1[[#This Row],[Reference]],metron,25,FALSE)</f>
        <v>8.5994040017028525E-2</v>
      </c>
      <c r="CL147" s="6">
        <f>VLOOKUP(Table1[[#This Row],[Reference]],metron,26,FALSE)</f>
        <v>0.13452532992762881</v>
      </c>
    </row>
    <row r="148" spans="1:90" hidden="1" x14ac:dyDescent="0.45">
      <c r="A148" t="s">
        <v>696</v>
      </c>
      <c r="B148">
        <v>1636167600</v>
      </c>
      <c r="C148" s="23" t="s">
        <v>362</v>
      </c>
      <c r="D148" t="s">
        <v>65</v>
      </c>
      <c r="E148" t="s">
        <v>66</v>
      </c>
      <c r="F148" t="s">
        <v>113</v>
      </c>
      <c r="G148" t="s">
        <v>90</v>
      </c>
      <c r="H148" t="s">
        <v>80</v>
      </c>
      <c r="I148">
        <f>MROUND(Table1[[#This Row],[ProbH]]*100,2)/100</f>
        <v>0.32</v>
      </c>
      <c r="J148">
        <f>1/Table1[[#This Row],[odds_ft_home_team_win]]-Table1[[#This Row],[Margin]]</f>
        <v>0.31728637984827879</v>
      </c>
      <c r="K148">
        <f>1/Table1[[#This Row],[odds_ft_draw]]-Table1[[#This Row],[Margin]]</f>
        <v>0.29505531720348438</v>
      </c>
      <c r="L148">
        <f>1/Table1[[#This Row],[odds_ft_away_team_win]]-Table1[[#This Row],[Margin]]</f>
        <v>0.38765830294823689</v>
      </c>
      <c r="M148">
        <v>17</v>
      </c>
      <c r="N148">
        <v>1.88</v>
      </c>
      <c r="O148">
        <v>1</v>
      </c>
      <c r="P148">
        <v>1.71</v>
      </c>
      <c r="Q148">
        <v>1.32</v>
      </c>
      <c r="R148" t="str" cm="1">
        <f t="array" ref="R1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Z148">
        <v>87</v>
      </c>
      <c r="AA148">
        <v>3</v>
      </c>
      <c r="AB148">
        <v>2</v>
      </c>
      <c r="AC148">
        <v>3</v>
      </c>
      <c r="AD148">
        <v>0</v>
      </c>
      <c r="AE148">
        <v>2</v>
      </c>
      <c r="AF148">
        <v>0</v>
      </c>
      <c r="AG148">
        <v>1</v>
      </c>
      <c r="AH148">
        <v>2</v>
      </c>
      <c r="AI148">
        <v>1</v>
      </c>
      <c r="AJ148">
        <v>1</v>
      </c>
      <c r="AK148">
        <v>10</v>
      </c>
      <c r="AL148">
        <v>8</v>
      </c>
      <c r="AM148">
        <v>7</v>
      </c>
      <c r="AN148">
        <v>4</v>
      </c>
      <c r="AO148">
        <v>3</v>
      </c>
      <c r="AP148">
        <v>4</v>
      </c>
      <c r="AQ148">
        <v>16</v>
      </c>
      <c r="AR148">
        <v>12</v>
      </c>
      <c r="AS148">
        <v>42</v>
      </c>
      <c r="AT148">
        <v>58</v>
      </c>
      <c r="AU148">
        <v>1.45</v>
      </c>
      <c r="AV148">
        <v>1.1299999999999999</v>
      </c>
      <c r="AW148">
        <v>1.88</v>
      </c>
      <c r="AX148">
        <v>44</v>
      </c>
      <c r="AY148">
        <v>57</v>
      </c>
      <c r="AZ148">
        <v>44</v>
      </c>
      <c r="BA148">
        <v>19</v>
      </c>
      <c r="BB148">
        <v>0</v>
      </c>
      <c r="BC148">
        <v>25</v>
      </c>
      <c r="BD148">
        <v>51</v>
      </c>
      <c r="BE148">
        <v>44</v>
      </c>
      <c r="BF148">
        <v>57</v>
      </c>
      <c r="BG148">
        <v>6.88</v>
      </c>
      <c r="BH148">
        <v>5.25</v>
      </c>
      <c r="BI148">
        <v>2.83</v>
      </c>
      <c r="BJ148">
        <v>3.02</v>
      </c>
      <c r="BK148">
        <v>2.36</v>
      </c>
      <c r="BL148">
        <f>(1/Table1[[#This Row],[odds_ft_home_team_win]]+1/Table1[[#This Row],[odds_ft_draw]]+1/Table1[[#This Row],[odds_ft_away_team_win]]-1)/3</f>
        <v>3.6070510611085162E-2</v>
      </c>
      <c r="BM148">
        <v>1.53</v>
      </c>
      <c r="BN148">
        <v>2.2000000000000002</v>
      </c>
      <c r="BO148">
        <v>0</v>
      </c>
      <c r="BP148">
        <v>0</v>
      </c>
      <c r="BQ148">
        <v>0</v>
      </c>
      <c r="BR148">
        <v>0</v>
      </c>
      <c r="BS148" t="s">
        <v>120</v>
      </c>
      <c r="BT148">
        <f>VLOOKUP(Table1[[#This Row],[Reference]],metron,8,FALSE)</f>
        <v>1.274681051426811</v>
      </c>
      <c r="BU148">
        <f>VLOOKUP(Table1[[#This Row],[Reference]],metron,9,FALSE)</f>
        <v>1.4392482240810365</v>
      </c>
      <c r="BV148">
        <f>VLOOKUP(Table1[[#This Row],[Reference]],metron,10,FALSE)</f>
        <v>2.5313454284174597</v>
      </c>
      <c r="BW148">
        <f>VLOOKUP(Table1[[#This Row],[Reference]],metron,11,FALSE)</f>
        <v>1.210167055864918</v>
      </c>
      <c r="BX148">
        <f>VLOOKUP(Table1[[#This Row],[Reference]],metron,12,FALSE)</f>
        <v>1.3211783725525419</v>
      </c>
      <c r="BY148" s="6">
        <f>VLOOKUP(Table1[[#This Row],[Reference]],metron,13,FALSE)</f>
        <v>0.53135669362084459</v>
      </c>
      <c r="BZ148" s="6">
        <f>VLOOKUP(Table1[[#This Row],[Reference]],metron,14,FALSE)</f>
        <v>0.55633423180592989</v>
      </c>
      <c r="CA148" s="6">
        <f>VLOOKUP(Table1[[#This Row],[Reference]],metron,15,FALSE)</f>
        <v>11.21109010712035</v>
      </c>
      <c r="CB148" s="6">
        <f>VLOOKUP(Table1[[#This Row],[Reference]],metron,16,FALSE)</f>
        <v>11.01700787401575</v>
      </c>
      <c r="CC148" s="6">
        <f>VLOOKUP(Table1[[#This Row],[Reference]],metron,17,FALSE)</f>
        <v>4.6792332268370611</v>
      </c>
      <c r="CD148" s="6">
        <f>VLOOKUP(Table1[[#This Row],[Reference]],metron,18,FALSE)</f>
        <v>4.7080804854679013</v>
      </c>
      <c r="CE148" s="6">
        <f>VLOOKUP(Table1[[#This Row],[Reference]],metron,19,FALSE)</f>
        <v>6.5318568802832893</v>
      </c>
      <c r="CF148" s="6">
        <f>VLOOKUP(Table1[[#This Row],[Reference]],metron,20,FALSE)</f>
        <v>6.3089273885478487</v>
      </c>
      <c r="CG148" s="6">
        <f>VLOOKUP(Table1[[#This Row],[Reference]],metron,21,FALSE)</f>
        <v>12.72547770700637</v>
      </c>
      <c r="CH148" s="6">
        <f>VLOOKUP(Table1[[#This Row],[Reference]],metron,22,FALSE)</f>
        <v>13.06847133757962</v>
      </c>
      <c r="CI148" s="6">
        <f>VLOOKUP(Table1[[#This Row],[Reference]],metron,23,FALSE)</f>
        <v>1.6902356902356901</v>
      </c>
      <c r="CJ148" s="6">
        <f>VLOOKUP(Table1[[#This Row],[Reference]],metron,24,FALSE)</f>
        <v>1.8050198959289869</v>
      </c>
      <c r="CK148" s="6">
        <f>VLOOKUP(Table1[[#This Row],[Reference]],metron,25,FALSE)</f>
        <v>0.105907560453015</v>
      </c>
      <c r="CL148" s="6">
        <f>VLOOKUP(Table1[[#This Row],[Reference]],metron,26,FALSE)</f>
        <v>0.1141720232629324</v>
      </c>
    </row>
    <row r="149" spans="1:90" hidden="1" x14ac:dyDescent="0.45">
      <c r="A149" t="s">
        <v>696</v>
      </c>
      <c r="B149">
        <v>1636239600</v>
      </c>
      <c r="C149" s="23" t="s">
        <v>363</v>
      </c>
      <c r="D149" t="s">
        <v>65</v>
      </c>
      <c r="E149" t="s">
        <v>66</v>
      </c>
      <c r="F149" t="s">
        <v>85</v>
      </c>
      <c r="G149" t="s">
        <v>72</v>
      </c>
      <c r="H149" t="s">
        <v>98</v>
      </c>
      <c r="I149">
        <f>MROUND(Table1[[#This Row],[ProbH]]*100,2)/100</f>
        <v>0.52</v>
      </c>
      <c r="J149">
        <f>1/Table1[[#This Row],[odds_ft_home_team_win]]-Table1[[#This Row],[Margin]]</f>
        <v>0.52777777777777779</v>
      </c>
      <c r="K149">
        <f>1/Table1[[#This Row],[odds_ft_draw]]-Table1[[#This Row],[Margin]]</f>
        <v>0.24999999999999997</v>
      </c>
      <c r="L149">
        <f>1/Table1[[#This Row],[odds_ft_away_team_win]]-Table1[[#This Row],[Margin]]</f>
        <v>0.22222222222222218</v>
      </c>
      <c r="M149">
        <v>17</v>
      </c>
      <c r="N149">
        <v>1.29</v>
      </c>
      <c r="O149">
        <v>1</v>
      </c>
      <c r="P149">
        <v>1.55</v>
      </c>
      <c r="Q149">
        <v>1.28</v>
      </c>
      <c r="R149" t="str" cm="1">
        <f t="array" ref="R1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9">
        <v>3</v>
      </c>
      <c r="T149">
        <v>0</v>
      </c>
      <c r="U149">
        <v>3</v>
      </c>
      <c r="V149">
        <v>1</v>
      </c>
      <c r="W149">
        <v>1</v>
      </c>
      <c r="X149">
        <v>0</v>
      </c>
      <c r="Y149" t="s">
        <v>364</v>
      </c>
      <c r="AA149">
        <v>2</v>
      </c>
      <c r="AB149">
        <v>8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9</v>
      </c>
      <c r="AL149">
        <v>19</v>
      </c>
      <c r="AM149">
        <v>6</v>
      </c>
      <c r="AN149">
        <v>5</v>
      </c>
      <c r="AO149">
        <v>3</v>
      </c>
      <c r="AP149">
        <v>14</v>
      </c>
      <c r="AQ149">
        <v>5</v>
      </c>
      <c r="AR149">
        <v>8</v>
      </c>
      <c r="AS149">
        <v>52</v>
      </c>
      <c r="AT149">
        <v>48</v>
      </c>
      <c r="AU149">
        <v>1.1299999999999999</v>
      </c>
      <c r="AV149">
        <v>1.9</v>
      </c>
      <c r="AW149">
        <v>1.94</v>
      </c>
      <c r="AX149">
        <v>48</v>
      </c>
      <c r="AY149">
        <v>67</v>
      </c>
      <c r="AZ149">
        <v>41</v>
      </c>
      <c r="BA149">
        <v>0</v>
      </c>
      <c r="BB149">
        <v>0</v>
      </c>
      <c r="BC149">
        <v>14</v>
      </c>
      <c r="BD149">
        <v>67</v>
      </c>
      <c r="BE149">
        <v>41</v>
      </c>
      <c r="BF149">
        <v>73</v>
      </c>
      <c r="BG149">
        <v>9.82</v>
      </c>
      <c r="BH149">
        <v>5.04</v>
      </c>
      <c r="BI149">
        <v>1.8</v>
      </c>
      <c r="BJ149">
        <v>3.6</v>
      </c>
      <c r="BK149">
        <v>4</v>
      </c>
      <c r="BL149">
        <f>(1/Table1[[#This Row],[odds_ft_home_team_win]]+1/Table1[[#This Row],[odds_ft_draw]]+1/Table1[[#This Row],[odds_ft_away_team_win]]-1)/3</f>
        <v>2.7777777777777828E-2</v>
      </c>
      <c r="BM149">
        <v>1.3</v>
      </c>
      <c r="BN149">
        <v>1.98</v>
      </c>
      <c r="BO149">
        <v>3.27</v>
      </c>
      <c r="BP149">
        <v>6.2</v>
      </c>
      <c r="BQ149">
        <v>1.82</v>
      </c>
      <c r="BR149">
        <v>1.88</v>
      </c>
      <c r="BS149" t="s">
        <v>128</v>
      </c>
      <c r="BT149">
        <f>VLOOKUP(Table1[[#This Row],[Reference]],metron,8,FALSE)</f>
        <v>1.8614830167843088</v>
      </c>
      <c r="BU149">
        <f>VLOOKUP(Table1[[#This Row],[Reference]],metron,9,FALSE)</f>
        <v>0.87079851622593896</v>
      </c>
      <c r="BV149">
        <f>VLOOKUP(Table1[[#This Row],[Reference]],metron,10,FALSE)</f>
        <v>2.5967403582378576</v>
      </c>
      <c r="BW149">
        <f>VLOOKUP(Table1[[#This Row],[Reference]],metron,11,FALSE)</f>
        <v>1.625948039373891</v>
      </c>
      <c r="BX149">
        <f>VLOOKUP(Table1[[#This Row],[Reference]],metron,12,FALSE)</f>
        <v>0.97079231886396644</v>
      </c>
      <c r="BY149" s="6">
        <f>VLOOKUP(Table1[[#This Row],[Reference]],metron,13,FALSE)</f>
        <v>0.71433182698515174</v>
      </c>
      <c r="BZ149" s="6">
        <f>VLOOKUP(Table1[[#This Row],[Reference]],metron,14,FALSE)</f>
        <v>0.43011620400258233</v>
      </c>
      <c r="CA149" s="6">
        <f>VLOOKUP(Table1[[#This Row],[Reference]],metron,15,FALSE)</f>
        <v>13.39951055368614</v>
      </c>
      <c r="CB149" s="6">
        <f>VLOOKUP(Table1[[#This Row],[Reference]],metron,16,FALSE)</f>
        <v>9.4252064851636579</v>
      </c>
      <c r="CC149" s="6">
        <f>VLOOKUP(Table1[[#This Row],[Reference]],metron,17,FALSE)</f>
        <v>5.7628422023992618</v>
      </c>
      <c r="CD149" s="6">
        <f>VLOOKUP(Table1[[#This Row],[Reference]],metron,18,FALSE)</f>
        <v>3.9375576745616732</v>
      </c>
      <c r="CE149" s="6">
        <f>VLOOKUP(Table1[[#This Row],[Reference]],metron,19,FALSE)</f>
        <v>7.636668351286878</v>
      </c>
      <c r="CF149" s="6">
        <f>VLOOKUP(Table1[[#This Row],[Reference]],metron,20,FALSE)</f>
        <v>5.4876488106019847</v>
      </c>
      <c r="CG149" s="6">
        <f>VLOOKUP(Table1[[#This Row],[Reference]],metron,21,FALSE)</f>
        <v>12.460420531849101</v>
      </c>
      <c r="CH149" s="6">
        <f>VLOOKUP(Table1[[#This Row],[Reference]],metron,22,FALSE)</f>
        <v>13.44897959183673</v>
      </c>
      <c r="CI149" s="6">
        <f>VLOOKUP(Table1[[#This Row],[Reference]],metron,23,FALSE)</f>
        <v>1.462202380952381</v>
      </c>
      <c r="CJ149" s="6">
        <f>VLOOKUP(Table1[[#This Row],[Reference]],metron,24,FALSE)</f>
        <v>2.01547619047619</v>
      </c>
      <c r="CK149" s="6">
        <f>VLOOKUP(Table1[[#This Row],[Reference]],metron,25,FALSE)</f>
        <v>7.7380952380952384E-2</v>
      </c>
      <c r="CL149" s="6">
        <f>VLOOKUP(Table1[[#This Row],[Reference]],metron,26,FALSE)</f>
        <v>0.13754093480202439</v>
      </c>
    </row>
    <row r="150" spans="1:90" hidden="1" x14ac:dyDescent="0.45">
      <c r="A150" t="s">
        <v>696</v>
      </c>
      <c r="B150">
        <v>1636246800</v>
      </c>
      <c r="C150" s="23" t="s">
        <v>365</v>
      </c>
      <c r="D150" t="s">
        <v>65</v>
      </c>
      <c r="E150" t="s">
        <v>66</v>
      </c>
      <c r="F150" t="s">
        <v>68</v>
      </c>
      <c r="G150" t="s">
        <v>101</v>
      </c>
      <c r="H150" t="s">
        <v>114</v>
      </c>
      <c r="I150">
        <f>MROUND(Table1[[#This Row],[ProbH]]*100,2)/100</f>
        <v>0.36</v>
      </c>
      <c r="J150">
        <f>1/Table1[[#This Row],[odds_ft_home_team_win]]-Table1[[#This Row],[Margin]]</f>
        <v>0.36808603707558407</v>
      </c>
      <c r="K150">
        <f>1/Table1[[#This Row],[odds_ft_draw]]-Table1[[#This Row],[Margin]]</f>
        <v>0.32355913540582532</v>
      </c>
      <c r="L150">
        <f>1/Table1[[#This Row],[odds_ft_away_team_win]]-Table1[[#This Row],[Margin]]</f>
        <v>0.30835482751859056</v>
      </c>
      <c r="M150">
        <v>17</v>
      </c>
      <c r="N150">
        <v>2.75</v>
      </c>
      <c r="O150">
        <v>0.88</v>
      </c>
      <c r="P150">
        <v>1.9</v>
      </c>
      <c r="Q150">
        <v>1.05</v>
      </c>
      <c r="R150" t="str" cm="1">
        <f t="array" ref="R1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AA150">
        <v>5</v>
      </c>
      <c r="AB150">
        <v>6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2</v>
      </c>
      <c r="AK150">
        <v>14</v>
      </c>
      <c r="AL150">
        <v>9</v>
      </c>
      <c r="AM150">
        <v>4</v>
      </c>
      <c r="AN150">
        <v>3</v>
      </c>
      <c r="AO150">
        <v>10</v>
      </c>
      <c r="AP150">
        <v>6</v>
      </c>
      <c r="AQ150">
        <v>7</v>
      </c>
      <c r="AR150">
        <v>5</v>
      </c>
      <c r="AS150">
        <v>54</v>
      </c>
      <c r="AT150">
        <v>46</v>
      </c>
      <c r="AU150">
        <v>1.41</v>
      </c>
      <c r="AV150">
        <v>1.03</v>
      </c>
      <c r="AW150">
        <v>2.2599999999999998</v>
      </c>
      <c r="AX150">
        <v>57</v>
      </c>
      <c r="AY150">
        <v>82</v>
      </c>
      <c r="AZ150">
        <v>38</v>
      </c>
      <c r="BA150">
        <v>13</v>
      </c>
      <c r="BB150">
        <v>0</v>
      </c>
      <c r="BC150">
        <v>19</v>
      </c>
      <c r="BD150">
        <v>63</v>
      </c>
      <c r="BE150">
        <v>38</v>
      </c>
      <c r="BF150">
        <v>82</v>
      </c>
      <c r="BG150">
        <v>8.8800000000000008</v>
      </c>
      <c r="BH150">
        <v>4.38</v>
      </c>
      <c r="BI150">
        <v>2.4500000000000002</v>
      </c>
      <c r="BJ150">
        <v>2.75</v>
      </c>
      <c r="BK150">
        <v>2.87</v>
      </c>
      <c r="BL150">
        <f>(1/Table1[[#This Row],[odds_ft_home_team_win]]+1/Table1[[#This Row],[odds_ft_draw]]+1/Table1[[#This Row],[odds_ft_away_team_win]]-1)/3</f>
        <v>4.007722823053831E-2</v>
      </c>
      <c r="BM150">
        <v>1.53</v>
      </c>
      <c r="BN150">
        <v>2.2000000000000002</v>
      </c>
      <c r="BO150">
        <v>4.0999999999999996</v>
      </c>
      <c r="BP150">
        <v>8.1</v>
      </c>
      <c r="BQ150">
        <v>2</v>
      </c>
      <c r="BR150">
        <v>1.77</v>
      </c>
      <c r="BS150" t="s">
        <v>116</v>
      </c>
      <c r="BT150">
        <f>VLOOKUP(Table1[[#This Row],[Reference]],metron,8,FALSE)</f>
        <v>1.4023864615972674</v>
      </c>
      <c r="BU150">
        <f>VLOOKUP(Table1[[#This Row],[Reference]],metron,9,FALSE)</f>
        <v>1.3093265904245279</v>
      </c>
      <c r="BV150">
        <f>VLOOKUP(Table1[[#This Row],[Reference]],metron,10,FALSE)</f>
        <v>2.5110350525197691</v>
      </c>
      <c r="BW150">
        <f>VLOOKUP(Table1[[#This Row],[Reference]],metron,11,FALSE)</f>
        <v>1.269326094653606</v>
      </c>
      <c r="BX150">
        <f>VLOOKUP(Table1[[#This Row],[Reference]],metron,12,FALSE)</f>
        <v>1.2417089578661631</v>
      </c>
      <c r="BY150" s="6">
        <f>VLOOKUP(Table1[[#This Row],[Reference]],metron,13,FALSE)</f>
        <v>0.56586402266288949</v>
      </c>
      <c r="BZ150" s="6">
        <f>VLOOKUP(Table1[[#This Row],[Reference]],metron,14,FALSE)</f>
        <v>0.55158168083097259</v>
      </c>
      <c r="CA150" s="6">
        <f>VLOOKUP(Table1[[#This Row],[Reference]],metron,15,FALSE)</f>
        <v>11.49400826446281</v>
      </c>
      <c r="CB150" s="6">
        <f>VLOOKUP(Table1[[#This Row],[Reference]],metron,16,FALSE)</f>
        <v>10.507231404958681</v>
      </c>
      <c r="CC150" s="6">
        <f>VLOOKUP(Table1[[#This Row],[Reference]],metron,17,FALSE)</f>
        <v>4.9238790406673623</v>
      </c>
      <c r="CD150" s="6">
        <f>VLOOKUP(Table1[[#This Row],[Reference]],metron,18,FALSE)</f>
        <v>4.6296141814389991</v>
      </c>
      <c r="CE150" s="6">
        <f>VLOOKUP(Table1[[#This Row],[Reference]],metron,19,FALSE)</f>
        <v>6.5701292237954476</v>
      </c>
      <c r="CF150" s="6">
        <f>VLOOKUP(Table1[[#This Row],[Reference]],metron,20,FALSE)</f>
        <v>5.8776172235196817</v>
      </c>
      <c r="CG150" s="6">
        <f>VLOOKUP(Table1[[#This Row],[Reference]],metron,21,FALSE)</f>
        <v>12.798739495798319</v>
      </c>
      <c r="CH150" s="6">
        <f>VLOOKUP(Table1[[#This Row],[Reference]],metron,22,FALSE)</f>
        <v>12.98844537815126</v>
      </c>
      <c r="CI150" s="6">
        <f>VLOOKUP(Table1[[#This Row],[Reference]],metron,23,FALSE)</f>
        <v>1.604928297313674</v>
      </c>
      <c r="CJ150" s="6">
        <f>VLOOKUP(Table1[[#This Row],[Reference]],metron,24,FALSE)</f>
        <v>1.791961219955565</v>
      </c>
      <c r="CK150" s="6">
        <f>VLOOKUP(Table1[[#This Row],[Reference]],metron,25,FALSE)</f>
        <v>8.887093516461321E-2</v>
      </c>
      <c r="CL150" s="6">
        <f>VLOOKUP(Table1[[#This Row],[Reference]],metron,26,FALSE)</f>
        <v>0.11694607150070691</v>
      </c>
    </row>
    <row r="151" spans="1:90" hidden="1" x14ac:dyDescent="0.45">
      <c r="A151" t="s">
        <v>696</v>
      </c>
      <c r="B151">
        <v>1636254000</v>
      </c>
      <c r="C151" s="23" t="s">
        <v>366</v>
      </c>
      <c r="D151" t="s">
        <v>65</v>
      </c>
      <c r="E151" t="s">
        <v>66</v>
      </c>
      <c r="F151" t="s">
        <v>107</v>
      </c>
      <c r="G151" t="s">
        <v>78</v>
      </c>
      <c r="H151" t="s">
        <v>108</v>
      </c>
      <c r="I151">
        <f>MROUND(Table1[[#This Row],[ProbH]]*100,2)/100</f>
        <v>0.64</v>
      </c>
      <c r="J151">
        <f>1/Table1[[#This Row],[odds_ft_home_team_win]]-Table1[[#This Row],[Margin]]</f>
        <v>0.6339031339031338</v>
      </c>
      <c r="K151">
        <f>1/Table1[[#This Row],[odds_ft_draw]]-Table1[[#This Row],[Margin]]</f>
        <v>0.24501424501424499</v>
      </c>
      <c r="L151">
        <f>1/Table1[[#This Row],[odds_ft_away_team_win]]-Table1[[#This Row],[Margin]]</f>
        <v>0.12108262108262105</v>
      </c>
      <c r="M151">
        <v>17</v>
      </c>
      <c r="N151">
        <v>1.75</v>
      </c>
      <c r="O151">
        <v>0.63</v>
      </c>
      <c r="P151">
        <v>2</v>
      </c>
      <c r="Q151">
        <v>0.71</v>
      </c>
      <c r="R151" t="str" cm="1">
        <f t="array" ref="R1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1">
        <v>3</v>
      </c>
      <c r="T151">
        <v>0</v>
      </c>
      <c r="U151">
        <v>3</v>
      </c>
      <c r="V151">
        <v>1</v>
      </c>
      <c r="W151">
        <v>1</v>
      </c>
      <c r="X151">
        <v>0</v>
      </c>
      <c r="Y151" t="s">
        <v>367</v>
      </c>
      <c r="AA151">
        <v>5</v>
      </c>
      <c r="AB151">
        <v>3</v>
      </c>
      <c r="AC151">
        <v>0</v>
      </c>
      <c r="AD151">
        <v>0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17</v>
      </c>
      <c r="AL151">
        <v>8</v>
      </c>
      <c r="AM151">
        <v>6</v>
      </c>
      <c r="AN151">
        <v>4</v>
      </c>
      <c r="AO151">
        <v>11</v>
      </c>
      <c r="AP151">
        <v>4</v>
      </c>
      <c r="AQ151">
        <v>8</v>
      </c>
      <c r="AR151">
        <v>11</v>
      </c>
      <c r="AS151">
        <v>60</v>
      </c>
      <c r="AT151">
        <v>40</v>
      </c>
      <c r="AU151">
        <v>1.9</v>
      </c>
      <c r="AV151">
        <v>0.93</v>
      </c>
      <c r="AW151">
        <v>2.13</v>
      </c>
      <c r="AX151">
        <v>44</v>
      </c>
      <c r="AY151">
        <v>69</v>
      </c>
      <c r="AZ151">
        <v>38</v>
      </c>
      <c r="BA151">
        <v>19</v>
      </c>
      <c r="BB151">
        <v>0</v>
      </c>
      <c r="BC151">
        <v>25</v>
      </c>
      <c r="BD151">
        <v>57</v>
      </c>
      <c r="BE151">
        <v>38</v>
      </c>
      <c r="BF151">
        <v>88</v>
      </c>
      <c r="BG151">
        <v>7.76</v>
      </c>
      <c r="BH151">
        <v>4.63</v>
      </c>
      <c r="BI151">
        <v>1.5</v>
      </c>
      <c r="BJ151">
        <v>3.6</v>
      </c>
      <c r="BK151">
        <v>6.5</v>
      </c>
      <c r="BL151">
        <f>(1/Table1[[#This Row],[odds_ft_home_team_win]]+1/Table1[[#This Row],[odds_ft_draw]]+1/Table1[[#This Row],[odds_ft_away_team_win]]-1)/3</f>
        <v>3.2763532763532797E-2</v>
      </c>
      <c r="BM151">
        <v>1.37</v>
      </c>
      <c r="BN151">
        <v>2.15</v>
      </c>
      <c r="BO151">
        <v>3.83</v>
      </c>
      <c r="BP151">
        <v>7.45</v>
      </c>
      <c r="BQ151">
        <v>2.25</v>
      </c>
      <c r="BR151">
        <v>1.62</v>
      </c>
      <c r="BS151" t="s">
        <v>161</v>
      </c>
      <c r="BT151">
        <f>VLOOKUP(Table1[[#This Row],[Reference]],metron,8,FALSE)</f>
        <v>2.1745910991837163</v>
      </c>
      <c r="BU151">
        <f>VLOOKUP(Table1[[#This Row],[Reference]],metron,9,FALSE)</f>
        <v>0.59796358565236019</v>
      </c>
      <c r="BV151">
        <f>VLOOKUP(Table1[[#This Row],[Reference]],metron,10,FALSE)</f>
        <v>2.8343749999999996</v>
      </c>
      <c r="BW151">
        <f>VLOOKUP(Table1[[#This Row],[Reference]],metron,11,FALSE)</f>
        <v>1.980803571428571</v>
      </c>
      <c r="BX151">
        <f>VLOOKUP(Table1[[#This Row],[Reference]],metron,12,FALSE)</f>
        <v>0.85357142857142854</v>
      </c>
      <c r="BY151" s="6">
        <f>VLOOKUP(Table1[[#This Row],[Reference]],metron,13,FALSE)</f>
        <v>0.8683035714285714</v>
      </c>
      <c r="BZ151" s="6">
        <f>VLOOKUP(Table1[[#This Row],[Reference]],metron,14,FALSE)</f>
        <v>0.36607142857142849</v>
      </c>
      <c r="CA151" s="6">
        <f>VLOOKUP(Table1[[#This Row],[Reference]],metron,15,FALSE)</f>
        <v>15.03980099502488</v>
      </c>
      <c r="CB151" s="6">
        <f>VLOOKUP(Table1[[#This Row],[Reference]],metron,16,FALSE)</f>
        <v>8.6326699834162515</v>
      </c>
      <c r="CC151" s="6">
        <f>VLOOKUP(Table1[[#This Row],[Reference]],metron,17,FALSE)</f>
        <v>6.5189234650967203</v>
      </c>
      <c r="CD151" s="6">
        <f>VLOOKUP(Table1[[#This Row],[Reference]],metron,18,FALSE)</f>
        <v>3.4507989907485279</v>
      </c>
      <c r="CE151" s="6">
        <f>VLOOKUP(Table1[[#This Row],[Reference]],metron,19,FALSE)</f>
        <v>8.5208775299281605</v>
      </c>
      <c r="CF151" s="6">
        <f>VLOOKUP(Table1[[#This Row],[Reference]],metron,20,FALSE)</f>
        <v>5.181870992667724</v>
      </c>
      <c r="CG151" s="6">
        <f>VLOOKUP(Table1[[#This Row],[Reference]],metron,21,FALSE)</f>
        <v>12.48566610455312</v>
      </c>
      <c r="CH151" s="6">
        <f>VLOOKUP(Table1[[#This Row],[Reference]],metron,22,FALSE)</f>
        <v>13.573355817875211</v>
      </c>
      <c r="CI151" s="6">
        <f>VLOOKUP(Table1[[#This Row],[Reference]],metron,23,FALSE)</f>
        <v>1.395273023634882</v>
      </c>
      <c r="CJ151" s="6">
        <f>VLOOKUP(Table1[[#This Row],[Reference]],metron,24,FALSE)</f>
        <v>2.0586797066014668</v>
      </c>
      <c r="CK151" s="6">
        <f>VLOOKUP(Table1[[#This Row],[Reference]],metron,25,FALSE)</f>
        <v>6.8459657701711488E-2</v>
      </c>
      <c r="CL151" s="6">
        <f>VLOOKUP(Table1[[#This Row],[Reference]],metron,26,FALSE)</f>
        <v>0.12713936430317849</v>
      </c>
    </row>
    <row r="152" spans="1:90" hidden="1" x14ac:dyDescent="0.45">
      <c r="A152" t="s">
        <v>696</v>
      </c>
      <c r="B152">
        <v>1636254360</v>
      </c>
      <c r="C152" s="23" t="s">
        <v>368</v>
      </c>
      <c r="D152" t="s">
        <v>65</v>
      </c>
      <c r="E152" t="s">
        <v>66</v>
      </c>
      <c r="F152" t="s">
        <v>106</v>
      </c>
      <c r="G152" t="s">
        <v>84</v>
      </c>
      <c r="H152" t="s">
        <v>92</v>
      </c>
      <c r="I152">
        <f>MROUND(Table1[[#This Row],[ProbH]]*100,2)/100</f>
        <v>0.3</v>
      </c>
      <c r="J152">
        <f>1/Table1[[#This Row],[odds_ft_home_team_win]]-Table1[[#This Row],[Margin]]</f>
        <v>0.30334832583708143</v>
      </c>
      <c r="K152">
        <f>1/Table1[[#This Row],[odds_ft_draw]]-Table1[[#This Row],[Margin]]</f>
        <v>0.30334832583708143</v>
      </c>
      <c r="L152">
        <f>1/Table1[[#This Row],[odds_ft_away_team_win]]-Table1[[#This Row],[Margin]]</f>
        <v>0.39330334832583708</v>
      </c>
      <c r="M152">
        <v>17</v>
      </c>
      <c r="N152">
        <v>0.88</v>
      </c>
      <c r="O152">
        <v>1</v>
      </c>
      <c r="P152">
        <v>1.35</v>
      </c>
      <c r="Q152">
        <v>1.42</v>
      </c>
      <c r="R152" t="str" cm="1">
        <f t="array" ref="R1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2">
        <v>3</v>
      </c>
      <c r="T152">
        <v>2</v>
      </c>
      <c r="U152">
        <v>5</v>
      </c>
      <c r="V152">
        <v>2</v>
      </c>
      <c r="W152">
        <v>1</v>
      </c>
      <c r="X152">
        <v>1</v>
      </c>
      <c r="Y152" t="s">
        <v>369</v>
      </c>
      <c r="Z152" t="s">
        <v>370</v>
      </c>
      <c r="AA152">
        <v>2</v>
      </c>
      <c r="AB152">
        <v>7</v>
      </c>
      <c r="AC152">
        <v>1</v>
      </c>
      <c r="AD152">
        <v>0</v>
      </c>
      <c r="AE152">
        <v>2</v>
      </c>
      <c r="AF152">
        <v>0</v>
      </c>
      <c r="AG152">
        <v>1</v>
      </c>
      <c r="AH152">
        <v>0</v>
      </c>
      <c r="AI152">
        <v>0</v>
      </c>
      <c r="AJ152">
        <v>2</v>
      </c>
      <c r="AK152">
        <v>16</v>
      </c>
      <c r="AL152">
        <v>23</v>
      </c>
      <c r="AM152">
        <v>8</v>
      </c>
      <c r="AN152">
        <v>8</v>
      </c>
      <c r="AO152">
        <v>8</v>
      </c>
      <c r="AP152">
        <v>15</v>
      </c>
      <c r="AQ152">
        <v>7</v>
      </c>
      <c r="AR152">
        <v>8</v>
      </c>
      <c r="AS152">
        <v>59</v>
      </c>
      <c r="AT152">
        <v>41</v>
      </c>
      <c r="AU152">
        <v>2.02</v>
      </c>
      <c r="AV152">
        <v>2.36</v>
      </c>
      <c r="AW152">
        <v>2.23</v>
      </c>
      <c r="AX152">
        <v>54</v>
      </c>
      <c r="AY152">
        <v>75</v>
      </c>
      <c r="AZ152">
        <v>48</v>
      </c>
      <c r="BA152">
        <v>14</v>
      </c>
      <c r="BB152">
        <v>0</v>
      </c>
      <c r="BC152">
        <v>28</v>
      </c>
      <c r="BD152">
        <v>81</v>
      </c>
      <c r="BE152">
        <v>20</v>
      </c>
      <c r="BF152">
        <v>82</v>
      </c>
      <c r="BG152">
        <v>10.43</v>
      </c>
      <c r="BH152">
        <v>4.5599999999999996</v>
      </c>
      <c r="BI152">
        <v>2.9</v>
      </c>
      <c r="BJ152">
        <v>2.9</v>
      </c>
      <c r="BK152">
        <v>2.2999999999999998</v>
      </c>
      <c r="BL152">
        <f>(1/Table1[[#This Row],[odds_ft_home_team_win]]+1/Table1[[#This Row],[odds_ft_draw]]+1/Table1[[#This Row],[odds_ft_away_team_win]]-1)/3</f>
        <v>4.1479260369815162E-2</v>
      </c>
      <c r="BM152">
        <v>1.4</v>
      </c>
      <c r="BN152">
        <v>2.2000000000000002</v>
      </c>
      <c r="BO152">
        <v>4.08</v>
      </c>
      <c r="BP152">
        <v>8.0500000000000007</v>
      </c>
      <c r="BQ152">
        <v>1.91</v>
      </c>
      <c r="BR152">
        <v>1.8</v>
      </c>
      <c r="BS152" t="s">
        <v>110</v>
      </c>
      <c r="BT152">
        <f>VLOOKUP(Table1[[#This Row],[Reference]],metron,8,FALSE)</f>
        <v>1.2142445227270171</v>
      </c>
      <c r="BU152">
        <f>VLOOKUP(Table1[[#This Row],[Reference]],metron,9,FALSE)</f>
        <v>1.4993969533036628</v>
      </c>
      <c r="BV152">
        <f>VLOOKUP(Table1[[#This Row],[Reference]],metron,10,FALSE)</f>
        <v>2.5726407816919519</v>
      </c>
      <c r="BW152">
        <f>VLOOKUP(Table1[[#This Row],[Reference]],metron,11,FALSE)</f>
        <v>1.1805091283106199</v>
      </c>
      <c r="BX152">
        <f>VLOOKUP(Table1[[#This Row],[Reference]],metron,12,FALSE)</f>
        <v>1.3921316533813319</v>
      </c>
      <c r="BY152" s="6">
        <f>VLOOKUP(Table1[[#This Row],[Reference]],metron,13,FALSE)</f>
        <v>0.5209673269873939</v>
      </c>
      <c r="BZ152" s="6">
        <f>VLOOKUP(Table1[[#This Row],[Reference]],metron,14,FALSE)</f>
        <v>0.61847182917417032</v>
      </c>
      <c r="CA152" s="6">
        <f>VLOOKUP(Table1[[#This Row],[Reference]],metron,15,FALSE)</f>
        <v>11.149200710479571</v>
      </c>
      <c r="CB152" s="6">
        <f>VLOOKUP(Table1[[#This Row],[Reference]],metron,16,FALSE)</f>
        <v>11.444049733570161</v>
      </c>
      <c r="CC152" s="6">
        <f>VLOOKUP(Table1[[#This Row],[Reference]],metron,17,FALSE)</f>
        <v>4.5257270693512304</v>
      </c>
      <c r="CD152" s="6">
        <f>VLOOKUP(Table1[[#This Row],[Reference]],metron,18,FALSE)</f>
        <v>4.8465324384787474</v>
      </c>
      <c r="CE152" s="6">
        <f>VLOOKUP(Table1[[#This Row],[Reference]],metron,19,FALSE)</f>
        <v>6.6234736411283404</v>
      </c>
      <c r="CF152" s="6">
        <f>VLOOKUP(Table1[[#This Row],[Reference]],metron,20,FALSE)</f>
        <v>6.5975172950914134</v>
      </c>
      <c r="CG152" s="6">
        <f>VLOOKUP(Table1[[#This Row],[Reference]],metron,21,FALSE)</f>
        <v>12.90081154192967</v>
      </c>
      <c r="CH152" s="6">
        <f>VLOOKUP(Table1[[#This Row],[Reference]],metron,22,FALSE)</f>
        <v>13.00360685302074</v>
      </c>
      <c r="CI152" s="6">
        <f>VLOOKUP(Table1[[#This Row],[Reference]],metron,23,FALSE)</f>
        <v>1.7502145922746779</v>
      </c>
      <c r="CJ152" s="6">
        <f>VLOOKUP(Table1[[#This Row],[Reference]],metron,24,FALSE)</f>
        <v>1.831402831402831</v>
      </c>
      <c r="CK152" s="6">
        <f>VLOOKUP(Table1[[#This Row],[Reference]],metron,25,FALSE)</f>
        <v>9.6525096525096526E-2</v>
      </c>
      <c r="CL152" s="6">
        <f>VLOOKUP(Table1[[#This Row],[Reference]],metron,26,FALSE)</f>
        <v>0.1244101244101244</v>
      </c>
    </row>
    <row r="153" spans="1:90" hidden="1" x14ac:dyDescent="0.45">
      <c r="A153" t="s">
        <v>696</v>
      </c>
      <c r="B153">
        <v>1636326000</v>
      </c>
      <c r="C153" s="23" t="s">
        <v>371</v>
      </c>
      <c r="D153" t="s">
        <v>65</v>
      </c>
      <c r="E153" t="s">
        <v>66</v>
      </c>
      <c r="F153" t="s">
        <v>96</v>
      </c>
      <c r="G153" t="s">
        <v>112</v>
      </c>
      <c r="H153" t="s">
        <v>69</v>
      </c>
      <c r="I153">
        <f>MROUND(Table1[[#This Row],[ProbH]]*100,2)/100</f>
        <v>0.3</v>
      </c>
      <c r="J153">
        <f>1/Table1[[#This Row],[odds_ft_home_team_win]]-Table1[[#This Row],[Margin]]</f>
        <v>0.29383995585600048</v>
      </c>
      <c r="K153">
        <f>1/Table1[[#This Row],[odds_ft_draw]]-Table1[[#This Row],[Margin]]</f>
        <v>0.30424849085469946</v>
      </c>
      <c r="L153">
        <f>1/Table1[[#This Row],[odds_ft_away_team_win]]-Table1[[#This Row],[Margin]]</f>
        <v>0.40191155328930006</v>
      </c>
      <c r="M153">
        <v>17</v>
      </c>
      <c r="N153">
        <v>1.5</v>
      </c>
      <c r="O153">
        <v>1.38</v>
      </c>
      <c r="P153">
        <v>1.58</v>
      </c>
      <c r="Q153">
        <v>1.5</v>
      </c>
      <c r="R153" t="str" cm="1">
        <f t="array" ref="R1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3">
        <v>4</v>
      </c>
      <c r="T153">
        <v>3</v>
      </c>
      <c r="U153">
        <v>7</v>
      </c>
      <c r="V153">
        <v>4</v>
      </c>
      <c r="W153">
        <v>1</v>
      </c>
      <c r="X153">
        <v>3</v>
      </c>
      <c r="Y153" t="s">
        <v>372</v>
      </c>
      <c r="Z153" t="s">
        <v>373</v>
      </c>
      <c r="AA153">
        <v>8</v>
      </c>
      <c r="AB153">
        <v>5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20</v>
      </c>
      <c r="AL153">
        <v>14</v>
      </c>
      <c r="AM153">
        <v>8</v>
      </c>
      <c r="AN153">
        <v>6</v>
      </c>
      <c r="AO153">
        <v>12</v>
      </c>
      <c r="AP153">
        <v>8</v>
      </c>
      <c r="AQ153">
        <v>8</v>
      </c>
      <c r="AR153">
        <v>8</v>
      </c>
      <c r="AS153">
        <v>54</v>
      </c>
      <c r="AT153">
        <v>46</v>
      </c>
      <c r="AU153">
        <v>2.0499999999999998</v>
      </c>
      <c r="AV153">
        <v>1.47</v>
      </c>
      <c r="AW153">
        <v>1.69</v>
      </c>
      <c r="AX153">
        <v>44</v>
      </c>
      <c r="AY153">
        <v>57</v>
      </c>
      <c r="AZ153">
        <v>32</v>
      </c>
      <c r="BA153">
        <v>13</v>
      </c>
      <c r="BB153">
        <v>0</v>
      </c>
      <c r="BC153">
        <v>26</v>
      </c>
      <c r="BD153">
        <v>51</v>
      </c>
      <c r="BE153">
        <v>26</v>
      </c>
      <c r="BF153">
        <v>51</v>
      </c>
      <c r="BG153">
        <v>8.1300000000000008</v>
      </c>
      <c r="BH153">
        <v>6.13</v>
      </c>
      <c r="BI153">
        <v>3.15</v>
      </c>
      <c r="BJ153">
        <v>3.05</v>
      </c>
      <c r="BK153">
        <v>2.35</v>
      </c>
      <c r="BL153">
        <f>(1/Table1[[#This Row],[odds_ft_home_team_win]]+1/Table1[[#This Row],[odds_ft_draw]]+1/Table1[[#This Row],[odds_ft_away_team_win]]-1)/3</f>
        <v>2.3620361604316981E-2</v>
      </c>
      <c r="BM153">
        <v>1.5</v>
      </c>
      <c r="BN153">
        <v>2.29</v>
      </c>
      <c r="BO153">
        <v>4.75</v>
      </c>
      <c r="BP153">
        <v>9.4</v>
      </c>
      <c r="BQ153">
        <v>2.08</v>
      </c>
      <c r="BR153">
        <v>1.68</v>
      </c>
      <c r="BS153" t="s">
        <v>99</v>
      </c>
      <c r="BT153">
        <f>VLOOKUP(Table1[[#This Row],[Reference]],metron,8,FALSE)</f>
        <v>1.2142445227270171</v>
      </c>
      <c r="BU153">
        <f>VLOOKUP(Table1[[#This Row],[Reference]],metron,9,FALSE)</f>
        <v>1.4993969533036628</v>
      </c>
      <c r="BV153">
        <f>VLOOKUP(Table1[[#This Row],[Reference]],metron,10,FALSE)</f>
        <v>2.5726407816919519</v>
      </c>
      <c r="BW153">
        <f>VLOOKUP(Table1[[#This Row],[Reference]],metron,11,FALSE)</f>
        <v>1.1805091283106199</v>
      </c>
      <c r="BX153">
        <f>VLOOKUP(Table1[[#This Row],[Reference]],metron,12,FALSE)</f>
        <v>1.3921316533813319</v>
      </c>
      <c r="BY153" s="6">
        <f>VLOOKUP(Table1[[#This Row],[Reference]],metron,13,FALSE)</f>
        <v>0.5209673269873939</v>
      </c>
      <c r="BZ153" s="6">
        <f>VLOOKUP(Table1[[#This Row],[Reference]],metron,14,FALSE)</f>
        <v>0.61847182917417032</v>
      </c>
      <c r="CA153" s="6">
        <f>VLOOKUP(Table1[[#This Row],[Reference]],metron,15,FALSE)</f>
        <v>11.149200710479571</v>
      </c>
      <c r="CB153" s="6">
        <f>VLOOKUP(Table1[[#This Row],[Reference]],metron,16,FALSE)</f>
        <v>11.444049733570161</v>
      </c>
      <c r="CC153" s="6">
        <f>VLOOKUP(Table1[[#This Row],[Reference]],metron,17,FALSE)</f>
        <v>4.5257270693512304</v>
      </c>
      <c r="CD153" s="6">
        <f>VLOOKUP(Table1[[#This Row],[Reference]],metron,18,FALSE)</f>
        <v>4.8465324384787474</v>
      </c>
      <c r="CE153" s="6">
        <f>VLOOKUP(Table1[[#This Row],[Reference]],metron,19,FALSE)</f>
        <v>6.6234736411283404</v>
      </c>
      <c r="CF153" s="6">
        <f>VLOOKUP(Table1[[#This Row],[Reference]],metron,20,FALSE)</f>
        <v>6.5975172950914134</v>
      </c>
      <c r="CG153" s="6">
        <f>VLOOKUP(Table1[[#This Row],[Reference]],metron,21,FALSE)</f>
        <v>12.90081154192967</v>
      </c>
      <c r="CH153" s="6">
        <f>VLOOKUP(Table1[[#This Row],[Reference]],metron,22,FALSE)</f>
        <v>13.00360685302074</v>
      </c>
      <c r="CI153" s="6">
        <f>VLOOKUP(Table1[[#This Row],[Reference]],metron,23,FALSE)</f>
        <v>1.7502145922746779</v>
      </c>
      <c r="CJ153" s="6">
        <f>VLOOKUP(Table1[[#This Row],[Reference]],metron,24,FALSE)</f>
        <v>1.831402831402831</v>
      </c>
      <c r="CK153" s="6">
        <f>VLOOKUP(Table1[[#This Row],[Reference]],metron,25,FALSE)</f>
        <v>9.6525096525096526E-2</v>
      </c>
      <c r="CL153" s="6">
        <f>VLOOKUP(Table1[[#This Row],[Reference]],metron,26,FALSE)</f>
        <v>0.1244101244101244</v>
      </c>
    </row>
    <row r="154" spans="1:90" hidden="1" x14ac:dyDescent="0.45">
      <c r="A154" t="s">
        <v>696</v>
      </c>
      <c r="B154">
        <v>1636333560</v>
      </c>
      <c r="C154" s="23" t="s">
        <v>374</v>
      </c>
      <c r="D154" t="s">
        <v>65</v>
      </c>
      <c r="E154" t="s">
        <v>66</v>
      </c>
      <c r="F154" t="s">
        <v>73</v>
      </c>
      <c r="G154" t="s">
        <v>91</v>
      </c>
      <c r="H154" t="s">
        <v>122</v>
      </c>
      <c r="I154">
        <f>MROUND(Table1[[#This Row],[ProbH]]*100,2)/100</f>
        <v>0.56000000000000005</v>
      </c>
      <c r="J154">
        <f>1/Table1[[#This Row],[odds_ft_home_team_win]]-Table1[[#This Row],[Margin]]</f>
        <v>0.56567932137393961</v>
      </c>
      <c r="K154">
        <f>1/Table1[[#This Row],[odds_ft_draw]]-Table1[[#This Row],[Margin]]</f>
        <v>0.2441106939229592</v>
      </c>
      <c r="L154">
        <f>1/Table1[[#This Row],[odds_ft_away_team_win]]-Table1[[#This Row],[Margin]]</f>
        <v>0.19020998470310105</v>
      </c>
      <c r="M154">
        <v>17</v>
      </c>
      <c r="N154">
        <v>1.38</v>
      </c>
      <c r="O154">
        <v>1.63</v>
      </c>
      <c r="P154">
        <v>1.58</v>
      </c>
      <c r="Q154">
        <v>1.25</v>
      </c>
      <c r="R154" t="str" cm="1">
        <f t="array" ref="R1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AA154">
        <v>12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21</v>
      </c>
      <c r="AL154">
        <v>7</v>
      </c>
      <c r="AM154">
        <v>4</v>
      </c>
      <c r="AN154">
        <v>2</v>
      </c>
      <c r="AO154">
        <v>17</v>
      </c>
      <c r="AP154">
        <v>5</v>
      </c>
      <c r="AQ154">
        <v>5</v>
      </c>
      <c r="AR154">
        <v>8</v>
      </c>
      <c r="AS154">
        <v>52</v>
      </c>
      <c r="AT154">
        <v>48</v>
      </c>
      <c r="AU154">
        <v>2.13</v>
      </c>
      <c r="AV154">
        <v>0.83</v>
      </c>
      <c r="AW154">
        <v>2.19</v>
      </c>
      <c r="AX154">
        <v>63</v>
      </c>
      <c r="AY154">
        <v>69</v>
      </c>
      <c r="AZ154">
        <v>44</v>
      </c>
      <c r="BA154">
        <v>26</v>
      </c>
      <c r="BB154">
        <v>0</v>
      </c>
      <c r="BC154">
        <v>19</v>
      </c>
      <c r="BD154">
        <v>57</v>
      </c>
      <c r="BE154">
        <v>51</v>
      </c>
      <c r="BF154">
        <v>63</v>
      </c>
      <c r="BG154">
        <v>10.5</v>
      </c>
      <c r="BH154">
        <v>3.26</v>
      </c>
      <c r="BI154">
        <v>1.7</v>
      </c>
      <c r="BJ154">
        <v>3.75</v>
      </c>
      <c r="BK154">
        <v>4.7</v>
      </c>
      <c r="BL154">
        <f>(1/Table1[[#This Row],[odds_ft_home_team_win]]+1/Table1[[#This Row],[odds_ft_draw]]+1/Table1[[#This Row],[odds_ft_away_team_win]]-1)/3</f>
        <v>2.2555972743707464E-2</v>
      </c>
      <c r="BM154">
        <v>1.25</v>
      </c>
      <c r="BN154">
        <v>1.85</v>
      </c>
      <c r="BO154">
        <v>3</v>
      </c>
      <c r="BP154">
        <v>5</v>
      </c>
      <c r="BQ154">
        <v>1.8</v>
      </c>
      <c r="BR154">
        <v>2</v>
      </c>
      <c r="BS154" t="s">
        <v>142</v>
      </c>
      <c r="BT154">
        <f>VLOOKUP(Table1[[#This Row],[Reference]],metron,8,FALSE)</f>
        <v>1.9673156855724254</v>
      </c>
      <c r="BU154">
        <f>VLOOKUP(Table1[[#This Row],[Reference]],metron,9,FALSE)</f>
        <v>0.77729484582409181</v>
      </c>
      <c r="BV154">
        <f>VLOOKUP(Table1[[#This Row],[Reference]],metron,10,FALSE)</f>
        <v>2.6892488954344627</v>
      </c>
      <c r="BW154">
        <f>VLOOKUP(Table1[[#This Row],[Reference]],metron,11,FALSE)</f>
        <v>1.7546812539448771</v>
      </c>
      <c r="BX154">
        <f>VLOOKUP(Table1[[#This Row],[Reference]],metron,12,FALSE)</f>
        <v>0.93456764148958549</v>
      </c>
      <c r="BY154" s="6">
        <f>VLOOKUP(Table1[[#This Row],[Reference]],metron,13,FALSE)</f>
        <v>0.77824531874605507</v>
      </c>
      <c r="BZ154" s="6">
        <f>VLOOKUP(Table1[[#This Row],[Reference]],metron,14,FALSE)</f>
        <v>0.41237113402061848</v>
      </c>
      <c r="CA154" s="6">
        <f>VLOOKUP(Table1[[#This Row],[Reference]],metron,15,FALSE)</f>
        <v>13.77153558052435</v>
      </c>
      <c r="CB154" s="6">
        <f>VLOOKUP(Table1[[#This Row],[Reference]],metron,16,FALSE)</f>
        <v>9.0445692883895124</v>
      </c>
      <c r="CC154" s="6">
        <f>VLOOKUP(Table1[[#This Row],[Reference]],metron,17,FALSE)</f>
        <v>6.0821292775665396</v>
      </c>
      <c r="CD154" s="6">
        <f>VLOOKUP(Table1[[#This Row],[Reference]],metron,18,FALSE)</f>
        <v>3.8201520912547529</v>
      </c>
      <c r="CE154" s="6">
        <f>VLOOKUP(Table1[[#This Row],[Reference]],metron,19,FALSE)</f>
        <v>7.6894063029578108</v>
      </c>
      <c r="CF154" s="6">
        <f>VLOOKUP(Table1[[#This Row],[Reference]],metron,20,FALSE)</f>
        <v>5.224417197134759</v>
      </c>
      <c r="CG154" s="6">
        <f>VLOOKUP(Table1[[#This Row],[Reference]],metron,21,FALSE)</f>
        <v>12.297605473204101</v>
      </c>
      <c r="CH154" s="6">
        <f>VLOOKUP(Table1[[#This Row],[Reference]],metron,22,FALSE)</f>
        <v>13.310908399847969</v>
      </c>
      <c r="CI154" s="6">
        <f>VLOOKUP(Table1[[#This Row],[Reference]],metron,23,FALSE)</f>
        <v>1.3713126843657819</v>
      </c>
      <c r="CJ154" s="6">
        <f>VLOOKUP(Table1[[#This Row],[Reference]],metron,24,FALSE)</f>
        <v>1.9516961651917399</v>
      </c>
      <c r="CK154" s="6">
        <f>VLOOKUP(Table1[[#This Row],[Reference]],metron,25,FALSE)</f>
        <v>6.6002949852507375E-2</v>
      </c>
      <c r="CL154" s="6">
        <f>VLOOKUP(Table1[[#This Row],[Reference]],metron,26,FALSE)</f>
        <v>0.1297935103244838</v>
      </c>
    </row>
    <row r="155" spans="1:90" hidden="1" x14ac:dyDescent="0.45">
      <c r="A155" t="s">
        <v>696</v>
      </c>
      <c r="B155">
        <v>1637456400</v>
      </c>
      <c r="C155" s="1" t="s">
        <v>375</v>
      </c>
      <c r="D155" t="s">
        <v>65</v>
      </c>
      <c r="E155" t="s">
        <v>66</v>
      </c>
      <c r="F155" t="s">
        <v>73</v>
      </c>
      <c r="G155" t="s">
        <v>91</v>
      </c>
      <c r="H155" t="s">
        <v>158</v>
      </c>
      <c r="I155">
        <f>MROUND(Table1[[#This Row],[ProbH]]*100,2)/100</f>
        <v>0.54</v>
      </c>
      <c r="J155">
        <f>1/Table1[[#This Row],[odds_ft_home_team_win]]-Table1[[#This Row],[Margin]]</f>
        <v>0.53524015461795382</v>
      </c>
      <c r="K155">
        <f>1/Table1[[#This Row],[odds_ft_draw]]-Table1[[#This Row],[Margin]]</f>
        <v>0.247415004548691</v>
      </c>
      <c r="L155">
        <f>1/Table1[[#This Row],[odds_ft_away_team_win]]-Table1[[#This Row],[Margin]]</f>
        <v>0.21734484083335526</v>
      </c>
      <c r="M155" t="s">
        <v>66</v>
      </c>
      <c r="N155">
        <v>1.41</v>
      </c>
      <c r="O155">
        <v>1.18</v>
      </c>
      <c r="P155">
        <v>1.35</v>
      </c>
      <c r="Q155">
        <v>1.18</v>
      </c>
      <c r="R155" s="9" t="str" cm="1">
        <f t="array" ref="R1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0</v>
      </c>
      <c r="Y155" t="s">
        <v>376</v>
      </c>
      <c r="AA155">
        <v>8</v>
      </c>
      <c r="AB155">
        <v>2</v>
      </c>
      <c r="AC155">
        <v>1</v>
      </c>
      <c r="AD155">
        <v>0</v>
      </c>
      <c r="AE155">
        <v>3</v>
      </c>
      <c r="AF155">
        <v>0</v>
      </c>
      <c r="AG155">
        <v>0</v>
      </c>
      <c r="AH155">
        <v>1</v>
      </c>
      <c r="AI155">
        <v>2</v>
      </c>
      <c r="AJ155">
        <v>1</v>
      </c>
      <c r="AK155">
        <v>22</v>
      </c>
      <c r="AL155">
        <v>9</v>
      </c>
      <c r="AM155">
        <v>8</v>
      </c>
      <c r="AN155">
        <v>3</v>
      </c>
      <c r="AO155">
        <v>14</v>
      </c>
      <c r="AP155">
        <v>6</v>
      </c>
      <c r="AQ155">
        <v>6</v>
      </c>
      <c r="AR155">
        <v>16</v>
      </c>
      <c r="AS155">
        <v>58</v>
      </c>
      <c r="AT155">
        <v>42</v>
      </c>
      <c r="AU155">
        <v>2.37</v>
      </c>
      <c r="AV155">
        <v>0.98</v>
      </c>
      <c r="AW155">
        <v>2.38</v>
      </c>
      <c r="AX155">
        <v>59</v>
      </c>
      <c r="AY155">
        <v>74</v>
      </c>
      <c r="AZ155">
        <v>44</v>
      </c>
      <c r="BA155">
        <v>21</v>
      </c>
      <c r="BB155">
        <v>9</v>
      </c>
      <c r="BC155">
        <v>21</v>
      </c>
      <c r="BD155">
        <v>62</v>
      </c>
      <c r="BE155">
        <v>44</v>
      </c>
      <c r="BF155">
        <v>74</v>
      </c>
      <c r="BG155">
        <v>11.3</v>
      </c>
      <c r="BH155">
        <v>4.0599999999999996</v>
      </c>
      <c r="BI155">
        <v>1.78</v>
      </c>
      <c r="BJ155">
        <v>3.65</v>
      </c>
      <c r="BK155">
        <v>4.0999999999999996</v>
      </c>
      <c r="BL155">
        <f>(1/Table1[[#This Row],[odds_ft_home_team_win]]+1/Table1[[#This Row],[odds_ft_draw]]+1/Table1[[#This Row],[odds_ft_away_team_win]]-1)/3</f>
        <v>2.6557598191035019E-2</v>
      </c>
      <c r="BM155">
        <v>1.36</v>
      </c>
      <c r="BN155">
        <v>2</v>
      </c>
      <c r="BO155">
        <v>3.75</v>
      </c>
      <c r="BP155">
        <v>7.25</v>
      </c>
      <c r="BQ155">
        <v>2</v>
      </c>
      <c r="BR155">
        <v>1.73</v>
      </c>
      <c r="BS155" t="s">
        <v>142</v>
      </c>
      <c r="BT155">
        <f>VLOOKUP(Table1[[#This Row],[Reference]],metron,8,FALSE)</f>
        <v>1.915666026436746</v>
      </c>
      <c r="BU155">
        <f>VLOOKUP(Table1[[#This Row],[Reference]],metron,9,FALSE)</f>
        <v>0.82283834599204153</v>
      </c>
      <c r="BV155">
        <f>VLOOKUP(Table1[[#This Row],[Reference]],metron,10,FALSE)</f>
        <v>2.6359702267612941</v>
      </c>
      <c r="BW155">
        <f>VLOOKUP(Table1[[#This Row],[Reference]],metron,11,FALSE)</f>
        <v>1.684957590444867</v>
      </c>
      <c r="BX155">
        <f>VLOOKUP(Table1[[#This Row],[Reference]],metron,12,FALSE)</f>
        <v>0.95101263631642718</v>
      </c>
      <c r="BY155" s="6">
        <f>VLOOKUP(Table1[[#This Row],[Reference]],metron,13,FALSE)</f>
        <v>0.72650164445213783</v>
      </c>
      <c r="BZ155" s="6">
        <f>VLOOKUP(Table1[[#This Row],[Reference]],metron,14,FALSE)</f>
        <v>0.42097974727367138</v>
      </c>
      <c r="CA155" s="6">
        <f>VLOOKUP(Table1[[#This Row],[Reference]],metron,15,FALSE)</f>
        <v>13.338806970509379</v>
      </c>
      <c r="CB155" s="6">
        <f>VLOOKUP(Table1[[#This Row],[Reference]],metron,16,FALSE)</f>
        <v>9.2530160857908843</v>
      </c>
      <c r="CC155" s="6">
        <f>VLOOKUP(Table1[[#This Row],[Reference]],metron,17,FALSE)</f>
        <v>5.9915081521739131</v>
      </c>
      <c r="CD155" s="6">
        <f>VLOOKUP(Table1[[#This Row],[Reference]],metron,18,FALSE)</f>
        <v>3.9772418478260869</v>
      </c>
      <c r="CE155" s="6">
        <f>VLOOKUP(Table1[[#This Row],[Reference]],metron,19,FALSE)</f>
        <v>7.3472988183354664</v>
      </c>
      <c r="CF155" s="6">
        <f>VLOOKUP(Table1[[#This Row],[Reference]],metron,20,FALSE)</f>
        <v>5.2757742379647974</v>
      </c>
      <c r="CG155" s="6">
        <f>VLOOKUP(Table1[[#This Row],[Reference]],metron,21,FALSE)</f>
        <v>12.59428182437032</v>
      </c>
      <c r="CH155" s="6">
        <f>VLOOKUP(Table1[[#This Row],[Reference]],metron,22,FALSE)</f>
        <v>13.577944179714089</v>
      </c>
      <c r="CI155" s="6">
        <f>VLOOKUP(Table1[[#This Row],[Reference]],metron,23,FALSE)</f>
        <v>1.4276913099870301</v>
      </c>
      <c r="CJ155" s="6">
        <f>VLOOKUP(Table1[[#This Row],[Reference]],metron,24,FALSE)</f>
        <v>1.940985732814527</v>
      </c>
      <c r="CK155" s="6">
        <f>VLOOKUP(Table1[[#This Row],[Reference]],metron,25,FALSE)</f>
        <v>8.0739299610894946E-2</v>
      </c>
      <c r="CL155" s="6">
        <f>VLOOKUP(Table1[[#This Row],[Reference]],metron,26,FALSE)</f>
        <v>0.12743190661478601</v>
      </c>
    </row>
    <row r="156" spans="1:90" hidden="1" x14ac:dyDescent="0.45">
      <c r="A156" t="s">
        <v>696</v>
      </c>
      <c r="B156">
        <v>1637463600</v>
      </c>
      <c r="C156" s="1" t="s">
        <v>377</v>
      </c>
      <c r="D156" t="s">
        <v>65</v>
      </c>
      <c r="E156" t="s">
        <v>66</v>
      </c>
      <c r="F156" t="s">
        <v>102</v>
      </c>
      <c r="G156" t="s">
        <v>90</v>
      </c>
      <c r="H156" t="s">
        <v>69</v>
      </c>
      <c r="I156">
        <f>MROUND(Table1[[#This Row],[ProbH]]*100,2)/100</f>
        <v>0.4</v>
      </c>
      <c r="J156">
        <f>1/Table1[[#This Row],[odds_ft_home_team_win]]-Table1[[#This Row],[Margin]]</f>
        <v>0.40637598369557132</v>
      </c>
      <c r="K156">
        <f>1/Table1[[#This Row],[odds_ft_draw]]-Table1[[#This Row],[Margin]]</f>
        <v>0.31711816247898722</v>
      </c>
      <c r="L156">
        <f>1/Table1[[#This Row],[odds_ft_away_team_win]]-Table1[[#This Row],[Margin]]</f>
        <v>0.27650585382544146</v>
      </c>
      <c r="M156" t="s">
        <v>66</v>
      </c>
      <c r="N156">
        <v>1.41</v>
      </c>
      <c r="O156">
        <v>1.29</v>
      </c>
      <c r="P156">
        <v>1.4</v>
      </c>
      <c r="Q156">
        <v>1.39</v>
      </c>
      <c r="R156" t="str" cm="1">
        <f t="array" ref="R1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6">
        <v>2</v>
      </c>
      <c r="T156">
        <v>2</v>
      </c>
      <c r="U156">
        <v>4</v>
      </c>
      <c r="V156">
        <v>2</v>
      </c>
      <c r="W156">
        <v>1</v>
      </c>
      <c r="X156">
        <v>1</v>
      </c>
      <c r="Y156" t="s">
        <v>378</v>
      </c>
      <c r="Z156" t="s">
        <v>379</v>
      </c>
      <c r="AA156">
        <v>5</v>
      </c>
      <c r="AB156">
        <v>5</v>
      </c>
      <c r="AC156">
        <v>4</v>
      </c>
      <c r="AD156">
        <v>0</v>
      </c>
      <c r="AE156">
        <v>4</v>
      </c>
      <c r="AF156">
        <v>0</v>
      </c>
      <c r="AG156">
        <v>1</v>
      </c>
      <c r="AH156">
        <v>3</v>
      </c>
      <c r="AI156">
        <v>2</v>
      </c>
      <c r="AJ156">
        <v>2</v>
      </c>
      <c r="AK156">
        <v>13</v>
      </c>
      <c r="AL156">
        <v>9</v>
      </c>
      <c r="AM156">
        <v>5</v>
      </c>
      <c r="AN156">
        <v>5</v>
      </c>
      <c r="AO156">
        <v>8</v>
      </c>
      <c r="AP156">
        <v>4</v>
      </c>
      <c r="AQ156">
        <v>15</v>
      </c>
      <c r="AR156">
        <v>12</v>
      </c>
      <c r="AS156">
        <v>47</v>
      </c>
      <c r="AT156">
        <v>53</v>
      </c>
      <c r="AU156">
        <v>1.47</v>
      </c>
      <c r="AV156">
        <v>1.24</v>
      </c>
      <c r="AW156">
        <v>1.71</v>
      </c>
      <c r="AX156">
        <v>35</v>
      </c>
      <c r="AY156">
        <v>59</v>
      </c>
      <c r="AZ156">
        <v>21</v>
      </c>
      <c r="BA156">
        <v>6</v>
      </c>
      <c r="BB156">
        <v>0</v>
      </c>
      <c r="BC156">
        <v>9</v>
      </c>
      <c r="BD156">
        <v>44</v>
      </c>
      <c r="BE156">
        <v>38</v>
      </c>
      <c r="BF156">
        <v>77</v>
      </c>
      <c r="BG156">
        <v>9.83</v>
      </c>
      <c r="BH156">
        <v>5.0599999999999996</v>
      </c>
      <c r="BI156">
        <v>2.31</v>
      </c>
      <c r="BJ156">
        <v>2.91</v>
      </c>
      <c r="BK156">
        <v>3.3</v>
      </c>
      <c r="BL156">
        <f>(1/Table1[[#This Row],[odds_ft_home_team_win]]+1/Table1[[#This Row],[odds_ft_draw]]+1/Table1[[#This Row],[odds_ft_away_team_win]]-1)/3</f>
        <v>2.6524449204861595E-2</v>
      </c>
      <c r="BM156">
        <v>1.45</v>
      </c>
      <c r="BN156">
        <v>2.35</v>
      </c>
      <c r="BO156">
        <v>4.5</v>
      </c>
      <c r="BP156">
        <v>8.5</v>
      </c>
      <c r="BQ156">
        <v>2</v>
      </c>
      <c r="BR156">
        <v>1.73</v>
      </c>
      <c r="BS156" t="s">
        <v>124</v>
      </c>
      <c r="BT156">
        <f>VLOOKUP(Table1[[#This Row],[Reference]],metron,8,FALSE)</f>
        <v>1.5181603563290151</v>
      </c>
      <c r="BU156">
        <f>VLOOKUP(Table1[[#This Row],[Reference]],metron,9,FALSE)</f>
        <v>1.1952730370775513</v>
      </c>
      <c r="BV156">
        <f>VLOOKUP(Table1[[#This Row],[Reference]],metron,10,FALSE)</f>
        <v>2.4956155335383219</v>
      </c>
      <c r="BW156">
        <f>VLOOKUP(Table1[[#This Row],[Reference]],metron,11,FALSE)</f>
        <v>1.344038264434575</v>
      </c>
      <c r="BX156">
        <f>VLOOKUP(Table1[[#This Row],[Reference]],metron,12,FALSE)</f>
        <v>1.1515772691037469</v>
      </c>
      <c r="BY156" s="6">
        <f>VLOOKUP(Table1[[#This Row],[Reference]],metron,13,FALSE)</f>
        <v>0.59936225942375587</v>
      </c>
      <c r="BZ156" s="6">
        <f>VLOOKUP(Table1[[#This Row],[Reference]],metron,14,FALSE)</f>
        <v>0.50723152260562576</v>
      </c>
      <c r="CA156" s="6">
        <f>VLOOKUP(Table1[[#This Row],[Reference]],metron,15,FALSE)</f>
        <v>11.99278846153846</v>
      </c>
      <c r="CB156" s="6">
        <f>VLOOKUP(Table1[[#This Row],[Reference]],metron,16,FALSE)</f>
        <v>10.0277534965035</v>
      </c>
      <c r="CC156" s="6">
        <f>VLOOKUP(Table1[[#This Row],[Reference]],metron,17,FALSE)</f>
        <v>5.2857459543338514</v>
      </c>
      <c r="CD156" s="6">
        <f>VLOOKUP(Table1[[#This Row],[Reference]],metron,18,FALSE)</f>
        <v>4.4067834183107957</v>
      </c>
      <c r="CE156" s="6">
        <f>VLOOKUP(Table1[[#This Row],[Reference]],metron,19,FALSE)</f>
        <v>6.7070425072046085</v>
      </c>
      <c r="CF156" s="6">
        <f>VLOOKUP(Table1[[#This Row],[Reference]],metron,20,FALSE)</f>
        <v>5.6209700781927046</v>
      </c>
      <c r="CG156" s="6">
        <f>VLOOKUP(Table1[[#This Row],[Reference]],metron,21,FALSE)</f>
        <v>13.04463690872752</v>
      </c>
      <c r="CH156" s="6">
        <f>VLOOKUP(Table1[[#This Row],[Reference]],metron,22,FALSE)</f>
        <v>13.49811236953142</v>
      </c>
      <c r="CI156" s="6">
        <f>VLOOKUP(Table1[[#This Row],[Reference]],metron,23,FALSE)</f>
        <v>1.5836526181353769</v>
      </c>
      <c r="CJ156" s="6">
        <f>VLOOKUP(Table1[[#This Row],[Reference]],metron,24,FALSE)</f>
        <v>1.8744146445295871</v>
      </c>
      <c r="CK156" s="6">
        <f>VLOOKUP(Table1[[#This Row],[Reference]],metron,25,FALSE)</f>
        <v>8.5994040017028525E-2</v>
      </c>
      <c r="CL156" s="6">
        <f>VLOOKUP(Table1[[#This Row],[Reference]],metron,26,FALSE)</f>
        <v>0.13452532992762881</v>
      </c>
    </row>
    <row r="157" spans="1:90" hidden="1" x14ac:dyDescent="0.45">
      <c r="A157" t="s">
        <v>696</v>
      </c>
      <c r="B157">
        <v>1637535600</v>
      </c>
      <c r="C157" s="1" t="s">
        <v>380</v>
      </c>
      <c r="D157" t="s">
        <v>65</v>
      </c>
      <c r="E157" t="s">
        <v>66</v>
      </c>
      <c r="F157" t="s">
        <v>79</v>
      </c>
      <c r="G157" t="s">
        <v>96</v>
      </c>
      <c r="H157" t="s">
        <v>130</v>
      </c>
      <c r="I157">
        <f>MROUND(Table1[[#This Row],[ProbH]]*100,2)/100</f>
        <v>0.48</v>
      </c>
      <c r="J157">
        <f>1/Table1[[#This Row],[odds_ft_home_team_win]]-Table1[[#This Row],[Margin]]</f>
        <v>0.47834124672491979</v>
      </c>
      <c r="K157">
        <f>1/Table1[[#This Row],[odds_ft_draw]]-Table1[[#This Row],[Margin]]</f>
        <v>0.26003138756999022</v>
      </c>
      <c r="L157">
        <f>1/Table1[[#This Row],[odds_ft_away_team_win]]-Table1[[#This Row],[Margin]]</f>
        <v>0.26162736570508976</v>
      </c>
      <c r="M157" t="s">
        <v>66</v>
      </c>
      <c r="N157">
        <v>1.41</v>
      </c>
      <c r="O157">
        <v>1.24</v>
      </c>
      <c r="P157">
        <v>1.23</v>
      </c>
      <c r="Q157">
        <v>1.33</v>
      </c>
      <c r="R157" t="str" cm="1">
        <f t="array" ref="R1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57">
        <v>1</v>
      </c>
      <c r="T157">
        <v>2</v>
      </c>
      <c r="U157">
        <v>3</v>
      </c>
      <c r="V157">
        <v>1</v>
      </c>
      <c r="W157">
        <v>0</v>
      </c>
      <c r="X157">
        <v>1</v>
      </c>
      <c r="Y157">
        <v>62</v>
      </c>
      <c r="Z157" t="s">
        <v>381</v>
      </c>
      <c r="AA157">
        <v>2</v>
      </c>
      <c r="AB157">
        <v>3</v>
      </c>
      <c r="AC157">
        <v>4</v>
      </c>
      <c r="AD157">
        <v>0</v>
      </c>
      <c r="AE157">
        <v>6</v>
      </c>
      <c r="AF157">
        <v>0</v>
      </c>
      <c r="AG157">
        <v>2</v>
      </c>
      <c r="AH157">
        <v>2</v>
      </c>
      <c r="AI157">
        <v>3</v>
      </c>
      <c r="AJ157">
        <v>3</v>
      </c>
      <c r="AK157">
        <v>15</v>
      </c>
      <c r="AL157">
        <v>20</v>
      </c>
      <c r="AM157">
        <v>4</v>
      </c>
      <c r="AN157">
        <v>8</v>
      </c>
      <c r="AO157">
        <v>11</v>
      </c>
      <c r="AP157">
        <v>12</v>
      </c>
      <c r="AQ157">
        <v>10</v>
      </c>
      <c r="AR157">
        <v>17</v>
      </c>
      <c r="AS157">
        <v>59</v>
      </c>
      <c r="AT157">
        <v>41</v>
      </c>
      <c r="AU157">
        <v>1.54</v>
      </c>
      <c r="AV157">
        <v>2.04</v>
      </c>
      <c r="AW157">
        <v>2.4700000000000002</v>
      </c>
      <c r="AX157">
        <v>50</v>
      </c>
      <c r="AY157">
        <v>77</v>
      </c>
      <c r="AZ157">
        <v>50</v>
      </c>
      <c r="BA157">
        <v>30</v>
      </c>
      <c r="BB157">
        <v>3</v>
      </c>
      <c r="BC157">
        <v>33</v>
      </c>
      <c r="BD157">
        <v>68</v>
      </c>
      <c r="BE157">
        <v>35</v>
      </c>
      <c r="BF157">
        <v>76</v>
      </c>
      <c r="BG157">
        <v>9</v>
      </c>
      <c r="BH157">
        <v>5.35</v>
      </c>
      <c r="BI157">
        <v>2</v>
      </c>
      <c r="BJ157">
        <v>3.55</v>
      </c>
      <c r="BK157">
        <v>3.53</v>
      </c>
      <c r="BL157">
        <f>(1/Table1[[#This Row],[odds_ft_home_team_win]]+1/Table1[[#This Row],[odds_ft_draw]]+1/Table1[[#This Row],[odds_ft_away_team_win]]-1)/3</f>
        <v>2.1658753275080194E-2</v>
      </c>
      <c r="BM157">
        <v>1.28</v>
      </c>
      <c r="BN157">
        <v>1.96</v>
      </c>
      <c r="BO157">
        <v>3.25</v>
      </c>
      <c r="BP157">
        <v>6.25</v>
      </c>
      <c r="BQ157">
        <v>1.8</v>
      </c>
      <c r="BR157">
        <v>1.91</v>
      </c>
      <c r="BS157" t="s">
        <v>140</v>
      </c>
      <c r="BT157">
        <f>VLOOKUP(Table1[[#This Row],[Reference]],metron,8,FALSE)</f>
        <v>1.743992017160418</v>
      </c>
      <c r="BU157">
        <f>VLOOKUP(Table1[[#This Row],[Reference]],metron,9,FALSE)</f>
        <v>0.97803937284245479</v>
      </c>
      <c r="BV157">
        <f>VLOOKUP(Table1[[#This Row],[Reference]],metron,10,FALSE)</f>
        <v>2.5271929824561399</v>
      </c>
      <c r="BW157">
        <f>VLOOKUP(Table1[[#This Row],[Reference]],metron,11,FALSE)</f>
        <v>1.510877192982456</v>
      </c>
      <c r="BX157">
        <f>VLOOKUP(Table1[[#This Row],[Reference]],metron,12,FALSE)</f>
        <v>1.0163157894736841</v>
      </c>
      <c r="BY157" s="6">
        <f>VLOOKUP(Table1[[#This Row],[Reference]],metron,13,FALSE)</f>
        <v>0.67350877192982461</v>
      </c>
      <c r="BZ157" s="6">
        <f>VLOOKUP(Table1[[#This Row],[Reference]],metron,14,FALSE)</f>
        <v>0.4442105263157895</v>
      </c>
      <c r="CA157" s="6">
        <f>VLOOKUP(Table1[[#This Row],[Reference]],metron,15,FALSE)</f>
        <v>12.80980392156863</v>
      </c>
      <c r="CB157" s="6">
        <f>VLOOKUP(Table1[[#This Row],[Reference]],metron,16,FALSE)</f>
        <v>9.6872549019607845</v>
      </c>
      <c r="CC157" s="6">
        <f>VLOOKUP(Table1[[#This Row],[Reference]],metron,17,FALSE)</f>
        <v>5.6491169610129957</v>
      </c>
      <c r="CD157" s="6">
        <f>VLOOKUP(Table1[[#This Row],[Reference]],metron,18,FALSE)</f>
        <v>4.1379540153282237</v>
      </c>
      <c r="CE157" s="6">
        <f>VLOOKUP(Table1[[#This Row],[Reference]],metron,19,FALSE)</f>
        <v>7.1606869605556343</v>
      </c>
      <c r="CF157" s="6">
        <f>VLOOKUP(Table1[[#This Row],[Reference]],metron,20,FALSE)</f>
        <v>5.5493008866325608</v>
      </c>
      <c r="CG157" s="6">
        <f>VLOOKUP(Table1[[#This Row],[Reference]],metron,21,FALSE)</f>
        <v>12.9029029029029</v>
      </c>
      <c r="CH157" s="6">
        <f>VLOOKUP(Table1[[#This Row],[Reference]],metron,22,FALSE)</f>
        <v>13.75508842175509</v>
      </c>
      <c r="CI157" s="6">
        <f>VLOOKUP(Table1[[#This Row],[Reference]],metron,23,FALSE)</f>
        <v>1.5287356321839081</v>
      </c>
      <c r="CJ157" s="6">
        <f>VLOOKUP(Table1[[#This Row],[Reference]],metron,24,FALSE)</f>
        <v>1.9664750957854411</v>
      </c>
      <c r="CK157" s="6">
        <f>VLOOKUP(Table1[[#This Row],[Reference]],metron,25,FALSE)</f>
        <v>8.8441890166028103E-2</v>
      </c>
      <c r="CL157" s="6">
        <f>VLOOKUP(Table1[[#This Row],[Reference]],metron,26,FALSE)</f>
        <v>0.13409961685823751</v>
      </c>
    </row>
    <row r="158" spans="1:90" hidden="1" x14ac:dyDescent="0.45">
      <c r="A158" t="s">
        <v>696</v>
      </c>
      <c r="B158">
        <v>1637543700</v>
      </c>
      <c r="C158" s="1" t="s">
        <v>382</v>
      </c>
      <c r="D158" t="s">
        <v>65</v>
      </c>
      <c r="E158" t="s">
        <v>66</v>
      </c>
      <c r="F158" t="s">
        <v>112</v>
      </c>
      <c r="G158" t="s">
        <v>101</v>
      </c>
      <c r="H158" t="s">
        <v>122</v>
      </c>
      <c r="I158">
        <f>MROUND(Table1[[#This Row],[ProbH]]*100,2)/100</f>
        <v>0.6</v>
      </c>
      <c r="J158">
        <f>1/Table1[[#This Row],[odds_ft_home_team_win]]-Table1[[#This Row],[Margin]]</f>
        <v>0.6032011940147527</v>
      </c>
      <c r="K158">
        <f>1/Table1[[#This Row],[odds_ft_draw]]-Table1[[#This Row],[Margin]]</f>
        <v>0.2384604804048879</v>
      </c>
      <c r="L158">
        <f>1/Table1[[#This Row],[odds_ft_away_team_win]]-Table1[[#This Row],[Margin]]</f>
        <v>0.1583383255803596</v>
      </c>
      <c r="M158" t="s">
        <v>66</v>
      </c>
      <c r="N158">
        <v>1.35</v>
      </c>
      <c r="O158">
        <v>1.29</v>
      </c>
      <c r="P158">
        <v>1.37</v>
      </c>
      <c r="Q158">
        <v>1.42</v>
      </c>
      <c r="R158" t="str" cm="1">
        <f t="array" ref="R1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58">
        <v>1</v>
      </c>
      <c r="T158">
        <v>4</v>
      </c>
      <c r="U158">
        <v>5</v>
      </c>
      <c r="V158">
        <v>3</v>
      </c>
      <c r="W158">
        <v>1</v>
      </c>
      <c r="X158">
        <v>2</v>
      </c>
      <c r="Y158">
        <v>32</v>
      </c>
      <c r="Z158" t="s">
        <v>383</v>
      </c>
      <c r="AA158">
        <v>10</v>
      </c>
      <c r="AB158">
        <v>2</v>
      </c>
      <c r="AC158">
        <v>3</v>
      </c>
      <c r="AD158">
        <v>0</v>
      </c>
      <c r="AE158">
        <v>3</v>
      </c>
      <c r="AF158">
        <v>0</v>
      </c>
      <c r="AG158">
        <v>1</v>
      </c>
      <c r="AH158">
        <v>2</v>
      </c>
      <c r="AI158">
        <v>2</v>
      </c>
      <c r="AJ158">
        <v>1</v>
      </c>
      <c r="AK158">
        <v>20</v>
      </c>
      <c r="AL158">
        <v>8</v>
      </c>
      <c r="AM158">
        <v>10</v>
      </c>
      <c r="AN158">
        <v>5</v>
      </c>
      <c r="AO158">
        <v>10</v>
      </c>
      <c r="AP158">
        <v>3</v>
      </c>
      <c r="AQ158">
        <v>16</v>
      </c>
      <c r="AR158">
        <v>10</v>
      </c>
      <c r="AS158">
        <v>57</v>
      </c>
      <c r="AT158">
        <v>43</v>
      </c>
      <c r="AU158">
        <v>2.36</v>
      </c>
      <c r="AV158">
        <v>1.18</v>
      </c>
      <c r="AW158">
        <v>2.15</v>
      </c>
      <c r="AX158">
        <v>56</v>
      </c>
      <c r="AY158">
        <v>74</v>
      </c>
      <c r="AZ158">
        <v>29</v>
      </c>
      <c r="BA158">
        <v>15</v>
      </c>
      <c r="BB158">
        <v>3</v>
      </c>
      <c r="BC158">
        <v>27</v>
      </c>
      <c r="BD158">
        <v>71</v>
      </c>
      <c r="BE158">
        <v>27</v>
      </c>
      <c r="BF158">
        <v>65</v>
      </c>
      <c r="BG158">
        <v>7.88</v>
      </c>
      <c r="BH158">
        <v>5.29</v>
      </c>
      <c r="BI158">
        <v>1.63</v>
      </c>
      <c r="BJ158">
        <v>4.0199999999999996</v>
      </c>
      <c r="BK158">
        <v>5.93</v>
      </c>
      <c r="BL158">
        <f>(1/Table1[[#This Row],[odds_ft_home_team_win]]+1/Table1[[#This Row],[odds_ft_draw]]+1/Table1[[#This Row],[odds_ft_away_team_win]]-1)/3</f>
        <v>1.0295738500584775E-2</v>
      </c>
      <c r="BM158">
        <v>1.42</v>
      </c>
      <c r="BN158">
        <v>1.92</v>
      </c>
      <c r="BO158">
        <v>4.33</v>
      </c>
      <c r="BP158">
        <v>8.5</v>
      </c>
      <c r="BQ158">
        <v>2</v>
      </c>
      <c r="BR158">
        <v>1.73</v>
      </c>
      <c r="BS158" t="s">
        <v>116</v>
      </c>
      <c r="BT158">
        <f>VLOOKUP(Table1[[#This Row],[Reference]],metron,8,FALSE)</f>
        <v>2.0749792289385525</v>
      </c>
      <c r="BU158">
        <f>VLOOKUP(Table1[[#This Row],[Reference]],metron,9,FALSE)</f>
        <v>0.68220664089703831</v>
      </c>
      <c r="BV158">
        <f>VLOOKUP(Table1[[#This Row],[Reference]],metron,10,FALSE)</f>
        <v>2.7310090702947849</v>
      </c>
      <c r="BW158">
        <f>VLOOKUP(Table1[[#This Row],[Reference]],metron,11,FALSE)</f>
        <v>1.841836734693878</v>
      </c>
      <c r="BX158">
        <f>VLOOKUP(Table1[[#This Row],[Reference]],metron,12,FALSE)</f>
        <v>0.88917233560090703</v>
      </c>
      <c r="BY158" s="6">
        <f>VLOOKUP(Table1[[#This Row],[Reference]],metron,13,FALSE)</f>
        <v>0.804822695035461</v>
      </c>
      <c r="BZ158" s="6">
        <f>VLOOKUP(Table1[[#This Row],[Reference]],metron,14,FALSE)</f>
        <v>0.38099290780141842</v>
      </c>
      <c r="CA158" s="6">
        <f>VLOOKUP(Table1[[#This Row],[Reference]],metron,15,FALSE)</f>
        <v>14.25174825174825</v>
      </c>
      <c r="CB158" s="6">
        <f>VLOOKUP(Table1[[#This Row],[Reference]],metron,16,FALSE)</f>
        <v>8.8316683316683324</v>
      </c>
      <c r="CC158" s="6">
        <f>VLOOKUP(Table1[[#This Row],[Reference]],metron,17,FALSE)</f>
        <v>6.2901265822784813</v>
      </c>
      <c r="CD158" s="6">
        <f>VLOOKUP(Table1[[#This Row],[Reference]],metron,18,FALSE)</f>
        <v>3.6162025316455702</v>
      </c>
      <c r="CE158" s="6">
        <f>VLOOKUP(Table1[[#This Row],[Reference]],metron,19,FALSE)</f>
        <v>7.9616216694697686</v>
      </c>
      <c r="CF158" s="6">
        <f>VLOOKUP(Table1[[#This Row],[Reference]],metron,20,FALSE)</f>
        <v>5.2154658000227627</v>
      </c>
      <c r="CG158" s="6">
        <f>VLOOKUP(Table1[[#This Row],[Reference]],metron,21,FALSE)</f>
        <v>12.444895886236671</v>
      </c>
      <c r="CH158" s="6">
        <f>VLOOKUP(Table1[[#This Row],[Reference]],metron,22,FALSE)</f>
        <v>13.620619603859829</v>
      </c>
      <c r="CI158" s="6">
        <f>VLOOKUP(Table1[[#This Row],[Reference]],metron,23,FALSE)</f>
        <v>1.406084017382907</v>
      </c>
      <c r="CJ158" s="6">
        <f>VLOOKUP(Table1[[#This Row],[Reference]],metron,24,FALSE)</f>
        <v>2.070980202800579</v>
      </c>
      <c r="CK158" s="6">
        <f>VLOOKUP(Table1[[#This Row],[Reference]],metron,25,FALSE)</f>
        <v>6.1323032351521013E-2</v>
      </c>
      <c r="CL158" s="6">
        <f>VLOOKUP(Table1[[#This Row],[Reference]],metron,26,FALSE)</f>
        <v>0.1313375181071946</v>
      </c>
    </row>
    <row r="159" spans="1:90" hidden="1" x14ac:dyDescent="0.45">
      <c r="A159" t="s">
        <v>696</v>
      </c>
      <c r="B159">
        <v>1637802000</v>
      </c>
      <c r="C159" s="1" t="s">
        <v>384</v>
      </c>
      <c r="D159" t="s">
        <v>65</v>
      </c>
      <c r="E159" t="s">
        <v>66</v>
      </c>
      <c r="F159" t="s">
        <v>96</v>
      </c>
      <c r="G159" t="s">
        <v>68</v>
      </c>
      <c r="H159" t="s">
        <v>74</v>
      </c>
      <c r="I159">
        <f>MROUND(Table1[[#This Row],[ProbH]]*100,2)/100</f>
        <v>0.3</v>
      </c>
      <c r="J159">
        <f>1/Table1[[#This Row],[odds_ft_home_team_win]]-Table1[[#This Row],[Margin]]</f>
        <v>0.29761865624758554</v>
      </c>
      <c r="K159">
        <f>1/Table1[[#This Row],[odds_ft_draw]]-Table1[[#This Row],[Margin]]</f>
        <v>0.30671967758442442</v>
      </c>
      <c r="L159">
        <f>1/Table1[[#This Row],[odds_ft_away_team_win]]-Table1[[#This Row],[Margin]]</f>
        <v>0.39566166616799003</v>
      </c>
      <c r="M159" t="s">
        <v>66</v>
      </c>
      <c r="N159">
        <v>1.33</v>
      </c>
      <c r="O159">
        <v>2.06</v>
      </c>
      <c r="P159">
        <v>1.33</v>
      </c>
      <c r="Q159">
        <v>1.72</v>
      </c>
      <c r="R159" t="str" cm="1">
        <f t="array" ref="R1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AA159">
        <v>5</v>
      </c>
      <c r="AB159">
        <v>1</v>
      </c>
      <c r="AC159">
        <v>1</v>
      </c>
      <c r="AD159">
        <v>0</v>
      </c>
      <c r="AE159">
        <v>2</v>
      </c>
      <c r="AF159">
        <v>0</v>
      </c>
      <c r="AG159">
        <v>1</v>
      </c>
      <c r="AH159">
        <v>0</v>
      </c>
      <c r="AI159">
        <v>1</v>
      </c>
      <c r="AJ159">
        <v>1</v>
      </c>
      <c r="AK159">
        <v>18</v>
      </c>
      <c r="AL159">
        <v>4</v>
      </c>
      <c r="AM159">
        <v>7</v>
      </c>
      <c r="AN159">
        <v>3</v>
      </c>
      <c r="AO159">
        <v>11</v>
      </c>
      <c r="AP159">
        <v>1</v>
      </c>
      <c r="AQ159">
        <v>15</v>
      </c>
      <c r="AR159">
        <v>11</v>
      </c>
      <c r="AS159">
        <v>56</v>
      </c>
      <c r="AT159">
        <v>44</v>
      </c>
      <c r="AU159">
        <v>1.84</v>
      </c>
      <c r="AV159">
        <v>0.6</v>
      </c>
      <c r="AW159">
        <v>2.11</v>
      </c>
      <c r="AX159">
        <v>43</v>
      </c>
      <c r="AY159">
        <v>69</v>
      </c>
      <c r="AZ159">
        <v>40</v>
      </c>
      <c r="BA159">
        <v>14</v>
      </c>
      <c r="BB159">
        <v>3</v>
      </c>
      <c r="BC159">
        <v>21</v>
      </c>
      <c r="BD159">
        <v>60</v>
      </c>
      <c r="BE159">
        <v>34</v>
      </c>
      <c r="BF159">
        <v>75</v>
      </c>
      <c r="BG159">
        <v>8.85</v>
      </c>
      <c r="BH159">
        <v>4.84</v>
      </c>
      <c r="BI159">
        <v>3.19</v>
      </c>
      <c r="BJ159">
        <v>3.1</v>
      </c>
      <c r="BK159">
        <v>2.4300000000000002</v>
      </c>
      <c r="BL159">
        <f>(1/Table1[[#This Row],[odds_ft_home_team_win]]+1/Table1[[#This Row],[odds_ft_draw]]+1/Table1[[#This Row],[odds_ft_away_team_win]]-1)/3</f>
        <v>1.5860967576865875E-2</v>
      </c>
      <c r="BM159">
        <v>1.38</v>
      </c>
      <c r="BN159">
        <v>2.25</v>
      </c>
      <c r="BO159">
        <v>4</v>
      </c>
      <c r="BP159">
        <v>7.75</v>
      </c>
      <c r="BQ159">
        <v>1.91</v>
      </c>
      <c r="BR159">
        <v>1.83</v>
      </c>
      <c r="BS159" t="s">
        <v>99</v>
      </c>
      <c r="BT159">
        <f>VLOOKUP(Table1[[#This Row],[Reference]],metron,8,FALSE)</f>
        <v>1.2142445227270171</v>
      </c>
      <c r="BU159">
        <f>VLOOKUP(Table1[[#This Row],[Reference]],metron,9,FALSE)</f>
        <v>1.4993969533036628</v>
      </c>
      <c r="BV159">
        <f>VLOOKUP(Table1[[#This Row],[Reference]],metron,10,FALSE)</f>
        <v>2.5726407816919519</v>
      </c>
      <c r="BW159">
        <f>VLOOKUP(Table1[[#This Row],[Reference]],metron,11,FALSE)</f>
        <v>1.1805091283106199</v>
      </c>
      <c r="BX159">
        <f>VLOOKUP(Table1[[#This Row],[Reference]],metron,12,FALSE)</f>
        <v>1.3921316533813319</v>
      </c>
      <c r="BY159" s="6">
        <f>VLOOKUP(Table1[[#This Row],[Reference]],metron,13,FALSE)</f>
        <v>0.5209673269873939</v>
      </c>
      <c r="BZ159" s="6">
        <f>VLOOKUP(Table1[[#This Row],[Reference]],metron,14,FALSE)</f>
        <v>0.61847182917417032</v>
      </c>
      <c r="CA159" s="6">
        <f>VLOOKUP(Table1[[#This Row],[Reference]],metron,15,FALSE)</f>
        <v>11.149200710479571</v>
      </c>
      <c r="CB159" s="6">
        <f>VLOOKUP(Table1[[#This Row],[Reference]],metron,16,FALSE)</f>
        <v>11.444049733570161</v>
      </c>
      <c r="CC159" s="6">
        <f>VLOOKUP(Table1[[#This Row],[Reference]],metron,17,FALSE)</f>
        <v>4.5257270693512304</v>
      </c>
      <c r="CD159" s="6">
        <f>VLOOKUP(Table1[[#This Row],[Reference]],metron,18,FALSE)</f>
        <v>4.8465324384787474</v>
      </c>
      <c r="CE159" s="6">
        <f>VLOOKUP(Table1[[#This Row],[Reference]],metron,19,FALSE)</f>
        <v>6.6234736411283404</v>
      </c>
      <c r="CF159" s="6">
        <f>VLOOKUP(Table1[[#This Row],[Reference]],metron,20,FALSE)</f>
        <v>6.5975172950914134</v>
      </c>
      <c r="CG159" s="6">
        <f>VLOOKUP(Table1[[#This Row],[Reference]],metron,21,FALSE)</f>
        <v>12.90081154192967</v>
      </c>
      <c r="CH159" s="6">
        <f>VLOOKUP(Table1[[#This Row],[Reference]],metron,22,FALSE)</f>
        <v>13.00360685302074</v>
      </c>
      <c r="CI159" s="6">
        <f>VLOOKUP(Table1[[#This Row],[Reference]],metron,23,FALSE)</f>
        <v>1.7502145922746779</v>
      </c>
      <c r="CJ159" s="6">
        <f>VLOOKUP(Table1[[#This Row],[Reference]],metron,24,FALSE)</f>
        <v>1.831402831402831</v>
      </c>
      <c r="CK159" s="6">
        <f>VLOOKUP(Table1[[#This Row],[Reference]],metron,25,FALSE)</f>
        <v>9.6525096525096526E-2</v>
      </c>
      <c r="CL159" s="6">
        <f>VLOOKUP(Table1[[#This Row],[Reference]],metron,26,FALSE)</f>
        <v>0.1244101244101244</v>
      </c>
    </row>
    <row r="160" spans="1:90" hidden="1" x14ac:dyDescent="0.45">
      <c r="A160" t="s">
        <v>696</v>
      </c>
      <c r="B160">
        <v>1637809500</v>
      </c>
      <c r="C160" s="1" t="s">
        <v>385</v>
      </c>
      <c r="D160" t="s">
        <v>65</v>
      </c>
      <c r="E160" t="s">
        <v>66</v>
      </c>
      <c r="F160" t="s">
        <v>101</v>
      </c>
      <c r="G160" t="s">
        <v>97</v>
      </c>
      <c r="H160" t="s">
        <v>80</v>
      </c>
      <c r="I160">
        <f>MROUND(Table1[[#This Row],[ProbH]]*100,2)/100</f>
        <v>0.46</v>
      </c>
      <c r="J160">
        <f>1/Table1[[#This Row],[odds_ft_home_team_win]]-Table1[[#This Row],[Margin]]</f>
        <v>0.46067340379982563</v>
      </c>
      <c r="K160">
        <f>1/Table1[[#This Row],[odds_ft_draw]]-Table1[[#This Row],[Margin]]</f>
        <v>0.27860057466817301</v>
      </c>
      <c r="L160">
        <f>1/Table1[[#This Row],[odds_ft_away_team_win]]-Table1[[#This Row],[Margin]]</f>
        <v>0.26072602153200142</v>
      </c>
      <c r="M160" t="s">
        <v>66</v>
      </c>
      <c r="N160">
        <v>1.39</v>
      </c>
      <c r="O160">
        <v>1.71</v>
      </c>
      <c r="P160">
        <v>1.42</v>
      </c>
      <c r="Q160">
        <v>1.61</v>
      </c>
      <c r="R160" t="str" cm="1">
        <f t="array" ref="R1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AA160">
        <v>7</v>
      </c>
      <c r="AB160">
        <v>3</v>
      </c>
      <c r="AC160">
        <v>4</v>
      </c>
      <c r="AD160">
        <v>0</v>
      </c>
      <c r="AE160">
        <v>3</v>
      </c>
      <c r="AF160">
        <v>0</v>
      </c>
      <c r="AG160">
        <v>3</v>
      </c>
      <c r="AH160">
        <v>1</v>
      </c>
      <c r="AI160">
        <v>1</v>
      </c>
      <c r="AJ160">
        <v>2</v>
      </c>
      <c r="AK160">
        <v>9</v>
      </c>
      <c r="AL160">
        <v>7</v>
      </c>
      <c r="AM160">
        <v>3</v>
      </c>
      <c r="AN160">
        <v>4</v>
      </c>
      <c r="AO160">
        <v>6</v>
      </c>
      <c r="AP160">
        <v>3</v>
      </c>
      <c r="AQ160">
        <v>13</v>
      </c>
      <c r="AR160">
        <v>16</v>
      </c>
      <c r="AS160">
        <v>55</v>
      </c>
      <c r="AT160">
        <v>45</v>
      </c>
      <c r="AU160">
        <v>1.0900000000000001</v>
      </c>
      <c r="AV160">
        <v>0.97</v>
      </c>
      <c r="AW160">
        <v>2.02</v>
      </c>
      <c r="AX160">
        <v>40</v>
      </c>
      <c r="AY160">
        <v>63</v>
      </c>
      <c r="AZ160">
        <v>26</v>
      </c>
      <c r="BA160">
        <v>14</v>
      </c>
      <c r="BB160">
        <v>6</v>
      </c>
      <c r="BC160">
        <v>17</v>
      </c>
      <c r="BD160">
        <v>66</v>
      </c>
      <c r="BE160">
        <v>29</v>
      </c>
      <c r="BF160">
        <v>66</v>
      </c>
      <c r="BG160">
        <v>9.8699999999999992</v>
      </c>
      <c r="BH160">
        <v>4.4400000000000004</v>
      </c>
      <c r="BI160">
        <v>2.1</v>
      </c>
      <c r="BJ160">
        <v>3.4</v>
      </c>
      <c r="BK160">
        <v>3.62</v>
      </c>
      <c r="BL160">
        <f>(1/Table1[[#This Row],[odds_ft_home_team_win]]+1/Table1[[#This Row],[odds_ft_draw]]+1/Table1[[#This Row],[odds_ft_away_team_win]]-1)/3</f>
        <v>1.5517072390650513E-2</v>
      </c>
      <c r="BM160">
        <v>1.45</v>
      </c>
      <c r="BN160">
        <v>2.4300000000000002</v>
      </c>
      <c r="BO160">
        <v>4.5</v>
      </c>
      <c r="BP160">
        <v>8.75</v>
      </c>
      <c r="BQ160">
        <v>2</v>
      </c>
      <c r="BR160">
        <v>1.73</v>
      </c>
      <c r="BS160" t="s">
        <v>104</v>
      </c>
      <c r="BT160">
        <f>VLOOKUP(Table1[[#This Row],[Reference]],metron,8,FALSE)</f>
        <v>1.6955772349985931</v>
      </c>
      <c r="BU160">
        <f>VLOOKUP(Table1[[#This Row],[Reference]],metron,9,FALSE)</f>
        <v>1.0239029519551039</v>
      </c>
      <c r="BV160">
        <f>VLOOKUP(Table1[[#This Row],[Reference]],metron,10,FALSE)</f>
        <v>2.5405629139072849</v>
      </c>
      <c r="BW160">
        <f>VLOOKUP(Table1[[#This Row],[Reference]],metron,11,FALSE)</f>
        <v>1.4888836329233679</v>
      </c>
      <c r="BX160">
        <f>VLOOKUP(Table1[[#This Row],[Reference]],metron,12,FALSE)</f>
        <v>1.0516792809839171</v>
      </c>
      <c r="BY160" s="6">
        <f>VLOOKUP(Table1[[#This Row],[Reference]],metron,13,FALSE)</f>
        <v>0.64581362346263005</v>
      </c>
      <c r="BZ160" s="6">
        <f>VLOOKUP(Table1[[#This Row],[Reference]],metron,14,FALSE)</f>
        <v>0.45364238410596031</v>
      </c>
      <c r="CA160" s="6">
        <f>VLOOKUP(Table1[[#This Row],[Reference]],metron,15,FALSE)</f>
        <v>12.686892177589851</v>
      </c>
      <c r="CB160" s="6">
        <f>VLOOKUP(Table1[[#This Row],[Reference]],metron,16,FALSE)</f>
        <v>9.8059196617336148</v>
      </c>
      <c r="CC160" s="6">
        <f>VLOOKUP(Table1[[#This Row],[Reference]],metron,17,FALSE)</f>
        <v>5.3198121263877027</v>
      </c>
      <c r="CD160" s="6">
        <f>VLOOKUP(Table1[[#This Row],[Reference]],metron,18,FALSE)</f>
        <v>4.0954312553373189</v>
      </c>
      <c r="CE160" s="6">
        <f>VLOOKUP(Table1[[#This Row],[Reference]],metron,19,FALSE)</f>
        <v>7.3670800512021479</v>
      </c>
      <c r="CF160" s="6">
        <f>VLOOKUP(Table1[[#This Row],[Reference]],metron,20,FALSE)</f>
        <v>5.710488406396296</v>
      </c>
      <c r="CG160" s="6">
        <f>VLOOKUP(Table1[[#This Row],[Reference]],metron,21,FALSE)</f>
        <v>13.0488908033599</v>
      </c>
      <c r="CH160" s="6">
        <f>VLOOKUP(Table1[[#This Row],[Reference]],metron,22,FALSE)</f>
        <v>13.714839543398661</v>
      </c>
      <c r="CI160" s="6">
        <f>VLOOKUP(Table1[[#This Row],[Reference]],metron,23,FALSE)</f>
        <v>1.567523459812322</v>
      </c>
      <c r="CJ160" s="6">
        <f>VLOOKUP(Table1[[#This Row],[Reference]],metron,24,FALSE)</f>
        <v>1.951040391676867</v>
      </c>
      <c r="CK160" s="6">
        <f>VLOOKUP(Table1[[#This Row],[Reference]],metron,25,FALSE)</f>
        <v>8.3027335781313744E-2</v>
      </c>
      <c r="CL160" s="6">
        <f>VLOOKUP(Table1[[#This Row],[Reference]],metron,26,FALSE)</f>
        <v>0.13117095063239501</v>
      </c>
    </row>
    <row r="161" spans="1:90" hidden="1" x14ac:dyDescent="0.45">
      <c r="A161" t="s">
        <v>696</v>
      </c>
      <c r="B161">
        <v>1637888400</v>
      </c>
      <c r="C161" s="1" t="s">
        <v>386</v>
      </c>
      <c r="D161" t="s">
        <v>65</v>
      </c>
      <c r="E161" t="s">
        <v>66</v>
      </c>
      <c r="F161" t="s">
        <v>102</v>
      </c>
      <c r="G161" t="s">
        <v>85</v>
      </c>
      <c r="H161" t="s">
        <v>215</v>
      </c>
      <c r="I161">
        <f>MROUND(Table1[[#This Row],[ProbH]]*100,2)/100</f>
        <v>0.32</v>
      </c>
      <c r="J161">
        <f>1/Table1[[#This Row],[odds_ft_home_team_win]]-Table1[[#This Row],[Margin]]</f>
        <v>0.31543680549295283</v>
      </c>
      <c r="K161">
        <f>1/Table1[[#This Row],[odds_ft_draw]]-Table1[[#This Row],[Margin]]</f>
        <v>0.30325114026641026</v>
      </c>
      <c r="L161">
        <f>1/Table1[[#This Row],[odds_ft_away_team_win]]-Table1[[#This Row],[Margin]]</f>
        <v>0.38131205424063691</v>
      </c>
      <c r="M161" t="s">
        <v>66</v>
      </c>
      <c r="N161">
        <v>1.39</v>
      </c>
      <c r="O161">
        <v>1.71</v>
      </c>
      <c r="P161">
        <v>1.4</v>
      </c>
      <c r="Q161">
        <v>1.48</v>
      </c>
      <c r="R161" t="str" cm="1">
        <f t="array" ref="R1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1">
        <v>2</v>
      </c>
      <c r="T161">
        <v>1</v>
      </c>
      <c r="U161">
        <v>3</v>
      </c>
      <c r="V161">
        <v>2</v>
      </c>
      <c r="W161">
        <v>1</v>
      </c>
      <c r="X161">
        <v>1</v>
      </c>
      <c r="Y161" t="s">
        <v>387</v>
      </c>
      <c r="Z161">
        <v>28</v>
      </c>
      <c r="AA161">
        <v>1</v>
      </c>
      <c r="AB161">
        <v>5</v>
      </c>
      <c r="AC161">
        <v>3</v>
      </c>
      <c r="AD161">
        <v>0</v>
      </c>
      <c r="AE161">
        <v>1</v>
      </c>
      <c r="AF161">
        <v>0</v>
      </c>
      <c r="AG161">
        <v>1</v>
      </c>
      <c r="AH161">
        <v>2</v>
      </c>
      <c r="AI161">
        <v>0</v>
      </c>
      <c r="AJ161">
        <v>1</v>
      </c>
      <c r="AK161">
        <v>14</v>
      </c>
      <c r="AL161">
        <v>12</v>
      </c>
      <c r="AM161">
        <v>7</v>
      </c>
      <c r="AN161">
        <v>2</v>
      </c>
      <c r="AO161">
        <v>7</v>
      </c>
      <c r="AP161">
        <v>10</v>
      </c>
      <c r="AQ161">
        <v>18</v>
      </c>
      <c r="AR161">
        <v>7</v>
      </c>
      <c r="AS161">
        <v>40</v>
      </c>
      <c r="AT161">
        <v>60</v>
      </c>
      <c r="AU161">
        <v>1.54</v>
      </c>
      <c r="AV161">
        <v>1.22</v>
      </c>
      <c r="AW161">
        <v>2</v>
      </c>
      <c r="AX161">
        <v>37</v>
      </c>
      <c r="AY161">
        <v>66</v>
      </c>
      <c r="AZ161">
        <v>29</v>
      </c>
      <c r="BA161">
        <v>12</v>
      </c>
      <c r="BB161">
        <v>0</v>
      </c>
      <c r="BC161">
        <v>15</v>
      </c>
      <c r="BD161">
        <v>58</v>
      </c>
      <c r="BE161">
        <v>40</v>
      </c>
      <c r="BF161">
        <v>77</v>
      </c>
      <c r="BG161">
        <v>9.43</v>
      </c>
      <c r="BH161">
        <v>4.96</v>
      </c>
      <c r="BI161">
        <v>2.95</v>
      </c>
      <c r="BJ161">
        <v>3.06</v>
      </c>
      <c r="BK161">
        <v>2.4700000000000002</v>
      </c>
      <c r="BL161">
        <f>(1/Table1[[#This Row],[odds_ft_home_team_win]]+1/Table1[[#This Row],[odds_ft_draw]]+1/Table1[[#This Row],[odds_ft_away_team_win]]-1)/3</f>
        <v>2.354624535450478E-2</v>
      </c>
      <c r="BM161">
        <v>1.44</v>
      </c>
      <c r="BN161">
        <v>2.33</v>
      </c>
      <c r="BO161">
        <v>4</v>
      </c>
      <c r="BP161">
        <v>8.25</v>
      </c>
      <c r="BQ161">
        <v>1.91</v>
      </c>
      <c r="BR161">
        <v>1.8</v>
      </c>
      <c r="BS161" t="s">
        <v>124</v>
      </c>
      <c r="BT161">
        <f>VLOOKUP(Table1[[#This Row],[Reference]],metron,8,FALSE)</f>
        <v>1.274681051426811</v>
      </c>
      <c r="BU161">
        <f>VLOOKUP(Table1[[#This Row],[Reference]],metron,9,FALSE)</f>
        <v>1.4392482240810365</v>
      </c>
      <c r="BV161">
        <f>VLOOKUP(Table1[[#This Row],[Reference]],metron,10,FALSE)</f>
        <v>2.5313454284174597</v>
      </c>
      <c r="BW161">
        <f>VLOOKUP(Table1[[#This Row],[Reference]],metron,11,FALSE)</f>
        <v>1.210167055864918</v>
      </c>
      <c r="BX161">
        <f>VLOOKUP(Table1[[#This Row],[Reference]],metron,12,FALSE)</f>
        <v>1.3211783725525419</v>
      </c>
      <c r="BY161" s="6">
        <f>VLOOKUP(Table1[[#This Row],[Reference]],metron,13,FALSE)</f>
        <v>0.53135669362084459</v>
      </c>
      <c r="BZ161" s="6">
        <f>VLOOKUP(Table1[[#This Row],[Reference]],metron,14,FALSE)</f>
        <v>0.55633423180592989</v>
      </c>
      <c r="CA161" s="6">
        <f>VLOOKUP(Table1[[#This Row],[Reference]],metron,15,FALSE)</f>
        <v>11.21109010712035</v>
      </c>
      <c r="CB161" s="6">
        <f>VLOOKUP(Table1[[#This Row],[Reference]],metron,16,FALSE)</f>
        <v>11.01700787401575</v>
      </c>
      <c r="CC161" s="6">
        <f>VLOOKUP(Table1[[#This Row],[Reference]],metron,17,FALSE)</f>
        <v>4.6792332268370611</v>
      </c>
      <c r="CD161" s="6">
        <f>VLOOKUP(Table1[[#This Row],[Reference]],metron,18,FALSE)</f>
        <v>4.7080804854679013</v>
      </c>
      <c r="CE161" s="6">
        <f>VLOOKUP(Table1[[#This Row],[Reference]],metron,19,FALSE)</f>
        <v>6.5318568802832893</v>
      </c>
      <c r="CF161" s="6">
        <f>VLOOKUP(Table1[[#This Row],[Reference]],metron,20,FALSE)</f>
        <v>6.3089273885478487</v>
      </c>
      <c r="CG161" s="6">
        <f>VLOOKUP(Table1[[#This Row],[Reference]],metron,21,FALSE)</f>
        <v>12.72547770700637</v>
      </c>
      <c r="CH161" s="6">
        <f>VLOOKUP(Table1[[#This Row],[Reference]],metron,22,FALSE)</f>
        <v>13.06847133757962</v>
      </c>
      <c r="CI161" s="6">
        <f>VLOOKUP(Table1[[#This Row],[Reference]],metron,23,FALSE)</f>
        <v>1.6902356902356901</v>
      </c>
      <c r="CJ161" s="6">
        <f>VLOOKUP(Table1[[#This Row],[Reference]],metron,24,FALSE)</f>
        <v>1.8050198959289869</v>
      </c>
      <c r="CK161" s="6">
        <f>VLOOKUP(Table1[[#This Row],[Reference]],metron,25,FALSE)</f>
        <v>0.105907560453015</v>
      </c>
      <c r="CL161" s="6">
        <f>VLOOKUP(Table1[[#This Row],[Reference]],metron,26,FALSE)</f>
        <v>0.1141720232629324</v>
      </c>
    </row>
    <row r="162" spans="1:90" hidden="1" x14ac:dyDescent="0.45">
      <c r="A162" t="s">
        <v>696</v>
      </c>
      <c r="B162">
        <v>1637895900</v>
      </c>
      <c r="C162" s="1" t="s">
        <v>388</v>
      </c>
      <c r="D162" t="s">
        <v>65</v>
      </c>
      <c r="E162" t="s">
        <v>66</v>
      </c>
      <c r="F162" t="s">
        <v>73</v>
      </c>
      <c r="G162" t="s">
        <v>107</v>
      </c>
      <c r="H162" t="s">
        <v>108</v>
      </c>
      <c r="I162">
        <f>MROUND(Table1[[#This Row],[ProbH]]*100,2)/100</f>
        <v>0.4</v>
      </c>
      <c r="J162">
        <f>1/Table1[[#This Row],[odds_ft_home_team_win]]-Table1[[#This Row],[Margin]]</f>
        <v>0.39488744457748676</v>
      </c>
      <c r="K162">
        <f>1/Table1[[#This Row],[odds_ft_draw]]-Table1[[#This Row],[Margin]]</f>
        <v>0.29193481598569393</v>
      </c>
      <c r="L162">
        <f>1/Table1[[#This Row],[odds_ft_away_team_win]]-Table1[[#This Row],[Margin]]</f>
        <v>0.31317773943681926</v>
      </c>
      <c r="M162" t="s">
        <v>66</v>
      </c>
      <c r="N162">
        <v>1.5</v>
      </c>
      <c r="O162">
        <v>1.65</v>
      </c>
      <c r="P162">
        <v>1.35</v>
      </c>
      <c r="Q162">
        <v>1.74</v>
      </c>
      <c r="R162" t="str" cm="1">
        <f t="array" ref="R1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2">
        <v>2</v>
      </c>
      <c r="T162">
        <v>1</v>
      </c>
      <c r="U162">
        <v>3</v>
      </c>
      <c r="V162">
        <v>2</v>
      </c>
      <c r="W162">
        <v>2</v>
      </c>
      <c r="X162">
        <v>0</v>
      </c>
      <c r="Y162" t="s">
        <v>389</v>
      </c>
      <c r="Z162">
        <v>74</v>
      </c>
      <c r="AA162">
        <v>4</v>
      </c>
      <c r="AB162">
        <v>4</v>
      </c>
      <c r="AC162">
        <v>2</v>
      </c>
      <c r="AD162">
        <v>0</v>
      </c>
      <c r="AE162">
        <v>3</v>
      </c>
      <c r="AF162">
        <v>0</v>
      </c>
      <c r="AG162">
        <v>1</v>
      </c>
      <c r="AH162">
        <v>1</v>
      </c>
      <c r="AI162">
        <v>1</v>
      </c>
      <c r="AJ162">
        <v>2</v>
      </c>
      <c r="AK162">
        <v>14</v>
      </c>
      <c r="AL162">
        <v>18</v>
      </c>
      <c r="AM162">
        <v>6</v>
      </c>
      <c r="AN162">
        <v>5</v>
      </c>
      <c r="AO162">
        <v>8</v>
      </c>
      <c r="AP162">
        <v>13</v>
      </c>
      <c r="AQ162">
        <v>16</v>
      </c>
      <c r="AR162">
        <v>15</v>
      </c>
      <c r="AS162">
        <v>36</v>
      </c>
      <c r="AT162">
        <v>64</v>
      </c>
      <c r="AU162">
        <v>1.46</v>
      </c>
      <c r="AV162">
        <v>1.75</v>
      </c>
      <c r="AW162">
        <v>2.3199999999999998</v>
      </c>
      <c r="AX162">
        <v>54</v>
      </c>
      <c r="AY162">
        <v>83</v>
      </c>
      <c r="AZ162">
        <v>46</v>
      </c>
      <c r="BA162">
        <v>12</v>
      </c>
      <c r="BB162">
        <v>3</v>
      </c>
      <c r="BC162">
        <v>18</v>
      </c>
      <c r="BD162">
        <v>63</v>
      </c>
      <c r="BE162">
        <v>51</v>
      </c>
      <c r="BF162">
        <v>83</v>
      </c>
      <c r="BG162">
        <v>11.7</v>
      </c>
      <c r="BH162">
        <v>4.0599999999999996</v>
      </c>
      <c r="BI162">
        <v>2.39</v>
      </c>
      <c r="BJ162">
        <v>3.17</v>
      </c>
      <c r="BK162">
        <v>2.97</v>
      </c>
      <c r="BL162">
        <f>(1/Table1[[#This Row],[odds_ft_home_team_win]]+1/Table1[[#This Row],[odds_ft_draw]]+1/Table1[[#This Row],[odds_ft_away_team_win]]-1)/3</f>
        <v>2.3522597263517426E-2</v>
      </c>
      <c r="BM162">
        <v>1.4</v>
      </c>
      <c r="BN162">
        <v>2.08</v>
      </c>
      <c r="BO162">
        <v>3.75</v>
      </c>
      <c r="BP162">
        <v>7.25</v>
      </c>
      <c r="BQ162">
        <v>1.8</v>
      </c>
      <c r="BR162">
        <v>1.91</v>
      </c>
      <c r="BS162" t="s">
        <v>142</v>
      </c>
      <c r="BT162">
        <f>VLOOKUP(Table1[[#This Row],[Reference]],metron,8,FALSE)</f>
        <v>1.5181603563290151</v>
      </c>
      <c r="BU162">
        <f>VLOOKUP(Table1[[#This Row],[Reference]],metron,9,FALSE)</f>
        <v>1.1952730370775513</v>
      </c>
      <c r="BV162">
        <f>VLOOKUP(Table1[[#This Row],[Reference]],metron,10,FALSE)</f>
        <v>2.4956155335383219</v>
      </c>
      <c r="BW162">
        <f>VLOOKUP(Table1[[#This Row],[Reference]],metron,11,FALSE)</f>
        <v>1.344038264434575</v>
      </c>
      <c r="BX162">
        <f>VLOOKUP(Table1[[#This Row],[Reference]],metron,12,FALSE)</f>
        <v>1.1515772691037469</v>
      </c>
      <c r="BY162" s="6">
        <f>VLOOKUP(Table1[[#This Row],[Reference]],metron,13,FALSE)</f>
        <v>0.59936225942375587</v>
      </c>
      <c r="BZ162" s="6">
        <f>VLOOKUP(Table1[[#This Row],[Reference]],metron,14,FALSE)</f>
        <v>0.50723152260562576</v>
      </c>
      <c r="CA162" s="6">
        <f>VLOOKUP(Table1[[#This Row],[Reference]],metron,15,FALSE)</f>
        <v>11.99278846153846</v>
      </c>
      <c r="CB162" s="6">
        <f>VLOOKUP(Table1[[#This Row],[Reference]],metron,16,FALSE)</f>
        <v>10.0277534965035</v>
      </c>
      <c r="CC162" s="6">
        <f>VLOOKUP(Table1[[#This Row],[Reference]],metron,17,FALSE)</f>
        <v>5.2857459543338514</v>
      </c>
      <c r="CD162" s="6">
        <f>VLOOKUP(Table1[[#This Row],[Reference]],metron,18,FALSE)</f>
        <v>4.4067834183107957</v>
      </c>
      <c r="CE162" s="6">
        <f>VLOOKUP(Table1[[#This Row],[Reference]],metron,19,FALSE)</f>
        <v>6.7070425072046085</v>
      </c>
      <c r="CF162" s="6">
        <f>VLOOKUP(Table1[[#This Row],[Reference]],metron,20,FALSE)</f>
        <v>5.6209700781927046</v>
      </c>
      <c r="CG162" s="6">
        <f>VLOOKUP(Table1[[#This Row],[Reference]],metron,21,FALSE)</f>
        <v>13.04463690872752</v>
      </c>
      <c r="CH162" s="6">
        <f>VLOOKUP(Table1[[#This Row],[Reference]],metron,22,FALSE)</f>
        <v>13.49811236953142</v>
      </c>
      <c r="CI162" s="6">
        <f>VLOOKUP(Table1[[#This Row],[Reference]],metron,23,FALSE)</f>
        <v>1.5836526181353769</v>
      </c>
      <c r="CJ162" s="6">
        <f>VLOOKUP(Table1[[#This Row],[Reference]],metron,24,FALSE)</f>
        <v>1.8744146445295871</v>
      </c>
      <c r="CK162" s="6">
        <f>VLOOKUP(Table1[[#This Row],[Reference]],metron,25,FALSE)</f>
        <v>8.5994040017028525E-2</v>
      </c>
      <c r="CL162" s="6">
        <f>VLOOKUP(Table1[[#This Row],[Reference]],metron,26,FALSE)</f>
        <v>0.13452532992762881</v>
      </c>
    </row>
    <row r="163" spans="1:90" hidden="1" x14ac:dyDescent="0.45">
      <c r="A163" t="s">
        <v>696</v>
      </c>
      <c r="B163">
        <v>1638061200</v>
      </c>
      <c r="C163" s="1" t="s">
        <v>390</v>
      </c>
      <c r="D163" t="s">
        <v>65</v>
      </c>
      <c r="E163" t="s">
        <v>66</v>
      </c>
      <c r="F163" t="s">
        <v>68</v>
      </c>
      <c r="G163" t="s">
        <v>96</v>
      </c>
      <c r="H163" t="s">
        <v>69</v>
      </c>
      <c r="I163">
        <f>MROUND(Table1[[#This Row],[ProbH]]*100,2)/100</f>
        <v>0.6</v>
      </c>
      <c r="J163">
        <f>1/Table1[[#This Row],[odds_ft_home_team_win]]-Table1[[#This Row],[Margin]]</f>
        <v>0.59923162470933167</v>
      </c>
      <c r="K163">
        <f>1/Table1[[#This Row],[odds_ft_draw]]-Table1[[#This Row],[Margin]]</f>
        <v>0.24800323526438176</v>
      </c>
      <c r="L163">
        <f>1/Table1[[#This Row],[odds_ft_away_team_win]]-Table1[[#This Row],[Margin]]</f>
        <v>0.15276514002628652</v>
      </c>
      <c r="M163" t="s">
        <v>66</v>
      </c>
      <c r="N163">
        <v>2</v>
      </c>
      <c r="O163">
        <v>1.32</v>
      </c>
      <c r="P163">
        <v>1.72</v>
      </c>
      <c r="Q163">
        <v>1.33</v>
      </c>
      <c r="R163" t="str" cm="1">
        <f t="array" ref="R1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63">
        <v>1</v>
      </c>
      <c r="T163">
        <v>3</v>
      </c>
      <c r="U163">
        <v>4</v>
      </c>
      <c r="V163">
        <v>3</v>
      </c>
      <c r="W163">
        <v>1</v>
      </c>
      <c r="X163">
        <v>2</v>
      </c>
      <c r="Y163">
        <v>11</v>
      </c>
      <c r="Z163" t="s">
        <v>391</v>
      </c>
      <c r="AA163">
        <v>6</v>
      </c>
      <c r="AB163">
        <v>3</v>
      </c>
      <c r="AC163">
        <v>1</v>
      </c>
      <c r="AD163">
        <v>0</v>
      </c>
      <c r="AE163">
        <v>3</v>
      </c>
      <c r="AF163">
        <v>0</v>
      </c>
      <c r="AG163">
        <v>0</v>
      </c>
      <c r="AH163">
        <v>1</v>
      </c>
      <c r="AI163">
        <v>0</v>
      </c>
      <c r="AJ163">
        <v>3</v>
      </c>
      <c r="AK163">
        <v>20</v>
      </c>
      <c r="AL163">
        <v>15</v>
      </c>
      <c r="AM163">
        <v>6</v>
      </c>
      <c r="AN163">
        <v>5</v>
      </c>
      <c r="AO163">
        <v>14</v>
      </c>
      <c r="AP163">
        <v>10</v>
      </c>
      <c r="AQ163">
        <v>12</v>
      </c>
      <c r="AR163">
        <v>12</v>
      </c>
      <c r="AS163">
        <v>56</v>
      </c>
      <c r="AT163">
        <v>44</v>
      </c>
      <c r="AU163">
        <v>2.09</v>
      </c>
      <c r="AV163">
        <v>1.52</v>
      </c>
      <c r="AW163">
        <v>1.99</v>
      </c>
      <c r="AX163">
        <v>41</v>
      </c>
      <c r="AY163">
        <v>65</v>
      </c>
      <c r="AZ163">
        <v>38</v>
      </c>
      <c r="BA163">
        <v>14</v>
      </c>
      <c r="BB163">
        <v>3</v>
      </c>
      <c r="BC163">
        <v>19</v>
      </c>
      <c r="BD163">
        <v>57</v>
      </c>
      <c r="BE163">
        <v>32</v>
      </c>
      <c r="BF163">
        <v>71</v>
      </c>
      <c r="BG163">
        <v>8.69</v>
      </c>
      <c r="BH163">
        <v>4.74</v>
      </c>
      <c r="BI163">
        <v>1.57</v>
      </c>
      <c r="BJ163">
        <v>3.5</v>
      </c>
      <c r="BK163">
        <v>5.25</v>
      </c>
      <c r="BL163">
        <f>(1/Table1[[#This Row],[odds_ft_home_team_win]]+1/Table1[[#This Row],[odds_ft_draw]]+1/Table1[[#This Row],[odds_ft_away_team_win]]-1)/3</f>
        <v>3.7711050449903936E-2</v>
      </c>
      <c r="BM163">
        <v>1.29</v>
      </c>
      <c r="BN163">
        <v>1.95</v>
      </c>
      <c r="BO163">
        <v>3.2</v>
      </c>
      <c r="BP163">
        <v>5.75</v>
      </c>
      <c r="BQ163">
        <v>2.0499999999999998</v>
      </c>
      <c r="BR163">
        <v>1.7</v>
      </c>
      <c r="BS163" t="s">
        <v>116</v>
      </c>
      <c r="BT163">
        <f>VLOOKUP(Table1[[#This Row],[Reference]],metron,8,FALSE)</f>
        <v>2.0749792289385525</v>
      </c>
      <c r="BU163">
        <f>VLOOKUP(Table1[[#This Row],[Reference]],metron,9,FALSE)</f>
        <v>0.68220664089703831</v>
      </c>
      <c r="BV163">
        <f>VLOOKUP(Table1[[#This Row],[Reference]],metron,10,FALSE)</f>
        <v>2.7310090702947849</v>
      </c>
      <c r="BW163">
        <f>VLOOKUP(Table1[[#This Row],[Reference]],metron,11,FALSE)</f>
        <v>1.841836734693878</v>
      </c>
      <c r="BX163">
        <f>VLOOKUP(Table1[[#This Row],[Reference]],metron,12,FALSE)</f>
        <v>0.88917233560090703</v>
      </c>
      <c r="BY163" s="6">
        <f>VLOOKUP(Table1[[#This Row],[Reference]],metron,13,FALSE)</f>
        <v>0.804822695035461</v>
      </c>
      <c r="BZ163" s="6">
        <f>VLOOKUP(Table1[[#This Row],[Reference]],metron,14,FALSE)</f>
        <v>0.38099290780141842</v>
      </c>
      <c r="CA163" s="6">
        <f>VLOOKUP(Table1[[#This Row],[Reference]],metron,15,FALSE)</f>
        <v>14.25174825174825</v>
      </c>
      <c r="CB163" s="6">
        <f>VLOOKUP(Table1[[#This Row],[Reference]],metron,16,FALSE)</f>
        <v>8.8316683316683324</v>
      </c>
      <c r="CC163" s="6">
        <f>VLOOKUP(Table1[[#This Row],[Reference]],metron,17,FALSE)</f>
        <v>6.2901265822784813</v>
      </c>
      <c r="CD163" s="6">
        <f>VLOOKUP(Table1[[#This Row],[Reference]],metron,18,FALSE)</f>
        <v>3.6162025316455702</v>
      </c>
      <c r="CE163" s="6">
        <f>VLOOKUP(Table1[[#This Row],[Reference]],metron,19,FALSE)</f>
        <v>7.9616216694697686</v>
      </c>
      <c r="CF163" s="6">
        <f>VLOOKUP(Table1[[#This Row],[Reference]],metron,20,FALSE)</f>
        <v>5.2154658000227627</v>
      </c>
      <c r="CG163" s="6">
        <f>VLOOKUP(Table1[[#This Row],[Reference]],metron,21,FALSE)</f>
        <v>12.444895886236671</v>
      </c>
      <c r="CH163" s="6">
        <f>VLOOKUP(Table1[[#This Row],[Reference]],metron,22,FALSE)</f>
        <v>13.620619603859829</v>
      </c>
      <c r="CI163" s="6">
        <f>VLOOKUP(Table1[[#This Row],[Reference]],metron,23,FALSE)</f>
        <v>1.406084017382907</v>
      </c>
      <c r="CJ163" s="6">
        <f>VLOOKUP(Table1[[#This Row],[Reference]],metron,24,FALSE)</f>
        <v>2.070980202800579</v>
      </c>
      <c r="CK163" s="6">
        <f>VLOOKUP(Table1[[#This Row],[Reference]],metron,25,FALSE)</f>
        <v>6.1323032351521013E-2</v>
      </c>
      <c r="CL163" s="6">
        <f>VLOOKUP(Table1[[#This Row],[Reference]],metron,26,FALSE)</f>
        <v>0.1313375181071946</v>
      </c>
    </row>
    <row r="164" spans="1:90" hidden="1" x14ac:dyDescent="0.45">
      <c r="A164" t="s">
        <v>696</v>
      </c>
      <c r="B164">
        <v>1638068700</v>
      </c>
      <c r="C164" s="1" t="s">
        <v>392</v>
      </c>
      <c r="D164" t="s">
        <v>65</v>
      </c>
      <c r="E164" t="s">
        <v>66</v>
      </c>
      <c r="F164" t="s">
        <v>97</v>
      </c>
      <c r="G164" t="s">
        <v>101</v>
      </c>
      <c r="H164" t="s">
        <v>158</v>
      </c>
      <c r="I164">
        <f>MROUND(Table1[[#This Row],[ProbH]]*100,2)/100</f>
        <v>0.38</v>
      </c>
      <c r="J164">
        <f>1/Table1[[#This Row],[odds_ft_home_team_win]]-Table1[[#This Row],[Margin]]</f>
        <v>0.38063713773011015</v>
      </c>
      <c r="K164">
        <f>1/Table1[[#This Row],[odds_ft_draw]]-Table1[[#This Row],[Margin]]</f>
        <v>0.31583906660292516</v>
      </c>
      <c r="L164">
        <f>1/Table1[[#This Row],[odds_ft_away_team_win]]-Table1[[#This Row],[Margin]]</f>
        <v>0.30352379566696458</v>
      </c>
      <c r="M164" t="s">
        <v>66</v>
      </c>
      <c r="N164">
        <v>1.67</v>
      </c>
      <c r="O164">
        <v>1.37</v>
      </c>
      <c r="P164">
        <v>1.61</v>
      </c>
      <c r="Q164">
        <v>1.42</v>
      </c>
      <c r="R164" s="9" t="str" cm="1">
        <f t="array" ref="R1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64">
        <v>1</v>
      </c>
      <c r="T164">
        <v>1</v>
      </c>
      <c r="U164">
        <v>2</v>
      </c>
      <c r="V164">
        <v>1</v>
      </c>
      <c r="W164">
        <v>1</v>
      </c>
      <c r="X164">
        <v>0</v>
      </c>
      <c r="Y164">
        <v>18</v>
      </c>
      <c r="Z164">
        <v>73</v>
      </c>
      <c r="AA164">
        <v>4</v>
      </c>
      <c r="AB164">
        <v>5</v>
      </c>
      <c r="AC164">
        <v>3</v>
      </c>
      <c r="AD164">
        <v>0</v>
      </c>
      <c r="AE164">
        <v>3</v>
      </c>
      <c r="AF164">
        <v>0</v>
      </c>
      <c r="AG164">
        <v>0</v>
      </c>
      <c r="AH164">
        <v>3</v>
      </c>
      <c r="AI164">
        <v>1</v>
      </c>
      <c r="AJ164">
        <v>2</v>
      </c>
      <c r="AK164">
        <v>11</v>
      </c>
      <c r="AL164">
        <v>8</v>
      </c>
      <c r="AM164">
        <v>3</v>
      </c>
      <c r="AN164">
        <v>3</v>
      </c>
      <c r="AO164">
        <v>8</v>
      </c>
      <c r="AP164">
        <v>5</v>
      </c>
      <c r="AQ164">
        <v>22</v>
      </c>
      <c r="AR164">
        <v>13</v>
      </c>
      <c r="AS164">
        <v>40</v>
      </c>
      <c r="AT164">
        <v>60</v>
      </c>
      <c r="AU164">
        <v>1.1599999999999999</v>
      </c>
      <c r="AV164">
        <v>1.0900000000000001</v>
      </c>
      <c r="AW164">
        <v>1.92</v>
      </c>
      <c r="AX164">
        <v>38</v>
      </c>
      <c r="AY164">
        <v>59</v>
      </c>
      <c r="AZ164">
        <v>25</v>
      </c>
      <c r="BA164">
        <v>14</v>
      </c>
      <c r="BB164">
        <v>6</v>
      </c>
      <c r="BC164">
        <v>16</v>
      </c>
      <c r="BD164">
        <v>62</v>
      </c>
      <c r="BE164">
        <v>27</v>
      </c>
      <c r="BF164">
        <v>62</v>
      </c>
      <c r="BG164">
        <v>9.86</v>
      </c>
      <c r="BH164">
        <v>4.57</v>
      </c>
      <c r="BI164">
        <v>2.37</v>
      </c>
      <c r="BJ164">
        <v>2.8</v>
      </c>
      <c r="BK164">
        <v>2.9</v>
      </c>
      <c r="BL164">
        <f>(1/Table1[[#This Row],[odds_ft_home_team_win]]+1/Table1[[#This Row],[odds_ft_draw]]+1/Table1[[#This Row],[odds_ft_away_team_win]]-1)/3</f>
        <v>4.1303790539931974E-2</v>
      </c>
      <c r="BM164">
        <v>1.42</v>
      </c>
      <c r="BN164">
        <v>2.4500000000000002</v>
      </c>
      <c r="BO164">
        <v>4</v>
      </c>
      <c r="BP164">
        <v>8</v>
      </c>
      <c r="BQ164">
        <v>1.91</v>
      </c>
      <c r="BR164">
        <v>1.8</v>
      </c>
      <c r="BS164" t="s">
        <v>136</v>
      </c>
      <c r="BT164">
        <f>VLOOKUP(Table1[[#This Row],[Reference]],metron,8,FALSE)</f>
        <v>1.464160929441638</v>
      </c>
      <c r="BU164">
        <f>VLOOKUP(Table1[[#This Row],[Reference]],metron,9,FALSE)</f>
        <v>1.2477119808919459</v>
      </c>
      <c r="BV164">
        <f>VLOOKUP(Table1[[#This Row],[Reference]],metron,10,FALSE)</f>
        <v>2.4900895140664963</v>
      </c>
      <c r="BW164">
        <f>VLOOKUP(Table1[[#This Row],[Reference]],metron,11,FALSE)</f>
        <v>1.330562659846547</v>
      </c>
      <c r="BX164">
        <f>VLOOKUP(Table1[[#This Row],[Reference]],metron,12,FALSE)</f>
        <v>1.1595268542199491</v>
      </c>
      <c r="BY164" s="6">
        <f>VLOOKUP(Table1[[#This Row],[Reference]],metron,13,FALSE)</f>
        <v>0.59053607588191415</v>
      </c>
      <c r="BZ164" s="6">
        <f>VLOOKUP(Table1[[#This Row],[Reference]],metron,14,FALSE)</f>
        <v>0.50069274219332838</v>
      </c>
      <c r="CA164" s="6">
        <f>VLOOKUP(Table1[[#This Row],[Reference]],metron,15,FALSE)</f>
        <v>11.79715236686391</v>
      </c>
      <c r="CB164" s="6">
        <f>VLOOKUP(Table1[[#This Row],[Reference]],metron,16,FALSE)</f>
        <v>10.317122781065089</v>
      </c>
      <c r="CC164" s="6">
        <f>VLOOKUP(Table1[[#This Row],[Reference]],metron,17,FALSE)</f>
        <v>5.0637025966747622</v>
      </c>
      <c r="CD164" s="6">
        <f>VLOOKUP(Table1[[#This Row],[Reference]],metron,18,FALSE)</f>
        <v>4.4674014571268454</v>
      </c>
      <c r="CE164" s="6">
        <f>VLOOKUP(Table1[[#This Row],[Reference]],metron,19,FALSE)</f>
        <v>6.7334497701891483</v>
      </c>
      <c r="CF164" s="6">
        <f>VLOOKUP(Table1[[#This Row],[Reference]],metron,20,FALSE)</f>
        <v>5.849721323938244</v>
      </c>
      <c r="CG164" s="6">
        <f>VLOOKUP(Table1[[#This Row],[Reference]],metron,21,FALSE)</f>
        <v>12.89644194756554</v>
      </c>
      <c r="CH164" s="6">
        <f>VLOOKUP(Table1[[#This Row],[Reference]],metron,22,FALSE)</f>
        <v>13.3434456928839</v>
      </c>
      <c r="CI164" s="6">
        <f>VLOOKUP(Table1[[#This Row],[Reference]],metron,23,FALSE)</f>
        <v>1.6144382124117971</v>
      </c>
      <c r="CJ164" s="6">
        <f>VLOOKUP(Table1[[#This Row],[Reference]],metron,24,FALSE)</f>
        <v>1.9032024606477289</v>
      </c>
      <c r="CK164" s="6">
        <f>VLOOKUP(Table1[[#This Row],[Reference]],metron,25,FALSE)</f>
        <v>9.372172969060974E-2</v>
      </c>
      <c r="CL164" s="6">
        <f>VLOOKUP(Table1[[#This Row],[Reference]],metron,26,FALSE)</f>
        <v>0.11669983716301791</v>
      </c>
    </row>
    <row r="165" spans="1:90" hidden="1" x14ac:dyDescent="0.45">
      <c r="A165" t="s">
        <v>696</v>
      </c>
      <c r="B165">
        <v>1638144000</v>
      </c>
      <c r="C165" s="1" t="s">
        <v>393</v>
      </c>
      <c r="D165" t="s">
        <v>65</v>
      </c>
      <c r="E165" t="s">
        <v>66</v>
      </c>
      <c r="F165" t="s">
        <v>107</v>
      </c>
      <c r="G165" t="s">
        <v>73</v>
      </c>
      <c r="H165" t="s">
        <v>98</v>
      </c>
      <c r="I165">
        <f>MROUND(Table1[[#This Row],[ProbH]]*100,2)/100</f>
        <v>0.54</v>
      </c>
      <c r="J165">
        <f>1/Table1[[#This Row],[odds_ft_home_team_win]]-Table1[[#This Row],[Margin]]</f>
        <v>0.53075396825396826</v>
      </c>
      <c r="K165">
        <f>1/Table1[[#This Row],[odds_ft_draw]]-Table1[[#This Row],[Margin]]</f>
        <v>0.2718253968253968</v>
      </c>
      <c r="L165">
        <f>1/Table1[[#This Row],[odds_ft_away_team_win]]-Table1[[#This Row],[Margin]]</f>
        <v>0.19742063492063491</v>
      </c>
      <c r="M165" t="s">
        <v>66</v>
      </c>
      <c r="N165">
        <v>1.56</v>
      </c>
      <c r="O165">
        <v>1.58</v>
      </c>
      <c r="P165">
        <v>1.74</v>
      </c>
      <c r="Q165">
        <v>1.35</v>
      </c>
      <c r="R165" t="str" cm="1">
        <f t="array" ref="R1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82</v>
      </c>
      <c r="AA165">
        <v>2</v>
      </c>
      <c r="AB165">
        <v>5</v>
      </c>
      <c r="AC165">
        <v>3</v>
      </c>
      <c r="AD165">
        <v>1</v>
      </c>
      <c r="AE165">
        <v>4</v>
      </c>
      <c r="AF165">
        <v>0</v>
      </c>
      <c r="AG165">
        <v>0</v>
      </c>
      <c r="AH165">
        <v>4</v>
      </c>
      <c r="AI165">
        <v>1</v>
      </c>
      <c r="AJ165">
        <v>3</v>
      </c>
      <c r="AK165">
        <v>14</v>
      </c>
      <c r="AL165">
        <v>8</v>
      </c>
      <c r="AM165">
        <v>3</v>
      </c>
      <c r="AN165">
        <v>0</v>
      </c>
      <c r="AO165">
        <v>11</v>
      </c>
      <c r="AP165">
        <v>8</v>
      </c>
      <c r="AQ165">
        <v>16</v>
      </c>
      <c r="AR165">
        <v>10</v>
      </c>
      <c r="AS165">
        <v>61</v>
      </c>
      <c r="AT165">
        <v>39</v>
      </c>
      <c r="AU165">
        <v>1.33</v>
      </c>
      <c r="AV165">
        <v>0.79</v>
      </c>
      <c r="AW165">
        <v>2.36</v>
      </c>
      <c r="AX165">
        <v>57</v>
      </c>
      <c r="AY165">
        <v>84</v>
      </c>
      <c r="AZ165">
        <v>49</v>
      </c>
      <c r="BA165">
        <v>11</v>
      </c>
      <c r="BB165">
        <v>3</v>
      </c>
      <c r="BC165">
        <v>22</v>
      </c>
      <c r="BD165">
        <v>66</v>
      </c>
      <c r="BE165">
        <v>49</v>
      </c>
      <c r="BF165">
        <v>84</v>
      </c>
      <c r="BG165">
        <v>11.5</v>
      </c>
      <c r="BH165">
        <v>4.1100000000000003</v>
      </c>
      <c r="BI165">
        <v>1.75</v>
      </c>
      <c r="BJ165">
        <v>3.2</v>
      </c>
      <c r="BK165">
        <v>4.2</v>
      </c>
      <c r="BL165">
        <f>(1/Table1[[#This Row],[odds_ft_home_team_win]]+1/Table1[[#This Row],[odds_ft_draw]]+1/Table1[[#This Row],[odds_ft_away_team_win]]-1)/3</f>
        <v>4.0674603174603176E-2</v>
      </c>
      <c r="BM165">
        <v>1.32</v>
      </c>
      <c r="BN165">
        <v>2.0499999999999998</v>
      </c>
      <c r="BO165">
        <v>3.4</v>
      </c>
      <c r="BP165">
        <v>6.5</v>
      </c>
      <c r="BQ165">
        <v>1.87</v>
      </c>
      <c r="BR165">
        <v>1.83</v>
      </c>
      <c r="BS165" t="s">
        <v>161</v>
      </c>
      <c r="BT165">
        <f>VLOOKUP(Table1[[#This Row],[Reference]],metron,8,FALSE)</f>
        <v>1.915666026436746</v>
      </c>
      <c r="BU165">
        <f>VLOOKUP(Table1[[#This Row],[Reference]],metron,9,FALSE)</f>
        <v>0.82283834599204153</v>
      </c>
      <c r="BV165">
        <f>VLOOKUP(Table1[[#This Row],[Reference]],metron,10,FALSE)</f>
        <v>2.6359702267612941</v>
      </c>
      <c r="BW165">
        <f>VLOOKUP(Table1[[#This Row],[Reference]],metron,11,FALSE)</f>
        <v>1.684957590444867</v>
      </c>
      <c r="BX165">
        <f>VLOOKUP(Table1[[#This Row],[Reference]],metron,12,FALSE)</f>
        <v>0.95101263631642718</v>
      </c>
      <c r="BY165" s="6">
        <f>VLOOKUP(Table1[[#This Row],[Reference]],metron,13,FALSE)</f>
        <v>0.72650164445213783</v>
      </c>
      <c r="BZ165" s="6">
        <f>VLOOKUP(Table1[[#This Row],[Reference]],metron,14,FALSE)</f>
        <v>0.42097974727367138</v>
      </c>
      <c r="CA165" s="6">
        <f>VLOOKUP(Table1[[#This Row],[Reference]],metron,15,FALSE)</f>
        <v>13.338806970509379</v>
      </c>
      <c r="CB165" s="6">
        <f>VLOOKUP(Table1[[#This Row],[Reference]],metron,16,FALSE)</f>
        <v>9.2530160857908843</v>
      </c>
      <c r="CC165" s="6">
        <f>VLOOKUP(Table1[[#This Row],[Reference]],metron,17,FALSE)</f>
        <v>5.9915081521739131</v>
      </c>
      <c r="CD165" s="6">
        <f>VLOOKUP(Table1[[#This Row],[Reference]],metron,18,FALSE)</f>
        <v>3.9772418478260869</v>
      </c>
      <c r="CE165" s="6">
        <f>VLOOKUP(Table1[[#This Row],[Reference]],metron,19,FALSE)</f>
        <v>7.3472988183354664</v>
      </c>
      <c r="CF165" s="6">
        <f>VLOOKUP(Table1[[#This Row],[Reference]],metron,20,FALSE)</f>
        <v>5.2757742379647974</v>
      </c>
      <c r="CG165" s="6">
        <f>VLOOKUP(Table1[[#This Row],[Reference]],metron,21,FALSE)</f>
        <v>12.59428182437032</v>
      </c>
      <c r="CH165" s="6">
        <f>VLOOKUP(Table1[[#This Row],[Reference]],metron,22,FALSE)</f>
        <v>13.577944179714089</v>
      </c>
      <c r="CI165" s="6">
        <f>VLOOKUP(Table1[[#This Row],[Reference]],metron,23,FALSE)</f>
        <v>1.4276913099870301</v>
      </c>
      <c r="CJ165" s="6">
        <f>VLOOKUP(Table1[[#This Row],[Reference]],metron,24,FALSE)</f>
        <v>1.940985732814527</v>
      </c>
      <c r="CK165" s="6">
        <f>VLOOKUP(Table1[[#This Row],[Reference]],metron,25,FALSE)</f>
        <v>8.0739299610894946E-2</v>
      </c>
      <c r="CL165" s="6">
        <f>VLOOKUP(Table1[[#This Row],[Reference]],metron,26,FALSE)</f>
        <v>0.12743190661478601</v>
      </c>
    </row>
    <row r="166" spans="1:90" hidden="1" x14ac:dyDescent="0.45">
      <c r="A166" t="s">
        <v>696</v>
      </c>
      <c r="B166">
        <v>1638151500</v>
      </c>
      <c r="C166" s="1" t="s">
        <v>394</v>
      </c>
      <c r="D166" t="s">
        <v>65</v>
      </c>
      <c r="E166" t="s">
        <v>66</v>
      </c>
      <c r="F166" t="s">
        <v>85</v>
      </c>
      <c r="G166" t="s">
        <v>102</v>
      </c>
      <c r="H166" t="s">
        <v>74</v>
      </c>
      <c r="I166">
        <f>MROUND(Table1[[#This Row],[ProbH]]*100,2)/100</f>
        <v>0.57999999999999996</v>
      </c>
      <c r="J166">
        <f>1/Table1[[#This Row],[odds_ft_home_team_win]]-Table1[[#This Row],[Margin]]</f>
        <v>0.58809523809523812</v>
      </c>
      <c r="K166">
        <f>1/Table1[[#This Row],[odds_ft_draw]]-Table1[[#This Row],[Margin]]</f>
        <v>0.24880952380952379</v>
      </c>
      <c r="L166">
        <f>1/Table1[[#This Row],[odds_ft_away_team_win]]-Table1[[#This Row],[Margin]]</f>
        <v>0.1630952380952381</v>
      </c>
      <c r="M166" t="s">
        <v>66</v>
      </c>
      <c r="N166">
        <v>1.61</v>
      </c>
      <c r="O166">
        <v>1.47</v>
      </c>
      <c r="P166">
        <v>1.48</v>
      </c>
      <c r="Q166">
        <v>1.4</v>
      </c>
      <c r="R166" t="str" cm="1">
        <f t="array" ref="R1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6">
        <v>2</v>
      </c>
      <c r="T166">
        <v>0</v>
      </c>
      <c r="U166">
        <v>2</v>
      </c>
      <c r="V166">
        <v>1</v>
      </c>
      <c r="W166">
        <v>1</v>
      </c>
      <c r="X166">
        <v>0</v>
      </c>
      <c r="Y166" t="s">
        <v>395</v>
      </c>
      <c r="AA166">
        <v>2</v>
      </c>
      <c r="AB166">
        <v>4</v>
      </c>
      <c r="AC166">
        <v>1</v>
      </c>
      <c r="AD166">
        <v>0</v>
      </c>
      <c r="AE166">
        <v>6</v>
      </c>
      <c r="AF166">
        <v>0</v>
      </c>
      <c r="AG166">
        <v>1</v>
      </c>
      <c r="AH166">
        <v>0</v>
      </c>
      <c r="AI166">
        <v>2</v>
      </c>
      <c r="AJ166">
        <v>4</v>
      </c>
      <c r="AK166">
        <v>12</v>
      </c>
      <c r="AL166">
        <v>13</v>
      </c>
      <c r="AM166">
        <v>7</v>
      </c>
      <c r="AN166">
        <v>5</v>
      </c>
      <c r="AO166">
        <v>5</v>
      </c>
      <c r="AP166">
        <v>8</v>
      </c>
      <c r="AQ166">
        <v>14</v>
      </c>
      <c r="AR166">
        <v>22</v>
      </c>
      <c r="AS166">
        <v>55</v>
      </c>
      <c r="AT166">
        <v>45</v>
      </c>
      <c r="AU166">
        <v>1.43</v>
      </c>
      <c r="AV166">
        <v>1.45</v>
      </c>
      <c r="AW166">
        <v>2.06</v>
      </c>
      <c r="AX166">
        <v>40</v>
      </c>
      <c r="AY166">
        <v>68</v>
      </c>
      <c r="AZ166">
        <v>33</v>
      </c>
      <c r="BA166">
        <v>11</v>
      </c>
      <c r="BB166">
        <v>0</v>
      </c>
      <c r="BC166">
        <v>19</v>
      </c>
      <c r="BD166">
        <v>60</v>
      </c>
      <c r="BE166">
        <v>38</v>
      </c>
      <c r="BF166">
        <v>78</v>
      </c>
      <c r="BG166">
        <v>9.25</v>
      </c>
      <c r="BH166">
        <v>4.91</v>
      </c>
      <c r="BI166">
        <v>1.6</v>
      </c>
      <c r="BJ166">
        <v>3.5</v>
      </c>
      <c r="BK166">
        <v>5</v>
      </c>
      <c r="BL166">
        <f>(1/Table1[[#This Row],[odds_ft_home_team_win]]+1/Table1[[#This Row],[odds_ft_draw]]+1/Table1[[#This Row],[odds_ft_away_team_win]]-1)/3</f>
        <v>3.6904761904761919E-2</v>
      </c>
      <c r="BM166">
        <v>1.29</v>
      </c>
      <c r="BN166">
        <v>1.87</v>
      </c>
      <c r="BO166">
        <v>3.1</v>
      </c>
      <c r="BP166">
        <v>6</v>
      </c>
      <c r="BQ166">
        <v>1.93</v>
      </c>
      <c r="BR166">
        <v>1.78</v>
      </c>
      <c r="BS166" t="s">
        <v>128</v>
      </c>
      <c r="BT166">
        <f>VLOOKUP(Table1[[#This Row],[Reference]],metron,8,FALSE)</f>
        <v>2.0230889143600308</v>
      </c>
      <c r="BU166">
        <f>VLOOKUP(Table1[[#This Row],[Reference]],metron,9,FALSE)</f>
        <v>0.72731480520165426</v>
      </c>
      <c r="BV166">
        <f>VLOOKUP(Table1[[#This Row],[Reference]],metron,10,FALSE)</f>
        <v>2.6362999299229148</v>
      </c>
      <c r="BW166">
        <f>VLOOKUP(Table1[[#This Row],[Reference]],metron,11,FALSE)</f>
        <v>1.7619715019855171</v>
      </c>
      <c r="BX166">
        <f>VLOOKUP(Table1[[#This Row],[Reference]],metron,12,FALSE)</f>
        <v>0.87432842793739785</v>
      </c>
      <c r="BY166" s="6">
        <f>VLOOKUP(Table1[[#This Row],[Reference]],metron,13,FALSE)</f>
        <v>0.78411214953271025</v>
      </c>
      <c r="BZ166" s="6">
        <f>VLOOKUP(Table1[[#This Row],[Reference]],metron,14,FALSE)</f>
        <v>0.38060747663551397</v>
      </c>
      <c r="CA166" s="6">
        <f>VLOOKUP(Table1[[#This Row],[Reference]],metron,15,FALSE)</f>
        <v>14.215499378367181</v>
      </c>
      <c r="CB166" s="6">
        <f>VLOOKUP(Table1[[#This Row],[Reference]],metron,16,FALSE)</f>
        <v>8.9523612261806136</v>
      </c>
      <c r="CC166" s="6">
        <f>VLOOKUP(Table1[[#This Row],[Reference]],metron,17,FALSE)</f>
        <v>6.3083121289228163</v>
      </c>
      <c r="CD166" s="6">
        <f>VLOOKUP(Table1[[#This Row],[Reference]],metron,18,FALSE)</f>
        <v>3.7757524374735061</v>
      </c>
      <c r="CE166" s="6">
        <f>VLOOKUP(Table1[[#This Row],[Reference]],metron,19,FALSE)</f>
        <v>7.9071872494443642</v>
      </c>
      <c r="CF166" s="6">
        <f>VLOOKUP(Table1[[#This Row],[Reference]],metron,20,FALSE)</f>
        <v>5.1766087887071075</v>
      </c>
      <c r="CG166" s="6">
        <f>VLOOKUP(Table1[[#This Row],[Reference]],metron,21,FALSE)</f>
        <v>12.634239592183521</v>
      </c>
      <c r="CH166" s="6">
        <f>VLOOKUP(Table1[[#This Row],[Reference]],metron,22,FALSE)</f>
        <v>13.597706032285471</v>
      </c>
      <c r="CI166" s="6">
        <f>VLOOKUP(Table1[[#This Row],[Reference]],metron,23,FALSE)</f>
        <v>1.365400161681487</v>
      </c>
      <c r="CJ166" s="6">
        <f>VLOOKUP(Table1[[#This Row],[Reference]],metron,24,FALSE)</f>
        <v>1.963621665319321</v>
      </c>
      <c r="CK166" s="6">
        <f>VLOOKUP(Table1[[#This Row],[Reference]],metron,25,FALSE)</f>
        <v>7.1544058205335492E-2</v>
      </c>
      <c r="CL166" s="6">
        <f>VLOOKUP(Table1[[#This Row],[Reference]],metron,26,FALSE)</f>
        <v>0.1216653193209378</v>
      </c>
    </row>
    <row r="167" spans="1:90" hidden="1" x14ac:dyDescent="0.45">
      <c r="A167" t="s">
        <v>696</v>
      </c>
      <c r="B167">
        <v>1638414000</v>
      </c>
      <c r="C167" s="1" t="s">
        <v>396</v>
      </c>
      <c r="D167" t="s">
        <v>65</v>
      </c>
      <c r="E167" t="s">
        <v>66</v>
      </c>
      <c r="F167" t="s">
        <v>107</v>
      </c>
      <c r="G167" t="s">
        <v>85</v>
      </c>
      <c r="H167" t="s">
        <v>69</v>
      </c>
      <c r="I167">
        <f>MROUND(Table1[[#This Row],[ProbH]]*100,2)/100</f>
        <v>0.46</v>
      </c>
      <c r="J167">
        <f>1/Table1[[#This Row],[odds_ft_home_team_win]]-Table1[[#This Row],[Margin]]</f>
        <v>0.45154351399858228</v>
      </c>
      <c r="K167">
        <f>1/Table1[[#This Row],[odds_ft_draw]]-Table1[[#This Row],[Margin]]</f>
        <v>0.28011178253809454</v>
      </c>
      <c r="L167">
        <f>1/Table1[[#This Row],[odds_ft_away_team_win]]-Table1[[#This Row],[Margin]]</f>
        <v>0.26834470346332318</v>
      </c>
      <c r="M167" t="s">
        <v>66</v>
      </c>
      <c r="N167">
        <v>1.63</v>
      </c>
      <c r="O167">
        <v>1.68</v>
      </c>
      <c r="P167">
        <v>1.74</v>
      </c>
      <c r="Q167">
        <v>1.48</v>
      </c>
      <c r="R167" t="str" cm="1">
        <f t="array" ref="R1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7">
        <v>2</v>
      </c>
      <c r="T167">
        <v>1</v>
      </c>
      <c r="U167">
        <v>3</v>
      </c>
      <c r="V167">
        <v>0</v>
      </c>
      <c r="W167">
        <v>0</v>
      </c>
      <c r="X167">
        <v>0</v>
      </c>
      <c r="Y167" t="s">
        <v>397</v>
      </c>
      <c r="Z167">
        <v>57</v>
      </c>
      <c r="AA167">
        <v>12</v>
      </c>
      <c r="AB167">
        <v>0</v>
      </c>
      <c r="AC167">
        <v>2</v>
      </c>
      <c r="AD167">
        <v>0</v>
      </c>
      <c r="AE167">
        <v>3</v>
      </c>
      <c r="AF167">
        <v>0</v>
      </c>
      <c r="AG167">
        <v>0</v>
      </c>
      <c r="AH167">
        <v>2</v>
      </c>
      <c r="AI167">
        <v>1</v>
      </c>
      <c r="AJ167">
        <v>2</v>
      </c>
      <c r="AK167">
        <v>26</v>
      </c>
      <c r="AL167">
        <v>9</v>
      </c>
      <c r="AM167">
        <v>10</v>
      </c>
      <c r="AN167">
        <v>4</v>
      </c>
      <c r="AO167">
        <v>16</v>
      </c>
      <c r="AP167">
        <v>5</v>
      </c>
      <c r="AQ167">
        <v>15</v>
      </c>
      <c r="AR167">
        <v>15</v>
      </c>
      <c r="AS167">
        <v>62</v>
      </c>
      <c r="AT167">
        <v>38</v>
      </c>
      <c r="AU167">
        <v>3.3</v>
      </c>
      <c r="AV167">
        <v>1.07</v>
      </c>
      <c r="AW167">
        <v>2.19</v>
      </c>
      <c r="AX167">
        <v>40</v>
      </c>
      <c r="AY167">
        <v>71</v>
      </c>
      <c r="AZ167">
        <v>48</v>
      </c>
      <c r="BA167">
        <v>11</v>
      </c>
      <c r="BB167">
        <v>0</v>
      </c>
      <c r="BC167">
        <v>21</v>
      </c>
      <c r="BD167">
        <v>74</v>
      </c>
      <c r="BE167">
        <v>35</v>
      </c>
      <c r="BF167">
        <v>76</v>
      </c>
      <c r="BG167">
        <v>8.9499999999999993</v>
      </c>
      <c r="BH167">
        <v>4.42</v>
      </c>
      <c r="BI167">
        <v>2.14</v>
      </c>
      <c r="BJ167">
        <v>3.38</v>
      </c>
      <c r="BK167">
        <v>3.52</v>
      </c>
      <c r="BL167">
        <f>(1/Table1[[#This Row],[odds_ft_home_team_win]]+1/Table1[[#This Row],[odds_ft_draw]]+1/Table1[[#This Row],[odds_ft_away_team_win]]-1)/3</f>
        <v>1.5746205627585958E-2</v>
      </c>
      <c r="BM167">
        <v>1.32</v>
      </c>
      <c r="BN167">
        <v>2.1800000000000002</v>
      </c>
      <c r="BO167">
        <v>3.3</v>
      </c>
      <c r="BP167">
        <v>6.25</v>
      </c>
      <c r="BQ167">
        <v>1.78</v>
      </c>
      <c r="BR167">
        <v>1.93</v>
      </c>
      <c r="BS167" t="s">
        <v>161</v>
      </c>
      <c r="BT167">
        <f>VLOOKUP(Table1[[#This Row],[Reference]],metron,8,FALSE)</f>
        <v>1.6955772349985931</v>
      </c>
      <c r="BU167">
        <f>VLOOKUP(Table1[[#This Row],[Reference]],metron,9,FALSE)</f>
        <v>1.0239029519551039</v>
      </c>
      <c r="BV167">
        <f>VLOOKUP(Table1[[#This Row],[Reference]],metron,10,FALSE)</f>
        <v>2.5405629139072849</v>
      </c>
      <c r="BW167">
        <f>VLOOKUP(Table1[[#This Row],[Reference]],metron,11,FALSE)</f>
        <v>1.4888836329233679</v>
      </c>
      <c r="BX167">
        <f>VLOOKUP(Table1[[#This Row],[Reference]],metron,12,FALSE)</f>
        <v>1.0516792809839171</v>
      </c>
      <c r="BY167" s="6">
        <f>VLOOKUP(Table1[[#This Row],[Reference]],metron,13,FALSE)</f>
        <v>0.64581362346263005</v>
      </c>
      <c r="BZ167" s="6">
        <f>VLOOKUP(Table1[[#This Row],[Reference]],metron,14,FALSE)</f>
        <v>0.45364238410596031</v>
      </c>
      <c r="CA167" s="6">
        <f>VLOOKUP(Table1[[#This Row],[Reference]],metron,15,FALSE)</f>
        <v>12.686892177589851</v>
      </c>
      <c r="CB167" s="6">
        <f>VLOOKUP(Table1[[#This Row],[Reference]],metron,16,FALSE)</f>
        <v>9.8059196617336148</v>
      </c>
      <c r="CC167" s="6">
        <f>VLOOKUP(Table1[[#This Row],[Reference]],metron,17,FALSE)</f>
        <v>5.3198121263877027</v>
      </c>
      <c r="CD167" s="6">
        <f>VLOOKUP(Table1[[#This Row],[Reference]],metron,18,FALSE)</f>
        <v>4.0954312553373189</v>
      </c>
      <c r="CE167" s="6">
        <f>VLOOKUP(Table1[[#This Row],[Reference]],metron,19,FALSE)</f>
        <v>7.3670800512021479</v>
      </c>
      <c r="CF167" s="6">
        <f>VLOOKUP(Table1[[#This Row],[Reference]],metron,20,FALSE)</f>
        <v>5.710488406396296</v>
      </c>
      <c r="CG167" s="6">
        <f>VLOOKUP(Table1[[#This Row],[Reference]],metron,21,FALSE)</f>
        <v>13.0488908033599</v>
      </c>
      <c r="CH167" s="6">
        <f>VLOOKUP(Table1[[#This Row],[Reference]],metron,22,FALSE)</f>
        <v>13.714839543398661</v>
      </c>
      <c r="CI167" s="6">
        <f>VLOOKUP(Table1[[#This Row],[Reference]],metron,23,FALSE)</f>
        <v>1.567523459812322</v>
      </c>
      <c r="CJ167" s="6">
        <f>VLOOKUP(Table1[[#This Row],[Reference]],metron,24,FALSE)</f>
        <v>1.951040391676867</v>
      </c>
      <c r="CK167" s="6">
        <f>VLOOKUP(Table1[[#This Row],[Reference]],metron,25,FALSE)</f>
        <v>8.3027335781313744E-2</v>
      </c>
      <c r="CL167" s="6">
        <f>VLOOKUP(Table1[[#This Row],[Reference]],metron,26,FALSE)</f>
        <v>0.13117095063239501</v>
      </c>
    </row>
    <row r="168" spans="1:90" hidden="1" x14ac:dyDescent="0.45">
      <c r="A168" t="s">
        <v>696</v>
      </c>
      <c r="B168">
        <v>1638500400</v>
      </c>
      <c r="C168" s="1" t="s">
        <v>398</v>
      </c>
      <c r="D168" t="s">
        <v>65</v>
      </c>
      <c r="E168" t="s">
        <v>66</v>
      </c>
      <c r="F168" t="s">
        <v>96</v>
      </c>
      <c r="G168" t="s">
        <v>97</v>
      </c>
      <c r="H168" t="s">
        <v>80</v>
      </c>
      <c r="I168">
        <f>MROUND(Table1[[#This Row],[ProbH]]*100,2)/100</f>
        <v>0.34</v>
      </c>
      <c r="J168">
        <f>1/Table1[[#This Row],[odds_ft_home_team_win]]-Table1[[#This Row],[Margin]]</f>
        <v>0.33818867978967315</v>
      </c>
      <c r="K168">
        <f>1/Table1[[#This Row],[odds_ft_draw]]-Table1[[#This Row],[Margin]]</f>
        <v>0.33693564117102293</v>
      </c>
      <c r="L168">
        <f>1/Table1[[#This Row],[odds_ft_away_team_win]]-Table1[[#This Row],[Margin]]</f>
        <v>0.32487567903930398</v>
      </c>
      <c r="M168" t="s">
        <v>66</v>
      </c>
      <c r="N168">
        <v>1.4</v>
      </c>
      <c r="O168">
        <v>1.63</v>
      </c>
      <c r="P168">
        <v>1.33</v>
      </c>
      <c r="Q168">
        <v>1.61</v>
      </c>
      <c r="R168" t="str" cm="1">
        <f t="array" ref="R1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Z168">
        <v>43</v>
      </c>
      <c r="AA168">
        <v>6</v>
      </c>
      <c r="AB168">
        <v>2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11</v>
      </c>
      <c r="AL168">
        <v>9</v>
      </c>
      <c r="AM168">
        <v>3</v>
      </c>
      <c r="AN168">
        <v>5</v>
      </c>
      <c r="AO168">
        <v>8</v>
      </c>
      <c r="AP168">
        <v>4</v>
      </c>
      <c r="AQ168">
        <v>10</v>
      </c>
      <c r="AR168">
        <v>13</v>
      </c>
      <c r="AS168">
        <v>55</v>
      </c>
      <c r="AT168">
        <v>45</v>
      </c>
      <c r="AU168">
        <v>1.46</v>
      </c>
      <c r="AV168">
        <v>1.41</v>
      </c>
      <c r="AW168">
        <v>2.0499999999999998</v>
      </c>
      <c r="AX168">
        <v>36</v>
      </c>
      <c r="AY168">
        <v>62</v>
      </c>
      <c r="AZ168">
        <v>33</v>
      </c>
      <c r="BA168">
        <v>15</v>
      </c>
      <c r="BB168">
        <v>5</v>
      </c>
      <c r="BC168">
        <v>16</v>
      </c>
      <c r="BD168">
        <v>64</v>
      </c>
      <c r="BE168">
        <v>31</v>
      </c>
      <c r="BF168">
        <v>67</v>
      </c>
      <c r="BG168">
        <v>9.8699999999999992</v>
      </c>
      <c r="BH168">
        <v>4.7</v>
      </c>
      <c r="BI168">
        <v>2.82</v>
      </c>
      <c r="BJ168">
        <v>2.83</v>
      </c>
      <c r="BK168">
        <v>2.93</v>
      </c>
      <c r="BL168">
        <f>(1/Table1[[#This Row],[odds_ft_home_team_win]]+1/Table1[[#This Row],[odds_ft_draw]]+1/Table1[[#This Row],[odds_ft_away_team_win]]-1)/3</f>
        <v>1.6421249288341027E-2</v>
      </c>
      <c r="BM168">
        <v>1.83</v>
      </c>
      <c r="BN168">
        <v>2.5</v>
      </c>
      <c r="BO168">
        <v>4.2</v>
      </c>
      <c r="BP168">
        <v>8.75</v>
      </c>
      <c r="BQ168">
        <v>1.98</v>
      </c>
      <c r="BR168">
        <v>1.75</v>
      </c>
      <c r="BS168" t="s">
        <v>99</v>
      </c>
      <c r="BT168">
        <f>VLOOKUP(Table1[[#This Row],[Reference]],metron,8,FALSE)</f>
        <v>1.3382439854569812</v>
      </c>
      <c r="BU168">
        <f>VLOOKUP(Table1[[#This Row],[Reference]],metron,9,FALSE)</f>
        <v>1.3740319615582339</v>
      </c>
      <c r="BV168">
        <f>VLOOKUP(Table1[[#This Row],[Reference]],metron,10,FALSE)</f>
        <v>2.5229727551184897</v>
      </c>
      <c r="BW168">
        <f>VLOOKUP(Table1[[#This Row],[Reference]],metron,11,FALSE)</f>
        <v>1.228921489601805</v>
      </c>
      <c r="BX168">
        <f>VLOOKUP(Table1[[#This Row],[Reference]],metron,12,FALSE)</f>
        <v>1.2940512655166849</v>
      </c>
      <c r="BY168" s="6">
        <f>VLOOKUP(Table1[[#This Row],[Reference]],metron,13,FALSE)</f>
        <v>0.53240890035472432</v>
      </c>
      <c r="BZ168" s="6">
        <f>VLOOKUP(Table1[[#This Row],[Reference]],metron,14,FALSE)</f>
        <v>0.56514027732989358</v>
      </c>
      <c r="CA168" s="6">
        <f>VLOOKUP(Table1[[#This Row],[Reference]],metron,15,FALSE)</f>
        <v>11.417888124439131</v>
      </c>
      <c r="CB168" s="6">
        <f>VLOOKUP(Table1[[#This Row],[Reference]],metron,16,FALSE)</f>
        <v>10.76308704756207</v>
      </c>
      <c r="CC168" s="6">
        <f>VLOOKUP(Table1[[#This Row],[Reference]],metron,17,FALSE)</f>
        <v>4.8317672021824798</v>
      </c>
      <c r="CD168" s="6">
        <f>VLOOKUP(Table1[[#This Row],[Reference]],metron,18,FALSE)</f>
        <v>4.6698999696877843</v>
      </c>
      <c r="CE168" s="6">
        <f>VLOOKUP(Table1[[#This Row],[Reference]],metron,19,FALSE)</f>
        <v>6.5861209222566508</v>
      </c>
      <c r="CF168" s="6">
        <f>VLOOKUP(Table1[[#This Row],[Reference]],metron,20,FALSE)</f>
        <v>6.093187077874286</v>
      </c>
      <c r="CG168" s="6">
        <f>VLOOKUP(Table1[[#This Row],[Reference]],metron,21,FALSE)</f>
        <v>12.685679611650491</v>
      </c>
      <c r="CH168" s="6">
        <f>VLOOKUP(Table1[[#This Row],[Reference]],metron,22,FALSE)</f>
        <v>13.02639563106796</v>
      </c>
      <c r="CI168" s="6">
        <f>VLOOKUP(Table1[[#This Row],[Reference]],metron,23,FALSE)</f>
        <v>1.6481211768132831</v>
      </c>
      <c r="CJ168" s="6">
        <f>VLOOKUP(Table1[[#This Row],[Reference]],metron,24,FALSE)</f>
        <v>1.8572676958928049</v>
      </c>
      <c r="CK168" s="6">
        <f>VLOOKUP(Table1[[#This Row],[Reference]],metron,25,FALSE)</f>
        <v>9.641712787649287E-2</v>
      </c>
      <c r="CL168" s="6">
        <f>VLOOKUP(Table1[[#This Row],[Reference]],metron,26,FALSE)</f>
        <v>0.11302068161957469</v>
      </c>
    </row>
    <row r="169" spans="1:90" hidden="1" x14ac:dyDescent="0.45">
      <c r="A169" t="s">
        <v>696</v>
      </c>
      <c r="B169">
        <v>1638673200</v>
      </c>
      <c r="C169" s="1" t="s">
        <v>399</v>
      </c>
      <c r="D169" t="s">
        <v>65</v>
      </c>
      <c r="E169" t="s">
        <v>66</v>
      </c>
      <c r="F169" t="s">
        <v>85</v>
      </c>
      <c r="G169" t="s">
        <v>107</v>
      </c>
      <c r="H169" t="s">
        <v>158</v>
      </c>
      <c r="I169">
        <f>MROUND(Table1[[#This Row],[ProbH]]*100,2)/100</f>
        <v>0.44</v>
      </c>
      <c r="J169">
        <f>1/Table1[[#This Row],[odds_ft_home_team_win]]-Table1[[#This Row],[Margin]]</f>
        <v>0.443534486529998</v>
      </c>
      <c r="K169">
        <f>1/Table1[[#This Row],[odds_ft_draw]]-Table1[[#This Row],[Margin]]</f>
        <v>0.27468917062585863</v>
      </c>
      <c r="L169">
        <f>1/Table1[[#This Row],[odds_ft_away_team_win]]-Table1[[#This Row],[Margin]]</f>
        <v>0.28177634284414355</v>
      </c>
      <c r="M169" t="s">
        <v>66</v>
      </c>
      <c r="N169">
        <v>1.6</v>
      </c>
      <c r="O169">
        <v>1.7</v>
      </c>
      <c r="P169">
        <v>1.48</v>
      </c>
      <c r="Q169">
        <v>1.74</v>
      </c>
      <c r="R169" s="9" t="str" cm="1">
        <f t="array" ref="R1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9">
        <v>2</v>
      </c>
      <c r="T169">
        <v>1</v>
      </c>
      <c r="U169">
        <v>3</v>
      </c>
      <c r="V169">
        <v>2</v>
      </c>
      <c r="W169">
        <v>1</v>
      </c>
      <c r="X169">
        <v>1</v>
      </c>
      <c r="Y169" t="s">
        <v>400</v>
      </c>
      <c r="Z169">
        <v>16</v>
      </c>
      <c r="AA169">
        <v>7</v>
      </c>
      <c r="AB169">
        <v>2</v>
      </c>
      <c r="AC169">
        <v>4</v>
      </c>
      <c r="AD169">
        <v>1</v>
      </c>
      <c r="AE169">
        <v>5</v>
      </c>
      <c r="AF169">
        <v>1</v>
      </c>
      <c r="AG169">
        <v>3</v>
      </c>
      <c r="AH169">
        <v>2</v>
      </c>
      <c r="AI169">
        <v>0</v>
      </c>
      <c r="AJ169">
        <v>6</v>
      </c>
      <c r="AK169">
        <v>16</v>
      </c>
      <c r="AL169">
        <v>6</v>
      </c>
      <c r="AM169">
        <v>6</v>
      </c>
      <c r="AN169">
        <v>3</v>
      </c>
      <c r="AO169">
        <v>10</v>
      </c>
      <c r="AP169">
        <v>3</v>
      </c>
      <c r="AQ169">
        <v>11</v>
      </c>
      <c r="AR169">
        <v>20</v>
      </c>
      <c r="AS169">
        <v>70</v>
      </c>
      <c r="AT169">
        <v>30</v>
      </c>
      <c r="AU169">
        <v>1.88</v>
      </c>
      <c r="AV169">
        <v>0.78</v>
      </c>
      <c r="AW169">
        <v>2.23</v>
      </c>
      <c r="AX169">
        <v>43</v>
      </c>
      <c r="AY169">
        <v>73</v>
      </c>
      <c r="AZ169">
        <v>50</v>
      </c>
      <c r="BA169">
        <v>10</v>
      </c>
      <c r="BB169">
        <v>0</v>
      </c>
      <c r="BC169">
        <v>20</v>
      </c>
      <c r="BD169">
        <v>70</v>
      </c>
      <c r="BE169">
        <v>38</v>
      </c>
      <c r="BF169">
        <v>78</v>
      </c>
      <c r="BG169">
        <v>9.1</v>
      </c>
      <c r="BH169">
        <v>4.45</v>
      </c>
      <c r="BI169">
        <v>2.16</v>
      </c>
      <c r="BJ169">
        <v>3.4</v>
      </c>
      <c r="BK169">
        <v>3.32</v>
      </c>
      <c r="BL169">
        <f>(1/Table1[[#This Row],[odds_ft_home_team_win]]+1/Table1[[#This Row],[odds_ft_draw]]+1/Table1[[#This Row],[odds_ft_away_team_win]]-1)/3</f>
        <v>1.9428476432964931E-2</v>
      </c>
      <c r="BM169">
        <v>1.33</v>
      </c>
      <c r="BN169">
        <v>2.04</v>
      </c>
      <c r="BO169">
        <v>3.4</v>
      </c>
      <c r="BP169">
        <v>6.75</v>
      </c>
      <c r="BQ169">
        <v>1.76</v>
      </c>
      <c r="BR169">
        <v>2</v>
      </c>
      <c r="BS169" t="s">
        <v>128</v>
      </c>
      <c r="BT169">
        <f>VLOOKUP(Table1[[#This Row],[Reference]],metron,8,FALSE)</f>
        <v>1.6395459745305552</v>
      </c>
      <c r="BU169">
        <f>VLOOKUP(Table1[[#This Row],[Reference]],metron,9,FALSE)</f>
        <v>1.0758429359324786</v>
      </c>
      <c r="BV169">
        <f>VLOOKUP(Table1[[#This Row],[Reference]],metron,10,FALSE)</f>
        <v>2.4807646356033461</v>
      </c>
      <c r="BW169">
        <f>VLOOKUP(Table1[[#This Row],[Reference]],metron,11,FALSE)</f>
        <v>1.4140979689366791</v>
      </c>
      <c r="BX169">
        <f>VLOOKUP(Table1[[#This Row],[Reference]],metron,12,FALSE)</f>
        <v>1.0666666666666671</v>
      </c>
      <c r="BY169" s="6">
        <f>VLOOKUP(Table1[[#This Row],[Reference]],metron,13,FALSE)</f>
        <v>0.62712066905615294</v>
      </c>
      <c r="BZ169" s="6">
        <f>VLOOKUP(Table1[[#This Row],[Reference]],metron,14,FALSE)</f>
        <v>0.46009557945041818</v>
      </c>
      <c r="CA169" s="6">
        <f>VLOOKUP(Table1[[#This Row],[Reference]],metron,15,FALSE)</f>
        <v>12.56969280146722</v>
      </c>
      <c r="CB169" s="6">
        <f>VLOOKUP(Table1[[#This Row],[Reference]],metron,16,FALSE)</f>
        <v>9.8695552498853729</v>
      </c>
      <c r="CC169" s="6">
        <f>VLOOKUP(Table1[[#This Row],[Reference]],metron,17,FALSE)</f>
        <v>5.2754256787850897</v>
      </c>
      <c r="CD169" s="6">
        <f>VLOOKUP(Table1[[#This Row],[Reference]],metron,18,FALSE)</f>
        <v>4.1279337321675103</v>
      </c>
      <c r="CE169" s="6">
        <f>VLOOKUP(Table1[[#This Row],[Reference]],metron,19,FALSE)</f>
        <v>7.2942671226821298</v>
      </c>
      <c r="CF169" s="6">
        <f>VLOOKUP(Table1[[#This Row],[Reference]],metron,20,FALSE)</f>
        <v>5.7416215177178627</v>
      </c>
      <c r="CG169" s="6">
        <f>VLOOKUP(Table1[[#This Row],[Reference]],metron,21,FALSE)</f>
        <v>12.897246007868549</v>
      </c>
      <c r="CH169" s="6">
        <f>VLOOKUP(Table1[[#This Row],[Reference]],metron,22,FALSE)</f>
        <v>13.507058551261281</v>
      </c>
      <c r="CI169" s="6">
        <f>VLOOKUP(Table1[[#This Row],[Reference]],metron,23,FALSE)</f>
        <v>1.576522702104098</v>
      </c>
      <c r="CJ169" s="6">
        <f>VLOOKUP(Table1[[#This Row],[Reference]],metron,24,FALSE)</f>
        <v>1.917165005537099</v>
      </c>
      <c r="CK169" s="6">
        <f>VLOOKUP(Table1[[#This Row],[Reference]],metron,25,FALSE)</f>
        <v>8.4385382059800659E-2</v>
      </c>
      <c r="CL169" s="6">
        <f>VLOOKUP(Table1[[#This Row],[Reference]],metron,26,FALSE)</f>
        <v>0.1233665559246955</v>
      </c>
    </row>
    <row r="170" spans="1:90" hidden="1" x14ac:dyDescent="0.45">
      <c r="A170" t="s">
        <v>696</v>
      </c>
      <c r="B170">
        <v>1638752400</v>
      </c>
      <c r="C170" s="1" t="s">
        <v>401</v>
      </c>
      <c r="D170" t="s">
        <v>65</v>
      </c>
      <c r="E170" t="s">
        <v>66</v>
      </c>
      <c r="F170" t="s">
        <v>97</v>
      </c>
      <c r="G170" t="s">
        <v>96</v>
      </c>
      <c r="H170" t="s">
        <v>74</v>
      </c>
      <c r="I170">
        <f>MROUND(Table1[[#This Row],[ProbH]]*100,2)/100</f>
        <v>0.52</v>
      </c>
      <c r="J170">
        <f>1/Table1[[#This Row],[odds_ft_home_team_win]]-Table1[[#This Row],[Margin]]</f>
        <v>0.51971288779174318</v>
      </c>
      <c r="K170">
        <f>1/Table1[[#This Row],[odds_ft_draw]]-Table1[[#This Row],[Margin]]</f>
        <v>0.26311987282381738</v>
      </c>
      <c r="L170">
        <f>1/Table1[[#This Row],[odds_ft_away_team_win]]-Table1[[#This Row],[Margin]]</f>
        <v>0.21716723938443952</v>
      </c>
      <c r="M170" t="s">
        <v>66</v>
      </c>
      <c r="N170">
        <v>1.7</v>
      </c>
      <c r="O170">
        <v>1.33</v>
      </c>
      <c r="P170">
        <v>1.61</v>
      </c>
      <c r="Q170">
        <v>1.33</v>
      </c>
      <c r="R170" t="str" cm="1">
        <f t="array" ref="R1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Z170">
        <v>76</v>
      </c>
      <c r="AA170">
        <v>4</v>
      </c>
      <c r="AB170">
        <v>4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1</v>
      </c>
      <c r="AK170">
        <v>18</v>
      </c>
      <c r="AL170">
        <v>7</v>
      </c>
      <c r="AM170">
        <v>4</v>
      </c>
      <c r="AN170">
        <v>2</v>
      </c>
      <c r="AO170">
        <v>14</v>
      </c>
      <c r="AP170">
        <v>5</v>
      </c>
      <c r="AQ170">
        <v>7</v>
      </c>
      <c r="AR170">
        <v>12</v>
      </c>
      <c r="AS170">
        <v>40</v>
      </c>
      <c r="AT170">
        <v>60</v>
      </c>
      <c r="AU170">
        <v>1.86</v>
      </c>
      <c r="AV170">
        <v>0.81</v>
      </c>
      <c r="AW170">
        <v>2</v>
      </c>
      <c r="AX170">
        <v>34</v>
      </c>
      <c r="AY170">
        <v>59</v>
      </c>
      <c r="AZ170">
        <v>32</v>
      </c>
      <c r="BA170">
        <v>15</v>
      </c>
      <c r="BB170">
        <v>5</v>
      </c>
      <c r="BC170">
        <v>15</v>
      </c>
      <c r="BD170">
        <v>66</v>
      </c>
      <c r="BE170">
        <v>29</v>
      </c>
      <c r="BF170">
        <v>63</v>
      </c>
      <c r="BG170">
        <v>9.77</v>
      </c>
      <c r="BH170">
        <v>4.57</v>
      </c>
      <c r="BI170">
        <v>1.83</v>
      </c>
      <c r="BJ170">
        <v>3.45</v>
      </c>
      <c r="BK170">
        <v>4.0999999999999996</v>
      </c>
      <c r="BL170">
        <f>(1/Table1[[#This Row],[odds_ft_home_team_win]]+1/Table1[[#This Row],[odds_ft_draw]]+1/Table1[[#This Row],[odds_ft_away_team_win]]-1)/3</f>
        <v>2.6735199639950746E-2</v>
      </c>
      <c r="BM170">
        <v>1.41</v>
      </c>
      <c r="BN170">
        <v>2.1800000000000002</v>
      </c>
      <c r="BO170">
        <v>4.22</v>
      </c>
      <c r="BP170">
        <v>8.6999999999999993</v>
      </c>
      <c r="BQ170">
        <v>2</v>
      </c>
      <c r="BR170">
        <v>1.75</v>
      </c>
      <c r="BS170" t="s">
        <v>136</v>
      </c>
      <c r="BT170">
        <f>VLOOKUP(Table1[[#This Row],[Reference]],metron,8,FALSE)</f>
        <v>1.8614830167843088</v>
      </c>
      <c r="BU170">
        <f>VLOOKUP(Table1[[#This Row],[Reference]],metron,9,FALSE)</f>
        <v>0.87079851622593896</v>
      </c>
      <c r="BV170">
        <f>VLOOKUP(Table1[[#This Row],[Reference]],metron,10,FALSE)</f>
        <v>2.5967403582378576</v>
      </c>
      <c r="BW170">
        <f>VLOOKUP(Table1[[#This Row],[Reference]],metron,11,FALSE)</f>
        <v>1.625948039373891</v>
      </c>
      <c r="BX170">
        <f>VLOOKUP(Table1[[#This Row],[Reference]],metron,12,FALSE)</f>
        <v>0.97079231886396644</v>
      </c>
      <c r="BY170" s="6">
        <f>VLOOKUP(Table1[[#This Row],[Reference]],metron,13,FALSE)</f>
        <v>0.71433182698515174</v>
      </c>
      <c r="BZ170" s="6">
        <f>VLOOKUP(Table1[[#This Row],[Reference]],metron,14,FALSE)</f>
        <v>0.43011620400258233</v>
      </c>
      <c r="CA170" s="6">
        <f>VLOOKUP(Table1[[#This Row],[Reference]],metron,15,FALSE)</f>
        <v>13.39951055368614</v>
      </c>
      <c r="CB170" s="6">
        <f>VLOOKUP(Table1[[#This Row],[Reference]],metron,16,FALSE)</f>
        <v>9.4252064851636579</v>
      </c>
      <c r="CC170" s="6">
        <f>VLOOKUP(Table1[[#This Row],[Reference]],metron,17,FALSE)</f>
        <v>5.7628422023992618</v>
      </c>
      <c r="CD170" s="6">
        <f>VLOOKUP(Table1[[#This Row],[Reference]],metron,18,FALSE)</f>
        <v>3.9375576745616732</v>
      </c>
      <c r="CE170" s="6">
        <f>VLOOKUP(Table1[[#This Row],[Reference]],metron,19,FALSE)</f>
        <v>7.636668351286878</v>
      </c>
      <c r="CF170" s="6">
        <f>VLOOKUP(Table1[[#This Row],[Reference]],metron,20,FALSE)</f>
        <v>5.4876488106019847</v>
      </c>
      <c r="CG170" s="6">
        <f>VLOOKUP(Table1[[#This Row],[Reference]],metron,21,FALSE)</f>
        <v>12.460420531849101</v>
      </c>
      <c r="CH170" s="6">
        <f>VLOOKUP(Table1[[#This Row],[Reference]],metron,22,FALSE)</f>
        <v>13.44897959183673</v>
      </c>
      <c r="CI170" s="6">
        <f>VLOOKUP(Table1[[#This Row],[Reference]],metron,23,FALSE)</f>
        <v>1.462202380952381</v>
      </c>
      <c r="CJ170" s="6">
        <f>VLOOKUP(Table1[[#This Row],[Reference]],metron,24,FALSE)</f>
        <v>2.01547619047619</v>
      </c>
      <c r="CK170" s="6">
        <f>VLOOKUP(Table1[[#This Row],[Reference]],metron,25,FALSE)</f>
        <v>7.7380952380952384E-2</v>
      </c>
      <c r="CL170" s="6">
        <f>VLOOKUP(Table1[[#This Row],[Reference]],metron,26,FALSE)</f>
        <v>0.13754093480202439</v>
      </c>
    </row>
    <row r="171" spans="1:90" hidden="1" x14ac:dyDescent="0.45">
      <c r="A171" t="s">
        <v>696</v>
      </c>
      <c r="B171">
        <v>1639105200</v>
      </c>
      <c r="C171" s="1" t="s">
        <v>402</v>
      </c>
      <c r="D171" t="s">
        <v>65</v>
      </c>
      <c r="E171" t="s">
        <v>66</v>
      </c>
      <c r="F171" t="s">
        <v>85</v>
      </c>
      <c r="G171" t="s">
        <v>97</v>
      </c>
      <c r="H171" t="s">
        <v>98</v>
      </c>
      <c r="I171">
        <f>MROUND(Table1[[#This Row],[ProbH]]*100,2)/100</f>
        <v>0.44</v>
      </c>
      <c r="J171">
        <f>1/Table1[[#This Row],[odds_ft_home_team_win]]-Table1[[#This Row],[Margin]]</f>
        <v>0.44025235298303794</v>
      </c>
      <c r="K171">
        <f>1/Table1[[#This Row],[odds_ft_draw]]-Table1[[#This Row],[Margin]]</f>
        <v>0.31687279575925176</v>
      </c>
      <c r="L171">
        <f>1/Table1[[#This Row],[odds_ft_away_team_win]]-Table1[[#This Row],[Margin]]</f>
        <v>0.24287485125771011</v>
      </c>
      <c r="M171" t="s">
        <v>66</v>
      </c>
      <c r="N171">
        <v>1.67</v>
      </c>
      <c r="O171">
        <v>1.62</v>
      </c>
      <c r="P171">
        <v>1.48</v>
      </c>
      <c r="Q171">
        <v>1.61</v>
      </c>
      <c r="R171" t="str" cm="1">
        <f t="array" ref="R1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1">
        <v>3</v>
      </c>
      <c r="T171">
        <v>2</v>
      </c>
      <c r="U171">
        <v>5</v>
      </c>
      <c r="V171">
        <v>2</v>
      </c>
      <c r="W171">
        <v>1</v>
      </c>
      <c r="X171">
        <v>1</v>
      </c>
      <c r="Y171" t="s">
        <v>403</v>
      </c>
      <c r="Z171" t="s">
        <v>404</v>
      </c>
      <c r="AA171">
        <v>2</v>
      </c>
      <c r="AB171">
        <v>3</v>
      </c>
      <c r="AC171">
        <v>1</v>
      </c>
      <c r="AD171">
        <v>0</v>
      </c>
      <c r="AE171">
        <v>4</v>
      </c>
      <c r="AF171">
        <v>0</v>
      </c>
      <c r="AG171">
        <v>0</v>
      </c>
      <c r="AH171">
        <v>1</v>
      </c>
      <c r="AI171">
        <v>1</v>
      </c>
      <c r="AJ171">
        <v>3</v>
      </c>
      <c r="AK171">
        <v>13</v>
      </c>
      <c r="AL171">
        <v>9</v>
      </c>
      <c r="AM171">
        <v>6</v>
      </c>
      <c r="AN171">
        <v>6</v>
      </c>
      <c r="AO171">
        <v>7</v>
      </c>
      <c r="AP171">
        <v>3</v>
      </c>
      <c r="AQ171">
        <v>18</v>
      </c>
      <c r="AR171">
        <v>16</v>
      </c>
      <c r="AS171">
        <v>69</v>
      </c>
      <c r="AT171">
        <v>31</v>
      </c>
      <c r="AU171">
        <v>1.53</v>
      </c>
      <c r="AV171">
        <v>1.32</v>
      </c>
      <c r="AW171">
        <v>1.91</v>
      </c>
      <c r="AX171">
        <v>31</v>
      </c>
      <c r="AY171">
        <v>58</v>
      </c>
      <c r="AZ171">
        <v>31</v>
      </c>
      <c r="BA171">
        <v>8</v>
      </c>
      <c r="BB171">
        <v>3</v>
      </c>
      <c r="BC171">
        <v>15</v>
      </c>
      <c r="BD171">
        <v>67</v>
      </c>
      <c r="BE171">
        <v>26</v>
      </c>
      <c r="BF171">
        <v>64</v>
      </c>
      <c r="BG171">
        <v>9.6199999999999992</v>
      </c>
      <c r="BH171">
        <v>4.33</v>
      </c>
      <c r="BI171">
        <v>2.0699999999999998</v>
      </c>
      <c r="BJ171">
        <v>2.78</v>
      </c>
      <c r="BK171">
        <v>3.5</v>
      </c>
      <c r="BL171">
        <f>(1/Table1[[#This Row],[odds_ft_home_team_win]]+1/Table1[[#This Row],[odds_ft_draw]]+1/Table1[[#This Row],[odds_ft_away_team_win]]-1)/3</f>
        <v>4.2839434456575599E-2</v>
      </c>
      <c r="BM171">
        <v>1.5</v>
      </c>
      <c r="BN171">
        <v>2.6</v>
      </c>
      <c r="BO171">
        <v>4.75</v>
      </c>
      <c r="BP171">
        <v>9</v>
      </c>
      <c r="BQ171">
        <v>2.1</v>
      </c>
      <c r="BR171">
        <v>1.67</v>
      </c>
      <c r="BS171" t="s">
        <v>128</v>
      </c>
      <c r="BT171">
        <f>VLOOKUP(Table1[[#This Row],[Reference]],metron,8,FALSE)</f>
        <v>1.6395459745305552</v>
      </c>
      <c r="BU171">
        <f>VLOOKUP(Table1[[#This Row],[Reference]],metron,9,FALSE)</f>
        <v>1.0758429359324786</v>
      </c>
      <c r="BV171">
        <f>VLOOKUP(Table1[[#This Row],[Reference]],metron,10,FALSE)</f>
        <v>2.4807646356033461</v>
      </c>
      <c r="BW171">
        <f>VLOOKUP(Table1[[#This Row],[Reference]],metron,11,FALSE)</f>
        <v>1.4140979689366791</v>
      </c>
      <c r="BX171">
        <f>VLOOKUP(Table1[[#This Row],[Reference]],metron,12,FALSE)</f>
        <v>1.0666666666666671</v>
      </c>
      <c r="BY171" s="6">
        <f>VLOOKUP(Table1[[#This Row],[Reference]],metron,13,FALSE)</f>
        <v>0.62712066905615294</v>
      </c>
      <c r="BZ171" s="6">
        <f>VLOOKUP(Table1[[#This Row],[Reference]],metron,14,FALSE)</f>
        <v>0.46009557945041818</v>
      </c>
      <c r="CA171" s="6">
        <f>VLOOKUP(Table1[[#This Row],[Reference]],metron,15,FALSE)</f>
        <v>12.56969280146722</v>
      </c>
      <c r="CB171" s="6">
        <f>VLOOKUP(Table1[[#This Row],[Reference]],metron,16,FALSE)</f>
        <v>9.8695552498853729</v>
      </c>
      <c r="CC171" s="6">
        <f>VLOOKUP(Table1[[#This Row],[Reference]],metron,17,FALSE)</f>
        <v>5.2754256787850897</v>
      </c>
      <c r="CD171" s="6">
        <f>VLOOKUP(Table1[[#This Row],[Reference]],metron,18,FALSE)</f>
        <v>4.1279337321675103</v>
      </c>
      <c r="CE171" s="6">
        <f>VLOOKUP(Table1[[#This Row],[Reference]],metron,19,FALSE)</f>
        <v>7.2942671226821298</v>
      </c>
      <c r="CF171" s="6">
        <f>VLOOKUP(Table1[[#This Row],[Reference]],metron,20,FALSE)</f>
        <v>5.7416215177178627</v>
      </c>
      <c r="CG171" s="6">
        <f>VLOOKUP(Table1[[#This Row],[Reference]],metron,21,FALSE)</f>
        <v>12.897246007868549</v>
      </c>
      <c r="CH171" s="6">
        <f>VLOOKUP(Table1[[#This Row],[Reference]],metron,22,FALSE)</f>
        <v>13.507058551261281</v>
      </c>
      <c r="CI171" s="6">
        <f>VLOOKUP(Table1[[#This Row],[Reference]],metron,23,FALSE)</f>
        <v>1.576522702104098</v>
      </c>
      <c r="CJ171" s="6">
        <f>VLOOKUP(Table1[[#This Row],[Reference]],metron,24,FALSE)</f>
        <v>1.917165005537099</v>
      </c>
      <c r="CK171" s="6">
        <f>VLOOKUP(Table1[[#This Row],[Reference]],metron,25,FALSE)</f>
        <v>8.4385382059800659E-2</v>
      </c>
      <c r="CL171" s="6">
        <f>VLOOKUP(Table1[[#This Row],[Reference]],metron,26,FALSE)</f>
        <v>0.1233665559246955</v>
      </c>
    </row>
    <row r="172" spans="1:90" hidden="1" x14ac:dyDescent="0.45">
      <c r="A172" t="s">
        <v>696</v>
      </c>
      <c r="B172">
        <v>1639361700</v>
      </c>
      <c r="C172" s="1" t="s">
        <v>405</v>
      </c>
      <c r="D172" t="s">
        <v>65</v>
      </c>
      <c r="E172" t="s">
        <v>66</v>
      </c>
      <c r="F172" t="s">
        <v>97</v>
      </c>
      <c r="G172" t="s">
        <v>85</v>
      </c>
      <c r="H172" t="s">
        <v>69</v>
      </c>
      <c r="I172">
        <f>MROUND(Table1[[#This Row],[ProbH]]*100,2)/100</f>
        <v>0.44</v>
      </c>
      <c r="J172">
        <f>1/Table1[[#This Row],[odds_ft_home_team_win]]-Table1[[#This Row],[Margin]]</f>
        <v>0.43079753895693174</v>
      </c>
      <c r="K172">
        <f>1/Table1[[#This Row],[odds_ft_draw]]-Table1[[#This Row],[Margin]]</f>
        <v>0.29883272957276752</v>
      </c>
      <c r="L172">
        <f>1/Table1[[#This Row],[odds_ft_away_team_win]]-Table1[[#This Row],[Margin]]</f>
        <v>0.27036973147030074</v>
      </c>
      <c r="M172" t="s">
        <v>66</v>
      </c>
      <c r="N172">
        <v>1.55</v>
      </c>
      <c r="O172">
        <v>1.73</v>
      </c>
      <c r="P172">
        <v>1.61</v>
      </c>
      <c r="Q172">
        <v>1.48</v>
      </c>
      <c r="R172" t="str" cm="1">
        <f t="array" ref="R1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55</v>
      </c>
      <c r="AA172">
        <v>5</v>
      </c>
      <c r="AB172">
        <v>6</v>
      </c>
      <c r="AC172">
        <v>2</v>
      </c>
      <c r="AD172">
        <v>0</v>
      </c>
      <c r="AE172">
        <v>1</v>
      </c>
      <c r="AF172">
        <v>2</v>
      </c>
      <c r="AG172">
        <v>0</v>
      </c>
      <c r="AH172">
        <v>2</v>
      </c>
      <c r="AI172">
        <v>0</v>
      </c>
      <c r="AJ172">
        <v>3</v>
      </c>
      <c r="AK172">
        <v>21</v>
      </c>
      <c r="AL172">
        <v>12</v>
      </c>
      <c r="AM172">
        <v>10</v>
      </c>
      <c r="AN172">
        <v>3</v>
      </c>
      <c r="AO172">
        <v>11</v>
      </c>
      <c r="AP172">
        <v>9</v>
      </c>
      <c r="AQ172">
        <v>24</v>
      </c>
      <c r="AR172">
        <v>18</v>
      </c>
      <c r="AS172">
        <v>52</v>
      </c>
      <c r="AT172">
        <v>48</v>
      </c>
      <c r="AU172">
        <v>2.39</v>
      </c>
      <c r="AV172">
        <v>1.27</v>
      </c>
      <c r="AW172">
        <v>2.0499999999999998</v>
      </c>
      <c r="AX172">
        <v>34</v>
      </c>
      <c r="AY172">
        <v>59</v>
      </c>
      <c r="AZ172">
        <v>34</v>
      </c>
      <c r="BA172">
        <v>12</v>
      </c>
      <c r="BB172">
        <v>7</v>
      </c>
      <c r="BC172">
        <v>19</v>
      </c>
      <c r="BD172">
        <v>69</v>
      </c>
      <c r="BE172">
        <v>30</v>
      </c>
      <c r="BF172">
        <v>66</v>
      </c>
      <c r="BG172">
        <v>9.41</v>
      </c>
      <c r="BH172">
        <v>4.3600000000000003</v>
      </c>
      <c r="BI172">
        <v>2.2000000000000002</v>
      </c>
      <c r="BJ172">
        <v>3.1</v>
      </c>
      <c r="BK172">
        <v>3.4</v>
      </c>
      <c r="BL172">
        <f>(1/Table1[[#This Row],[odds_ft_home_team_win]]+1/Table1[[#This Row],[odds_ft_draw]]+1/Table1[[#This Row],[odds_ft_away_team_win]]-1)/3</f>
        <v>2.3747915588522812E-2</v>
      </c>
      <c r="BM172">
        <v>1.44</v>
      </c>
      <c r="BN172">
        <v>2.33</v>
      </c>
      <c r="BO172">
        <v>4.4000000000000004</v>
      </c>
      <c r="BP172">
        <v>8.75</v>
      </c>
      <c r="BQ172">
        <v>2.0099999999999998</v>
      </c>
      <c r="BR172">
        <v>1.72</v>
      </c>
      <c r="BS172" t="s">
        <v>136</v>
      </c>
      <c r="BT172">
        <f>VLOOKUP(Table1[[#This Row],[Reference]],metron,8,FALSE)</f>
        <v>1.6395459745305552</v>
      </c>
      <c r="BU172">
        <f>VLOOKUP(Table1[[#This Row],[Reference]],metron,9,FALSE)</f>
        <v>1.0758429359324786</v>
      </c>
      <c r="BV172">
        <f>VLOOKUP(Table1[[#This Row],[Reference]],metron,10,FALSE)</f>
        <v>2.4807646356033461</v>
      </c>
      <c r="BW172">
        <f>VLOOKUP(Table1[[#This Row],[Reference]],metron,11,FALSE)</f>
        <v>1.4140979689366791</v>
      </c>
      <c r="BX172">
        <f>VLOOKUP(Table1[[#This Row],[Reference]],metron,12,FALSE)</f>
        <v>1.0666666666666671</v>
      </c>
      <c r="BY172" s="6">
        <f>VLOOKUP(Table1[[#This Row],[Reference]],metron,13,FALSE)</f>
        <v>0.62712066905615294</v>
      </c>
      <c r="BZ172" s="6">
        <f>VLOOKUP(Table1[[#This Row],[Reference]],metron,14,FALSE)</f>
        <v>0.46009557945041818</v>
      </c>
      <c r="CA172" s="6">
        <f>VLOOKUP(Table1[[#This Row],[Reference]],metron,15,FALSE)</f>
        <v>12.56969280146722</v>
      </c>
      <c r="CB172" s="6">
        <f>VLOOKUP(Table1[[#This Row],[Reference]],metron,16,FALSE)</f>
        <v>9.8695552498853729</v>
      </c>
      <c r="CC172" s="6">
        <f>VLOOKUP(Table1[[#This Row],[Reference]],metron,17,FALSE)</f>
        <v>5.2754256787850897</v>
      </c>
      <c r="CD172" s="6">
        <f>VLOOKUP(Table1[[#This Row],[Reference]],metron,18,FALSE)</f>
        <v>4.1279337321675103</v>
      </c>
      <c r="CE172" s="6">
        <f>VLOOKUP(Table1[[#This Row],[Reference]],metron,19,FALSE)</f>
        <v>7.2942671226821298</v>
      </c>
      <c r="CF172" s="6">
        <f>VLOOKUP(Table1[[#This Row],[Reference]],metron,20,FALSE)</f>
        <v>5.7416215177178627</v>
      </c>
      <c r="CG172" s="6">
        <f>VLOOKUP(Table1[[#This Row],[Reference]],metron,21,FALSE)</f>
        <v>12.897246007868549</v>
      </c>
      <c r="CH172" s="6">
        <f>VLOOKUP(Table1[[#This Row],[Reference]],metron,22,FALSE)</f>
        <v>13.507058551261281</v>
      </c>
      <c r="CI172" s="6">
        <f>VLOOKUP(Table1[[#This Row],[Reference]],metron,23,FALSE)</f>
        <v>1.576522702104098</v>
      </c>
      <c r="CJ172" s="6">
        <f>VLOOKUP(Table1[[#This Row],[Reference]],metron,24,FALSE)</f>
        <v>1.917165005537099</v>
      </c>
      <c r="CK172" s="6">
        <f>VLOOKUP(Table1[[#This Row],[Reference]],metron,25,FALSE)</f>
        <v>8.4385382059800659E-2</v>
      </c>
      <c r="CL172" s="6">
        <f>VLOOKUP(Table1[[#This Row],[Reference]],metron,26,FALSE)</f>
        <v>0.1233665559246955</v>
      </c>
    </row>
    <row r="173" spans="1:90" hidden="1" x14ac:dyDescent="0.45">
      <c r="A173" t="s">
        <v>695</v>
      </c>
      <c r="B173">
        <v>1641524400</v>
      </c>
      <c r="C173" s="23" t="s">
        <v>406</v>
      </c>
      <c r="D173" t="s">
        <v>65</v>
      </c>
      <c r="E173" t="s">
        <v>66</v>
      </c>
      <c r="F173" t="s">
        <v>91</v>
      </c>
      <c r="G173" t="s">
        <v>84</v>
      </c>
      <c r="H173" t="s">
        <v>108</v>
      </c>
      <c r="I173">
        <f>MROUND(Table1[[#This Row],[ProbH]]*100,2)/100</f>
        <v>0.4</v>
      </c>
      <c r="J173">
        <f>1/Table1[[#This Row],[odds_ft_home_team_win]]-Table1[[#This Row],[Margin]]</f>
        <v>0.40047395532517466</v>
      </c>
      <c r="K173">
        <f>1/Table1[[#This Row],[odds_ft_draw]]-Table1[[#This Row],[Margin]]</f>
        <v>0.29780982104048698</v>
      </c>
      <c r="L173">
        <f>1/Table1[[#This Row],[odds_ft_away_team_win]]-Table1[[#This Row],[Margin]]</f>
        <v>0.30171622363433831</v>
      </c>
      <c r="M173">
        <v>1</v>
      </c>
      <c r="N173">
        <v>0.75</v>
      </c>
      <c r="O173">
        <v>0.88</v>
      </c>
      <c r="P173">
        <v>1.1100000000000001</v>
      </c>
      <c r="Q173">
        <v>1.42</v>
      </c>
      <c r="R173" t="str" cm="1">
        <f t="array" ref="R1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73">
        <v>0</v>
      </c>
      <c r="T173">
        <v>2</v>
      </c>
      <c r="U173">
        <v>2</v>
      </c>
      <c r="V173">
        <v>0</v>
      </c>
      <c r="W173">
        <v>0</v>
      </c>
      <c r="X173">
        <v>0</v>
      </c>
      <c r="Z173" t="s">
        <v>407</v>
      </c>
      <c r="AA173">
        <v>2</v>
      </c>
      <c r="AB173">
        <v>11</v>
      </c>
      <c r="AC173">
        <v>4</v>
      </c>
      <c r="AD173">
        <v>0</v>
      </c>
      <c r="AE173">
        <v>2</v>
      </c>
      <c r="AF173">
        <v>0</v>
      </c>
      <c r="AG173">
        <v>2</v>
      </c>
      <c r="AH173">
        <v>2</v>
      </c>
      <c r="AI173">
        <v>1</v>
      </c>
      <c r="AJ173">
        <v>1</v>
      </c>
      <c r="AK173">
        <v>10</v>
      </c>
      <c r="AL173">
        <v>16</v>
      </c>
      <c r="AM173">
        <v>0</v>
      </c>
      <c r="AN173">
        <v>5</v>
      </c>
      <c r="AO173">
        <v>10</v>
      </c>
      <c r="AP173">
        <v>11</v>
      </c>
      <c r="AQ173">
        <v>13</v>
      </c>
      <c r="AR173">
        <v>13</v>
      </c>
      <c r="AS173">
        <v>47</v>
      </c>
      <c r="AT173">
        <v>53</v>
      </c>
      <c r="AU173">
        <v>0.97</v>
      </c>
      <c r="AV173">
        <v>1.79</v>
      </c>
      <c r="AW173">
        <v>2.88</v>
      </c>
      <c r="AX173">
        <v>57</v>
      </c>
      <c r="AY173">
        <v>82</v>
      </c>
      <c r="AZ173">
        <v>51</v>
      </c>
      <c r="BA173">
        <v>25</v>
      </c>
      <c r="BB173">
        <v>19</v>
      </c>
      <c r="BC173">
        <v>38</v>
      </c>
      <c r="BD173">
        <v>82</v>
      </c>
      <c r="BE173">
        <v>25</v>
      </c>
      <c r="BF173">
        <v>94</v>
      </c>
      <c r="BG173">
        <v>9.5</v>
      </c>
      <c r="BH173">
        <v>4.63</v>
      </c>
      <c r="BI173">
        <v>2.42</v>
      </c>
      <c r="BJ173">
        <v>3.22</v>
      </c>
      <c r="BK173">
        <v>3.18</v>
      </c>
      <c r="BL173">
        <f>(1/Table1[[#This Row],[odds_ft_home_team_win]]+1/Table1[[#This Row],[odds_ft_draw]]+1/Table1[[#This Row],[odds_ft_away_team_win]]-1)/3</f>
        <v>1.2749185170693123E-2</v>
      </c>
      <c r="BM173">
        <v>1.4</v>
      </c>
      <c r="BN173">
        <v>2.2000000000000002</v>
      </c>
      <c r="BO173">
        <v>4.33</v>
      </c>
      <c r="BP173">
        <v>7.5</v>
      </c>
      <c r="BQ173">
        <v>1.91</v>
      </c>
      <c r="BR173">
        <v>1.8</v>
      </c>
      <c r="BS173" t="s">
        <v>144</v>
      </c>
      <c r="BT173">
        <f>VLOOKUP(Table1[[#This Row],[Reference]],metron,8,FALSE)</f>
        <v>1.5181603563290151</v>
      </c>
      <c r="BU173">
        <f>VLOOKUP(Table1[[#This Row],[Reference]],metron,9,FALSE)</f>
        <v>1.1952730370775513</v>
      </c>
      <c r="BV173">
        <f>VLOOKUP(Table1[[#This Row],[Reference]],metron,10,FALSE)</f>
        <v>2.4956155335383219</v>
      </c>
      <c r="BW173">
        <f>VLOOKUP(Table1[[#This Row],[Reference]],metron,11,FALSE)</f>
        <v>1.344038264434575</v>
      </c>
      <c r="BX173">
        <f>VLOOKUP(Table1[[#This Row],[Reference]],metron,12,FALSE)</f>
        <v>1.1515772691037469</v>
      </c>
      <c r="BY173" s="6">
        <f>VLOOKUP(Table1[[#This Row],[Reference]],metron,13,FALSE)</f>
        <v>0.59936225942375587</v>
      </c>
      <c r="BZ173" s="6">
        <f>VLOOKUP(Table1[[#This Row],[Reference]],metron,14,FALSE)</f>
        <v>0.50723152260562576</v>
      </c>
      <c r="CA173" s="6">
        <f>VLOOKUP(Table1[[#This Row],[Reference]],metron,15,FALSE)</f>
        <v>11.99278846153846</v>
      </c>
      <c r="CB173" s="6">
        <f>VLOOKUP(Table1[[#This Row],[Reference]],metron,16,FALSE)</f>
        <v>10.0277534965035</v>
      </c>
      <c r="CC173" s="6">
        <f>VLOOKUP(Table1[[#This Row],[Reference]],metron,17,FALSE)</f>
        <v>5.2857459543338514</v>
      </c>
      <c r="CD173" s="6">
        <f>VLOOKUP(Table1[[#This Row],[Reference]],metron,18,FALSE)</f>
        <v>4.4067834183107957</v>
      </c>
      <c r="CE173" s="6">
        <f>VLOOKUP(Table1[[#This Row],[Reference]],metron,19,FALSE)</f>
        <v>6.7070425072046085</v>
      </c>
      <c r="CF173" s="6">
        <f>VLOOKUP(Table1[[#This Row],[Reference]],metron,20,FALSE)</f>
        <v>5.6209700781927046</v>
      </c>
      <c r="CG173" s="6">
        <f>VLOOKUP(Table1[[#This Row],[Reference]],metron,21,FALSE)</f>
        <v>13.04463690872752</v>
      </c>
      <c r="CH173" s="6">
        <f>VLOOKUP(Table1[[#This Row],[Reference]],metron,22,FALSE)</f>
        <v>13.49811236953142</v>
      </c>
      <c r="CI173" s="6">
        <f>VLOOKUP(Table1[[#This Row],[Reference]],metron,23,FALSE)</f>
        <v>1.5836526181353769</v>
      </c>
      <c r="CJ173" s="6">
        <f>VLOOKUP(Table1[[#This Row],[Reference]],metron,24,FALSE)</f>
        <v>1.8744146445295871</v>
      </c>
      <c r="CK173" s="6">
        <f>VLOOKUP(Table1[[#This Row],[Reference]],metron,25,FALSE)</f>
        <v>8.5994040017028525E-2</v>
      </c>
      <c r="CL173" s="6">
        <f>VLOOKUP(Table1[[#This Row],[Reference]],metron,26,FALSE)</f>
        <v>0.13452532992762881</v>
      </c>
    </row>
    <row r="174" spans="1:90" hidden="1" x14ac:dyDescent="0.45">
      <c r="A174" t="s">
        <v>695</v>
      </c>
      <c r="B174">
        <v>1641603600</v>
      </c>
      <c r="C174" s="23" t="s">
        <v>408</v>
      </c>
      <c r="D174" t="s">
        <v>65</v>
      </c>
      <c r="E174" t="s">
        <v>66</v>
      </c>
      <c r="F174" t="s">
        <v>78</v>
      </c>
      <c r="G174" t="s">
        <v>72</v>
      </c>
      <c r="H174" t="s">
        <v>98</v>
      </c>
      <c r="I174">
        <f>MROUND(Table1[[#This Row],[ProbH]]*100,2)/100</f>
        <v>0.38</v>
      </c>
      <c r="J174">
        <f>1/Table1[[#This Row],[odds_ft_home_team_win]]-Table1[[#This Row],[Margin]]</f>
        <v>0.37551405395208454</v>
      </c>
      <c r="K174">
        <f>1/Table1[[#This Row],[odds_ft_draw]]-Table1[[#This Row],[Margin]]</f>
        <v>0.29809469911337483</v>
      </c>
      <c r="L174">
        <f>1/Table1[[#This Row],[odds_ft_away_team_win]]-Table1[[#This Row],[Margin]]</f>
        <v>0.32639124693454064</v>
      </c>
      <c r="M174">
        <v>1</v>
      </c>
      <c r="N174">
        <v>1.38</v>
      </c>
      <c r="O174">
        <v>0.89</v>
      </c>
      <c r="P174">
        <v>0.88</v>
      </c>
      <c r="Q174">
        <v>1.28</v>
      </c>
      <c r="R174" t="str" cm="1">
        <f t="array" ref="R1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4">
        <v>2</v>
      </c>
      <c r="T174">
        <v>1</v>
      </c>
      <c r="U174">
        <v>3</v>
      </c>
      <c r="V174">
        <v>1</v>
      </c>
      <c r="W174">
        <v>1</v>
      </c>
      <c r="X174">
        <v>0</v>
      </c>
      <c r="Y174" t="s">
        <v>409</v>
      </c>
      <c r="Z174">
        <v>47</v>
      </c>
      <c r="AA174">
        <v>1</v>
      </c>
      <c r="AB174">
        <v>10</v>
      </c>
      <c r="AC174">
        <v>6</v>
      </c>
      <c r="AD174">
        <v>0</v>
      </c>
      <c r="AE174">
        <v>4</v>
      </c>
      <c r="AF174">
        <v>1</v>
      </c>
      <c r="AG174">
        <v>1</v>
      </c>
      <c r="AH174">
        <v>5</v>
      </c>
      <c r="AI174">
        <v>2</v>
      </c>
      <c r="AJ174">
        <v>3</v>
      </c>
      <c r="AK174">
        <v>12</v>
      </c>
      <c r="AL174">
        <v>15</v>
      </c>
      <c r="AM174">
        <v>4</v>
      </c>
      <c r="AN174">
        <v>6</v>
      </c>
      <c r="AO174">
        <v>8</v>
      </c>
      <c r="AP174">
        <v>9</v>
      </c>
      <c r="AQ174">
        <v>22</v>
      </c>
      <c r="AR174">
        <v>16</v>
      </c>
      <c r="AS174">
        <v>36</v>
      </c>
      <c r="AT174">
        <v>64</v>
      </c>
      <c r="AU174">
        <v>1.24</v>
      </c>
      <c r="AV174">
        <v>1.67</v>
      </c>
      <c r="AW174">
        <v>2.19</v>
      </c>
      <c r="AX174">
        <v>48</v>
      </c>
      <c r="AY174">
        <v>71</v>
      </c>
      <c r="AZ174">
        <v>47</v>
      </c>
      <c r="BA174">
        <v>13</v>
      </c>
      <c r="BB174">
        <v>0</v>
      </c>
      <c r="BC174">
        <v>37</v>
      </c>
      <c r="BD174">
        <v>71</v>
      </c>
      <c r="BE174">
        <v>35</v>
      </c>
      <c r="BF174">
        <v>64</v>
      </c>
      <c r="BG174">
        <v>8.17</v>
      </c>
      <c r="BH174">
        <v>4.8099999999999996</v>
      </c>
      <c r="BI174">
        <v>2.5</v>
      </c>
      <c r="BJ174">
        <v>3.1</v>
      </c>
      <c r="BK174">
        <v>2.85</v>
      </c>
      <c r="BL174">
        <f>(1/Table1[[#This Row],[odds_ft_home_team_win]]+1/Table1[[#This Row],[odds_ft_draw]]+1/Table1[[#This Row],[odds_ft_away_team_win]]-1)/3</f>
        <v>2.4485946047915503E-2</v>
      </c>
      <c r="BM174">
        <v>1.42</v>
      </c>
      <c r="BN174">
        <v>2.2200000000000002</v>
      </c>
      <c r="BO174">
        <v>4.5</v>
      </c>
      <c r="BP174">
        <v>7.5</v>
      </c>
      <c r="BQ174">
        <v>2</v>
      </c>
      <c r="BR174">
        <v>1.8</v>
      </c>
      <c r="BS174" t="s">
        <v>82</v>
      </c>
      <c r="BT174">
        <f>VLOOKUP(Table1[[#This Row],[Reference]],metron,8,FALSE)</f>
        <v>1.464160929441638</v>
      </c>
      <c r="BU174">
        <f>VLOOKUP(Table1[[#This Row],[Reference]],metron,9,FALSE)</f>
        <v>1.2477119808919459</v>
      </c>
      <c r="BV174">
        <f>VLOOKUP(Table1[[#This Row],[Reference]],metron,10,FALSE)</f>
        <v>2.4900895140664963</v>
      </c>
      <c r="BW174">
        <f>VLOOKUP(Table1[[#This Row],[Reference]],metron,11,FALSE)</f>
        <v>1.330562659846547</v>
      </c>
      <c r="BX174">
        <f>VLOOKUP(Table1[[#This Row],[Reference]],metron,12,FALSE)</f>
        <v>1.1595268542199491</v>
      </c>
      <c r="BY174" s="6">
        <f>VLOOKUP(Table1[[#This Row],[Reference]],metron,13,FALSE)</f>
        <v>0.59053607588191415</v>
      </c>
      <c r="BZ174" s="6">
        <f>VLOOKUP(Table1[[#This Row],[Reference]],metron,14,FALSE)</f>
        <v>0.50069274219332838</v>
      </c>
      <c r="CA174" s="6">
        <f>VLOOKUP(Table1[[#This Row],[Reference]],metron,15,FALSE)</f>
        <v>11.79715236686391</v>
      </c>
      <c r="CB174" s="6">
        <f>VLOOKUP(Table1[[#This Row],[Reference]],metron,16,FALSE)</f>
        <v>10.317122781065089</v>
      </c>
      <c r="CC174" s="6">
        <f>VLOOKUP(Table1[[#This Row],[Reference]],metron,17,FALSE)</f>
        <v>5.0637025966747622</v>
      </c>
      <c r="CD174" s="6">
        <f>VLOOKUP(Table1[[#This Row],[Reference]],metron,18,FALSE)</f>
        <v>4.4674014571268454</v>
      </c>
      <c r="CE174" s="6">
        <f>VLOOKUP(Table1[[#This Row],[Reference]],metron,19,FALSE)</f>
        <v>6.7334497701891483</v>
      </c>
      <c r="CF174" s="6">
        <f>VLOOKUP(Table1[[#This Row],[Reference]],metron,20,FALSE)</f>
        <v>5.849721323938244</v>
      </c>
      <c r="CG174" s="6">
        <f>VLOOKUP(Table1[[#This Row],[Reference]],metron,21,FALSE)</f>
        <v>12.89644194756554</v>
      </c>
      <c r="CH174" s="6">
        <f>VLOOKUP(Table1[[#This Row],[Reference]],metron,22,FALSE)</f>
        <v>13.3434456928839</v>
      </c>
      <c r="CI174" s="6">
        <f>VLOOKUP(Table1[[#This Row],[Reference]],metron,23,FALSE)</f>
        <v>1.6144382124117971</v>
      </c>
      <c r="CJ174" s="6">
        <f>VLOOKUP(Table1[[#This Row],[Reference]],metron,24,FALSE)</f>
        <v>1.9032024606477289</v>
      </c>
      <c r="CK174" s="6">
        <f>VLOOKUP(Table1[[#This Row],[Reference]],metron,25,FALSE)</f>
        <v>9.372172969060974E-2</v>
      </c>
      <c r="CL174" s="6">
        <f>VLOOKUP(Table1[[#This Row],[Reference]],metron,26,FALSE)</f>
        <v>0.11669983716301791</v>
      </c>
    </row>
    <row r="175" spans="1:90" hidden="1" x14ac:dyDescent="0.45">
      <c r="A175" t="s">
        <v>695</v>
      </c>
      <c r="B175">
        <v>1641610800</v>
      </c>
      <c r="C175" s="23" t="s">
        <v>410</v>
      </c>
      <c r="D175" t="s">
        <v>65</v>
      </c>
      <c r="E175" t="s">
        <v>66</v>
      </c>
      <c r="F175" t="s">
        <v>102</v>
      </c>
      <c r="G175" t="s">
        <v>68</v>
      </c>
      <c r="H175" t="s">
        <v>103</v>
      </c>
      <c r="I175">
        <f>MROUND(Table1[[#This Row],[ProbH]]*100,2)/100</f>
        <v>0.3</v>
      </c>
      <c r="J175">
        <f>1/Table1[[#This Row],[odds_ft_home_team_win]]-Table1[[#This Row],[Margin]]</f>
        <v>0.30954491725768324</v>
      </c>
      <c r="K175">
        <f>1/Table1[[#This Row],[odds_ft_draw]]-Table1[[#This Row],[Margin]]</f>
        <v>0.28871158392434992</v>
      </c>
      <c r="L175">
        <f>1/Table1[[#This Row],[odds_ft_away_team_win]]-Table1[[#This Row],[Margin]]</f>
        <v>0.40174349881796695</v>
      </c>
      <c r="M175">
        <v>1</v>
      </c>
      <c r="N175">
        <v>1.45</v>
      </c>
      <c r="O175">
        <v>1.44</v>
      </c>
      <c r="P175">
        <v>1.38</v>
      </c>
      <c r="Q175">
        <v>1.53</v>
      </c>
      <c r="R175" t="str" cm="1">
        <f t="array" ref="R1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75">
        <v>1</v>
      </c>
      <c r="T175">
        <v>1</v>
      </c>
      <c r="U175">
        <v>2</v>
      </c>
      <c r="V175">
        <v>2</v>
      </c>
      <c r="W175">
        <v>1</v>
      </c>
      <c r="X175">
        <v>1</v>
      </c>
      <c r="Y175">
        <v>45</v>
      </c>
      <c r="Z175">
        <v>1</v>
      </c>
      <c r="AA175">
        <v>12</v>
      </c>
      <c r="AB175">
        <v>3</v>
      </c>
      <c r="AC175">
        <v>4</v>
      </c>
      <c r="AD175">
        <v>0</v>
      </c>
      <c r="AE175">
        <v>2</v>
      </c>
      <c r="AF175">
        <v>1</v>
      </c>
      <c r="AG175">
        <v>1</v>
      </c>
      <c r="AH175">
        <v>3</v>
      </c>
      <c r="AI175">
        <v>3</v>
      </c>
      <c r="AJ175">
        <v>0</v>
      </c>
      <c r="AK175">
        <v>26</v>
      </c>
      <c r="AL175">
        <v>9</v>
      </c>
      <c r="AM175">
        <v>4</v>
      </c>
      <c r="AN175">
        <v>4</v>
      </c>
      <c r="AO175">
        <v>22</v>
      </c>
      <c r="AP175">
        <v>5</v>
      </c>
      <c r="AQ175">
        <v>16</v>
      </c>
      <c r="AR175">
        <v>8</v>
      </c>
      <c r="AS175">
        <v>68</v>
      </c>
      <c r="AT175">
        <v>32</v>
      </c>
      <c r="AU175">
        <v>2.31</v>
      </c>
      <c r="AV175">
        <v>1.1100000000000001</v>
      </c>
      <c r="AW175">
        <v>2.0299999999999998</v>
      </c>
      <c r="AX175">
        <v>56</v>
      </c>
      <c r="AY175">
        <v>65</v>
      </c>
      <c r="AZ175">
        <v>35</v>
      </c>
      <c r="BA175">
        <v>15</v>
      </c>
      <c r="BB175">
        <v>0</v>
      </c>
      <c r="BC175">
        <v>40</v>
      </c>
      <c r="BD175">
        <v>56</v>
      </c>
      <c r="BE175">
        <v>24</v>
      </c>
      <c r="BF175">
        <v>74</v>
      </c>
      <c r="BG175">
        <v>8.91</v>
      </c>
      <c r="BH175">
        <v>5.14</v>
      </c>
      <c r="BI175">
        <v>3</v>
      </c>
      <c r="BJ175">
        <v>3.2</v>
      </c>
      <c r="BK175">
        <v>2.35</v>
      </c>
      <c r="BL175">
        <f>(1/Table1[[#This Row],[odds_ft_home_team_win]]+1/Table1[[#This Row],[odds_ft_draw]]+1/Table1[[#This Row],[odds_ft_away_team_win]]-1)/3</f>
        <v>2.3788416075650076E-2</v>
      </c>
      <c r="BM175">
        <v>1.42</v>
      </c>
      <c r="BN175">
        <v>2.25</v>
      </c>
      <c r="BO175">
        <v>4.33</v>
      </c>
      <c r="BP175">
        <v>7.5</v>
      </c>
      <c r="BQ175">
        <v>1.91</v>
      </c>
      <c r="BR175">
        <v>1.8</v>
      </c>
      <c r="BS175" t="s">
        <v>124</v>
      </c>
      <c r="BT175">
        <f>VLOOKUP(Table1[[#This Row],[Reference]],metron,8,FALSE)</f>
        <v>1.2142445227270171</v>
      </c>
      <c r="BU175">
        <f>VLOOKUP(Table1[[#This Row],[Reference]],metron,9,FALSE)</f>
        <v>1.4993969533036628</v>
      </c>
      <c r="BV175">
        <f>VLOOKUP(Table1[[#This Row],[Reference]],metron,10,FALSE)</f>
        <v>2.5726407816919519</v>
      </c>
      <c r="BW175">
        <f>VLOOKUP(Table1[[#This Row],[Reference]],metron,11,FALSE)</f>
        <v>1.1805091283106199</v>
      </c>
      <c r="BX175">
        <f>VLOOKUP(Table1[[#This Row],[Reference]],metron,12,FALSE)</f>
        <v>1.3921316533813319</v>
      </c>
      <c r="BY175" s="6">
        <f>VLOOKUP(Table1[[#This Row],[Reference]],metron,13,FALSE)</f>
        <v>0.5209673269873939</v>
      </c>
      <c r="BZ175" s="6">
        <f>VLOOKUP(Table1[[#This Row],[Reference]],metron,14,FALSE)</f>
        <v>0.61847182917417032</v>
      </c>
      <c r="CA175" s="6">
        <f>VLOOKUP(Table1[[#This Row],[Reference]],metron,15,FALSE)</f>
        <v>11.149200710479571</v>
      </c>
      <c r="CB175" s="6">
        <f>VLOOKUP(Table1[[#This Row],[Reference]],metron,16,FALSE)</f>
        <v>11.444049733570161</v>
      </c>
      <c r="CC175" s="6">
        <f>VLOOKUP(Table1[[#This Row],[Reference]],metron,17,FALSE)</f>
        <v>4.5257270693512304</v>
      </c>
      <c r="CD175" s="6">
        <f>VLOOKUP(Table1[[#This Row],[Reference]],metron,18,FALSE)</f>
        <v>4.8465324384787474</v>
      </c>
      <c r="CE175" s="6">
        <f>VLOOKUP(Table1[[#This Row],[Reference]],metron,19,FALSE)</f>
        <v>6.6234736411283404</v>
      </c>
      <c r="CF175" s="6">
        <f>VLOOKUP(Table1[[#This Row],[Reference]],metron,20,FALSE)</f>
        <v>6.5975172950914134</v>
      </c>
      <c r="CG175" s="6">
        <f>VLOOKUP(Table1[[#This Row],[Reference]],metron,21,FALSE)</f>
        <v>12.90081154192967</v>
      </c>
      <c r="CH175" s="6">
        <f>VLOOKUP(Table1[[#This Row],[Reference]],metron,22,FALSE)</f>
        <v>13.00360685302074</v>
      </c>
      <c r="CI175" s="6">
        <f>VLOOKUP(Table1[[#This Row],[Reference]],metron,23,FALSE)</f>
        <v>1.7502145922746779</v>
      </c>
      <c r="CJ175" s="6">
        <f>VLOOKUP(Table1[[#This Row],[Reference]],metron,24,FALSE)</f>
        <v>1.831402831402831</v>
      </c>
      <c r="CK175" s="6">
        <f>VLOOKUP(Table1[[#This Row],[Reference]],metron,25,FALSE)</f>
        <v>9.6525096525096526E-2</v>
      </c>
      <c r="CL175" s="6">
        <f>VLOOKUP(Table1[[#This Row],[Reference]],metron,26,FALSE)</f>
        <v>0.1244101244101244</v>
      </c>
    </row>
    <row r="176" spans="1:90" hidden="1" x14ac:dyDescent="0.45">
      <c r="A176" t="s">
        <v>695</v>
      </c>
      <c r="B176">
        <v>1641690360</v>
      </c>
      <c r="C176" s="23" t="s">
        <v>411</v>
      </c>
      <c r="D176" t="s">
        <v>65</v>
      </c>
      <c r="E176" t="s">
        <v>66</v>
      </c>
      <c r="F176" t="s">
        <v>101</v>
      </c>
      <c r="G176" t="s">
        <v>67</v>
      </c>
      <c r="H176" t="s">
        <v>171</v>
      </c>
      <c r="I176">
        <f>MROUND(Table1[[#This Row],[ProbH]]*100,2)/100</f>
        <v>0.64</v>
      </c>
      <c r="J176">
        <f>1/Table1[[#This Row],[odds_ft_home_team_win]]-Table1[[#This Row],[Margin]]</f>
        <v>0.6365528824545218</v>
      </c>
      <c r="K176">
        <f>1/Table1[[#This Row],[odds_ft_draw]]-Table1[[#This Row],[Margin]]</f>
        <v>0.22962647552811488</v>
      </c>
      <c r="L176">
        <f>1/Table1[[#This Row],[odds_ft_away_team_win]]-Table1[[#This Row],[Margin]]</f>
        <v>0.13382064201736338</v>
      </c>
      <c r="M176">
        <v>1</v>
      </c>
      <c r="N176">
        <v>1.67</v>
      </c>
      <c r="O176">
        <v>0.44</v>
      </c>
      <c r="P176">
        <v>1.79</v>
      </c>
      <c r="Q176">
        <v>0.65</v>
      </c>
      <c r="R176" t="str" cm="1">
        <f t="array" ref="R1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AA176">
        <v>9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26</v>
      </c>
      <c r="AL176">
        <v>10</v>
      </c>
      <c r="AM176">
        <v>9</v>
      </c>
      <c r="AN176">
        <v>4</v>
      </c>
      <c r="AO176">
        <v>17</v>
      </c>
      <c r="AP176">
        <v>6</v>
      </c>
      <c r="AQ176">
        <v>10</v>
      </c>
      <c r="AR176">
        <v>17</v>
      </c>
      <c r="AS176">
        <v>62</v>
      </c>
      <c r="AT176">
        <v>38</v>
      </c>
      <c r="AU176">
        <v>2.71</v>
      </c>
      <c r="AV176">
        <v>1.1200000000000001</v>
      </c>
      <c r="AW176">
        <v>1.62</v>
      </c>
      <c r="AX176">
        <v>28</v>
      </c>
      <c r="AY176">
        <v>62</v>
      </c>
      <c r="AZ176">
        <v>17</v>
      </c>
      <c r="BA176">
        <v>6</v>
      </c>
      <c r="BB176">
        <v>0</v>
      </c>
      <c r="BC176">
        <v>0</v>
      </c>
      <c r="BD176">
        <v>50</v>
      </c>
      <c r="BE176">
        <v>33</v>
      </c>
      <c r="BF176">
        <v>73</v>
      </c>
      <c r="BG176">
        <v>9.11</v>
      </c>
      <c r="BH176">
        <v>5.22</v>
      </c>
      <c r="BI176">
        <v>1.5</v>
      </c>
      <c r="BJ176">
        <v>3.85</v>
      </c>
      <c r="BK176">
        <v>6.1</v>
      </c>
      <c r="BL176">
        <f>(1/Table1[[#This Row],[odds_ft_home_team_win]]+1/Table1[[#This Row],[odds_ft_draw]]+1/Table1[[#This Row],[odds_ft_away_team_win]]-1)/3</f>
        <v>3.0113784212144834E-2</v>
      </c>
      <c r="BM176">
        <v>1.36</v>
      </c>
      <c r="BN176">
        <v>2.0499999999999998</v>
      </c>
      <c r="BO176">
        <v>3.75</v>
      </c>
      <c r="BP176">
        <v>6.5</v>
      </c>
      <c r="BQ176">
        <v>2.1</v>
      </c>
      <c r="BR176">
        <v>1.67</v>
      </c>
      <c r="BS176" t="s">
        <v>104</v>
      </c>
      <c r="BT176">
        <f>VLOOKUP(Table1[[#This Row],[Reference]],metron,8,FALSE)</f>
        <v>2.1745910991837163</v>
      </c>
      <c r="BU176">
        <f>VLOOKUP(Table1[[#This Row],[Reference]],metron,9,FALSE)</f>
        <v>0.59796358565236019</v>
      </c>
      <c r="BV176">
        <f>VLOOKUP(Table1[[#This Row],[Reference]],metron,10,FALSE)</f>
        <v>2.8343749999999996</v>
      </c>
      <c r="BW176">
        <f>VLOOKUP(Table1[[#This Row],[Reference]],metron,11,FALSE)</f>
        <v>1.980803571428571</v>
      </c>
      <c r="BX176">
        <f>VLOOKUP(Table1[[#This Row],[Reference]],metron,12,FALSE)</f>
        <v>0.85357142857142854</v>
      </c>
      <c r="BY176" s="6">
        <f>VLOOKUP(Table1[[#This Row],[Reference]],metron,13,FALSE)</f>
        <v>0.8683035714285714</v>
      </c>
      <c r="BZ176" s="6">
        <f>VLOOKUP(Table1[[#This Row],[Reference]],metron,14,FALSE)</f>
        <v>0.36607142857142849</v>
      </c>
      <c r="CA176" s="6">
        <f>VLOOKUP(Table1[[#This Row],[Reference]],metron,15,FALSE)</f>
        <v>15.03980099502488</v>
      </c>
      <c r="CB176" s="6">
        <f>VLOOKUP(Table1[[#This Row],[Reference]],metron,16,FALSE)</f>
        <v>8.6326699834162515</v>
      </c>
      <c r="CC176" s="6">
        <f>VLOOKUP(Table1[[#This Row],[Reference]],metron,17,FALSE)</f>
        <v>6.5189234650967203</v>
      </c>
      <c r="CD176" s="6">
        <f>VLOOKUP(Table1[[#This Row],[Reference]],metron,18,FALSE)</f>
        <v>3.4507989907485279</v>
      </c>
      <c r="CE176" s="6">
        <f>VLOOKUP(Table1[[#This Row],[Reference]],metron,19,FALSE)</f>
        <v>8.5208775299281605</v>
      </c>
      <c r="CF176" s="6">
        <f>VLOOKUP(Table1[[#This Row],[Reference]],metron,20,FALSE)</f>
        <v>5.181870992667724</v>
      </c>
      <c r="CG176" s="6">
        <f>VLOOKUP(Table1[[#This Row],[Reference]],metron,21,FALSE)</f>
        <v>12.48566610455312</v>
      </c>
      <c r="CH176" s="6">
        <f>VLOOKUP(Table1[[#This Row],[Reference]],metron,22,FALSE)</f>
        <v>13.573355817875211</v>
      </c>
      <c r="CI176" s="6">
        <f>VLOOKUP(Table1[[#This Row],[Reference]],metron,23,FALSE)</f>
        <v>1.395273023634882</v>
      </c>
      <c r="CJ176" s="6">
        <f>VLOOKUP(Table1[[#This Row],[Reference]],metron,24,FALSE)</f>
        <v>2.0586797066014668</v>
      </c>
      <c r="CK176" s="6">
        <f>VLOOKUP(Table1[[#This Row],[Reference]],metron,25,FALSE)</f>
        <v>6.8459657701711488E-2</v>
      </c>
      <c r="CL176" s="6">
        <f>VLOOKUP(Table1[[#This Row],[Reference]],metron,26,FALSE)</f>
        <v>0.12713936430317849</v>
      </c>
    </row>
    <row r="177" spans="1:90" hidden="1" x14ac:dyDescent="0.45">
      <c r="A177" t="s">
        <v>695</v>
      </c>
      <c r="B177">
        <v>1641697200</v>
      </c>
      <c r="C177" s="23" t="s">
        <v>412</v>
      </c>
      <c r="D177" t="s">
        <v>65</v>
      </c>
      <c r="E177" t="s">
        <v>66</v>
      </c>
      <c r="F177" t="s">
        <v>112</v>
      </c>
      <c r="G177" t="s">
        <v>106</v>
      </c>
      <c r="H177" t="s">
        <v>66</v>
      </c>
      <c r="I177">
        <f>MROUND(Table1[[#This Row],[ProbH]]*100,2)/100</f>
        <v>0.64</v>
      </c>
      <c r="J177">
        <f>1/Table1[[#This Row],[odds_ft_home_team_win]]-Table1[[#This Row],[Margin]]</f>
        <v>0.64209720648479041</v>
      </c>
      <c r="K177">
        <f>1/Table1[[#This Row],[odds_ft_draw]]-Table1[[#This Row],[Margin]]</f>
        <v>0.23069652662773465</v>
      </c>
      <c r="L177">
        <f>1/Table1[[#This Row],[odds_ft_away_team_win]]-Table1[[#This Row],[Margin]]</f>
        <v>0.12720626688747494</v>
      </c>
      <c r="M177">
        <v>1</v>
      </c>
      <c r="N177">
        <v>1.33</v>
      </c>
      <c r="O177">
        <v>0.63</v>
      </c>
      <c r="P177">
        <v>1.25</v>
      </c>
      <c r="Q177">
        <v>0.53</v>
      </c>
      <c r="R177" t="str" cm="1">
        <f t="array" ref="R1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7">
        <v>2</v>
      </c>
      <c r="T177">
        <v>0</v>
      </c>
      <c r="U177">
        <v>2</v>
      </c>
      <c r="V177">
        <v>1</v>
      </c>
      <c r="W177">
        <v>1</v>
      </c>
      <c r="X177">
        <v>0</v>
      </c>
      <c r="Y177" t="s">
        <v>413</v>
      </c>
      <c r="AA177">
        <v>4</v>
      </c>
      <c r="AB177">
        <v>4</v>
      </c>
      <c r="AC177">
        <v>2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0</v>
      </c>
      <c r="AJ177">
        <v>1</v>
      </c>
      <c r="AK177">
        <v>9</v>
      </c>
      <c r="AL177">
        <v>14</v>
      </c>
      <c r="AM177">
        <v>3</v>
      </c>
      <c r="AN177">
        <v>4</v>
      </c>
      <c r="AO177">
        <v>6</v>
      </c>
      <c r="AP177">
        <v>10</v>
      </c>
      <c r="AQ177">
        <v>13</v>
      </c>
      <c r="AR177">
        <v>10</v>
      </c>
      <c r="AS177">
        <v>43</v>
      </c>
      <c r="AT177">
        <v>57</v>
      </c>
      <c r="AU177">
        <v>0.99</v>
      </c>
      <c r="AV177">
        <v>1.46</v>
      </c>
      <c r="AW177">
        <v>2.72</v>
      </c>
      <c r="AX177">
        <v>60</v>
      </c>
      <c r="AY177">
        <v>95</v>
      </c>
      <c r="AZ177">
        <v>42</v>
      </c>
      <c r="BA177">
        <v>24</v>
      </c>
      <c r="BB177">
        <v>12</v>
      </c>
      <c r="BC177">
        <v>29</v>
      </c>
      <c r="BD177">
        <v>82</v>
      </c>
      <c r="BE177">
        <v>42</v>
      </c>
      <c r="BF177">
        <v>83</v>
      </c>
      <c r="BG177">
        <v>7.22</v>
      </c>
      <c r="BH177">
        <v>4.8600000000000003</v>
      </c>
      <c r="BI177">
        <v>1.49</v>
      </c>
      <c r="BJ177">
        <v>3.85</v>
      </c>
      <c r="BK177">
        <v>6.4</v>
      </c>
      <c r="BL177">
        <f>(1/Table1[[#This Row],[odds_ft_home_team_win]]+1/Table1[[#This Row],[odds_ft_draw]]+1/Table1[[#This Row],[odds_ft_away_team_win]]-1)/3</f>
        <v>2.9043733112525061E-2</v>
      </c>
      <c r="BM177">
        <v>1.3</v>
      </c>
      <c r="BN177">
        <v>2.04</v>
      </c>
      <c r="BO177">
        <v>3.5</v>
      </c>
      <c r="BP177">
        <v>6.5</v>
      </c>
      <c r="BQ177">
        <v>2</v>
      </c>
      <c r="BR177">
        <v>1.73</v>
      </c>
      <c r="BS177" t="s">
        <v>116</v>
      </c>
      <c r="BT177">
        <f>VLOOKUP(Table1[[#This Row],[Reference]],metron,8,FALSE)</f>
        <v>2.1745910991837163</v>
      </c>
      <c r="BU177">
        <f>VLOOKUP(Table1[[#This Row],[Reference]],metron,9,FALSE)</f>
        <v>0.59796358565236019</v>
      </c>
      <c r="BV177">
        <f>VLOOKUP(Table1[[#This Row],[Reference]],metron,10,FALSE)</f>
        <v>2.8343749999999996</v>
      </c>
      <c r="BW177">
        <f>VLOOKUP(Table1[[#This Row],[Reference]],metron,11,FALSE)</f>
        <v>1.980803571428571</v>
      </c>
      <c r="BX177">
        <f>VLOOKUP(Table1[[#This Row],[Reference]],metron,12,FALSE)</f>
        <v>0.85357142857142854</v>
      </c>
      <c r="BY177" s="6">
        <f>VLOOKUP(Table1[[#This Row],[Reference]],metron,13,FALSE)</f>
        <v>0.8683035714285714</v>
      </c>
      <c r="BZ177" s="6">
        <f>VLOOKUP(Table1[[#This Row],[Reference]],metron,14,FALSE)</f>
        <v>0.36607142857142849</v>
      </c>
      <c r="CA177" s="6">
        <f>VLOOKUP(Table1[[#This Row],[Reference]],metron,15,FALSE)</f>
        <v>15.03980099502488</v>
      </c>
      <c r="CB177" s="6">
        <f>VLOOKUP(Table1[[#This Row],[Reference]],metron,16,FALSE)</f>
        <v>8.6326699834162515</v>
      </c>
      <c r="CC177" s="6">
        <f>VLOOKUP(Table1[[#This Row],[Reference]],metron,17,FALSE)</f>
        <v>6.5189234650967203</v>
      </c>
      <c r="CD177" s="6">
        <f>VLOOKUP(Table1[[#This Row],[Reference]],metron,18,FALSE)</f>
        <v>3.4507989907485279</v>
      </c>
      <c r="CE177" s="6">
        <f>VLOOKUP(Table1[[#This Row],[Reference]],metron,19,FALSE)</f>
        <v>8.5208775299281605</v>
      </c>
      <c r="CF177" s="6">
        <f>VLOOKUP(Table1[[#This Row],[Reference]],metron,20,FALSE)</f>
        <v>5.181870992667724</v>
      </c>
      <c r="CG177" s="6">
        <f>VLOOKUP(Table1[[#This Row],[Reference]],metron,21,FALSE)</f>
        <v>12.48566610455312</v>
      </c>
      <c r="CH177" s="6">
        <f>VLOOKUP(Table1[[#This Row],[Reference]],metron,22,FALSE)</f>
        <v>13.573355817875211</v>
      </c>
      <c r="CI177" s="6">
        <f>VLOOKUP(Table1[[#This Row],[Reference]],metron,23,FALSE)</f>
        <v>1.395273023634882</v>
      </c>
      <c r="CJ177" s="6">
        <f>VLOOKUP(Table1[[#This Row],[Reference]],metron,24,FALSE)</f>
        <v>2.0586797066014668</v>
      </c>
      <c r="CK177" s="6">
        <f>VLOOKUP(Table1[[#This Row],[Reference]],metron,25,FALSE)</f>
        <v>6.8459657701711488E-2</v>
      </c>
      <c r="CL177" s="6">
        <f>VLOOKUP(Table1[[#This Row],[Reference]],metron,26,FALSE)</f>
        <v>0.12713936430317849</v>
      </c>
    </row>
    <row r="178" spans="1:90" hidden="1" x14ac:dyDescent="0.45">
      <c r="A178" t="s">
        <v>695</v>
      </c>
      <c r="B178">
        <v>1641772800</v>
      </c>
      <c r="C178" s="23" t="s">
        <v>414</v>
      </c>
      <c r="D178" t="s">
        <v>65</v>
      </c>
      <c r="E178" t="s">
        <v>66</v>
      </c>
      <c r="F178" t="s">
        <v>90</v>
      </c>
      <c r="G178" t="s">
        <v>113</v>
      </c>
      <c r="H178" t="s">
        <v>158</v>
      </c>
      <c r="I178">
        <f>MROUND(Table1[[#This Row],[ProbH]]*100,2)/100</f>
        <v>0.52</v>
      </c>
      <c r="J178">
        <f>1/Table1[[#This Row],[odds_ft_home_team_win]]-Table1[[#This Row],[Margin]]</f>
        <v>0.52377946127946129</v>
      </c>
      <c r="K178">
        <f>1/Table1[[#This Row],[odds_ft_draw]]-Table1[[#This Row],[Margin]]</f>
        <v>0.28072390572390571</v>
      </c>
      <c r="L178">
        <f>1/Table1[[#This Row],[odds_ft_away_team_win]]-Table1[[#This Row],[Margin]]</f>
        <v>0.19549663299663297</v>
      </c>
      <c r="M178">
        <v>1</v>
      </c>
      <c r="N178">
        <v>1.38</v>
      </c>
      <c r="O178">
        <v>0.63</v>
      </c>
      <c r="P178">
        <v>1.47</v>
      </c>
      <c r="Q178">
        <v>0.72</v>
      </c>
      <c r="R178" s="9" t="str" cm="1">
        <f t="array" ref="R1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8">
        <v>3</v>
      </c>
      <c r="T178">
        <v>0</v>
      </c>
      <c r="U178">
        <v>3</v>
      </c>
      <c r="V178">
        <v>3</v>
      </c>
      <c r="W178">
        <v>3</v>
      </c>
      <c r="X178">
        <v>0</v>
      </c>
      <c r="Y178" t="s">
        <v>415</v>
      </c>
      <c r="AA178">
        <v>3</v>
      </c>
      <c r="AB178">
        <v>4</v>
      </c>
      <c r="AC178">
        <v>1</v>
      </c>
      <c r="AD178">
        <v>0</v>
      </c>
      <c r="AE178">
        <v>2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14</v>
      </c>
      <c r="AL178">
        <v>9</v>
      </c>
      <c r="AM178">
        <v>9</v>
      </c>
      <c r="AN178">
        <v>2</v>
      </c>
      <c r="AO178">
        <v>5</v>
      </c>
      <c r="AP178">
        <v>7</v>
      </c>
      <c r="AQ178">
        <v>17</v>
      </c>
      <c r="AR178">
        <v>12</v>
      </c>
      <c r="AS178">
        <v>61</v>
      </c>
      <c r="AT178">
        <v>39</v>
      </c>
      <c r="AU178">
        <v>1.99</v>
      </c>
      <c r="AV178">
        <v>1</v>
      </c>
      <c r="AW178">
        <v>2.2599999999999998</v>
      </c>
      <c r="AX178">
        <v>38</v>
      </c>
      <c r="AY178">
        <v>75</v>
      </c>
      <c r="AZ178">
        <v>44</v>
      </c>
      <c r="BA178">
        <v>13</v>
      </c>
      <c r="BB178">
        <v>0</v>
      </c>
      <c r="BC178">
        <v>13</v>
      </c>
      <c r="BD178">
        <v>82</v>
      </c>
      <c r="BE178">
        <v>44</v>
      </c>
      <c r="BF178">
        <v>76</v>
      </c>
      <c r="BG178">
        <v>7.76</v>
      </c>
      <c r="BH178">
        <v>5.01</v>
      </c>
      <c r="BI178">
        <v>1.8</v>
      </c>
      <c r="BJ178">
        <v>3.2</v>
      </c>
      <c r="BK178">
        <v>4.4000000000000004</v>
      </c>
      <c r="BL178">
        <f>(1/Table1[[#This Row],[odds_ft_home_team_win]]+1/Table1[[#This Row],[odds_ft_draw]]+1/Table1[[#This Row],[odds_ft_away_team_win]]-1)/3</f>
        <v>3.1776094276094291E-2</v>
      </c>
      <c r="BM178">
        <v>0</v>
      </c>
      <c r="BN178">
        <v>2.29</v>
      </c>
      <c r="BO178">
        <v>0</v>
      </c>
      <c r="BP178">
        <v>0</v>
      </c>
      <c r="BQ178">
        <v>0</v>
      </c>
      <c r="BR178">
        <v>0</v>
      </c>
      <c r="BS178" t="s">
        <v>94</v>
      </c>
      <c r="BT178">
        <f>VLOOKUP(Table1[[#This Row],[Reference]],metron,8,FALSE)</f>
        <v>1.8614830167843088</v>
      </c>
      <c r="BU178">
        <f>VLOOKUP(Table1[[#This Row],[Reference]],metron,9,FALSE)</f>
        <v>0.87079851622593896</v>
      </c>
      <c r="BV178">
        <f>VLOOKUP(Table1[[#This Row],[Reference]],metron,10,FALSE)</f>
        <v>2.5967403582378576</v>
      </c>
      <c r="BW178">
        <f>VLOOKUP(Table1[[#This Row],[Reference]],metron,11,FALSE)</f>
        <v>1.625948039373891</v>
      </c>
      <c r="BX178">
        <f>VLOOKUP(Table1[[#This Row],[Reference]],metron,12,FALSE)</f>
        <v>0.97079231886396644</v>
      </c>
      <c r="BY178" s="6">
        <f>VLOOKUP(Table1[[#This Row],[Reference]],metron,13,FALSE)</f>
        <v>0.71433182698515174</v>
      </c>
      <c r="BZ178" s="6">
        <f>VLOOKUP(Table1[[#This Row],[Reference]],metron,14,FALSE)</f>
        <v>0.43011620400258233</v>
      </c>
      <c r="CA178" s="6">
        <f>VLOOKUP(Table1[[#This Row],[Reference]],metron,15,FALSE)</f>
        <v>13.39951055368614</v>
      </c>
      <c r="CB178" s="6">
        <f>VLOOKUP(Table1[[#This Row],[Reference]],metron,16,FALSE)</f>
        <v>9.4252064851636579</v>
      </c>
      <c r="CC178" s="6">
        <f>VLOOKUP(Table1[[#This Row],[Reference]],metron,17,FALSE)</f>
        <v>5.7628422023992618</v>
      </c>
      <c r="CD178" s="6">
        <f>VLOOKUP(Table1[[#This Row],[Reference]],metron,18,FALSE)</f>
        <v>3.9375576745616732</v>
      </c>
      <c r="CE178" s="6">
        <f>VLOOKUP(Table1[[#This Row],[Reference]],metron,19,FALSE)</f>
        <v>7.636668351286878</v>
      </c>
      <c r="CF178" s="6">
        <f>VLOOKUP(Table1[[#This Row],[Reference]],metron,20,FALSE)</f>
        <v>5.4876488106019847</v>
      </c>
      <c r="CG178" s="6">
        <f>VLOOKUP(Table1[[#This Row],[Reference]],metron,21,FALSE)</f>
        <v>12.460420531849101</v>
      </c>
      <c r="CH178" s="6">
        <f>VLOOKUP(Table1[[#This Row],[Reference]],metron,22,FALSE)</f>
        <v>13.44897959183673</v>
      </c>
      <c r="CI178" s="6">
        <f>VLOOKUP(Table1[[#This Row],[Reference]],metron,23,FALSE)</f>
        <v>1.462202380952381</v>
      </c>
      <c r="CJ178" s="6">
        <f>VLOOKUP(Table1[[#This Row],[Reference]],metron,24,FALSE)</f>
        <v>2.01547619047619</v>
      </c>
      <c r="CK178" s="6">
        <f>VLOOKUP(Table1[[#This Row],[Reference]],metron,25,FALSE)</f>
        <v>7.7380952380952384E-2</v>
      </c>
      <c r="CL178" s="6">
        <f>VLOOKUP(Table1[[#This Row],[Reference]],metron,26,FALSE)</f>
        <v>0.13754093480202439</v>
      </c>
    </row>
    <row r="179" spans="1:90" hidden="1" x14ac:dyDescent="0.45">
      <c r="A179" t="s">
        <v>695</v>
      </c>
      <c r="B179">
        <v>1641870000</v>
      </c>
      <c r="C179" s="23" t="s">
        <v>416</v>
      </c>
      <c r="D179" t="s">
        <v>65</v>
      </c>
      <c r="E179" t="s">
        <v>66</v>
      </c>
      <c r="F179" t="s">
        <v>96</v>
      </c>
      <c r="G179" t="s">
        <v>79</v>
      </c>
      <c r="H179" t="s">
        <v>114</v>
      </c>
      <c r="I179">
        <f>MROUND(Table1[[#This Row],[ProbH]]*100,2)/100</f>
        <v>0.54</v>
      </c>
      <c r="J179">
        <f>1/Table1[[#This Row],[odds_ft_home_team_win]]-Table1[[#This Row],[Margin]]</f>
        <v>0.54553850525717529</v>
      </c>
      <c r="K179">
        <f>1/Table1[[#This Row],[odds_ft_draw]]-Table1[[#This Row],[Margin]]</f>
        <v>0.24715828360329636</v>
      </c>
      <c r="L179">
        <f>1/Table1[[#This Row],[odds_ft_away_team_win]]-Table1[[#This Row],[Margin]]</f>
        <v>0.20730321113952824</v>
      </c>
      <c r="M179">
        <v>1</v>
      </c>
      <c r="N179">
        <v>1.45</v>
      </c>
      <c r="O179">
        <v>1.22</v>
      </c>
      <c r="P179">
        <v>1.58</v>
      </c>
      <c r="Q179">
        <v>1.29</v>
      </c>
      <c r="R179" t="str" cm="1">
        <f t="array" ref="R1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9">
        <v>5</v>
      </c>
      <c r="T179">
        <v>0</v>
      </c>
      <c r="U179">
        <v>5</v>
      </c>
      <c r="V179">
        <v>1</v>
      </c>
      <c r="W179">
        <v>1</v>
      </c>
      <c r="X179">
        <v>0</v>
      </c>
      <c r="Y179" t="s">
        <v>417</v>
      </c>
      <c r="AA179">
        <v>7</v>
      </c>
      <c r="AB179">
        <v>2</v>
      </c>
      <c r="AC179">
        <v>3</v>
      </c>
      <c r="AD179">
        <v>0</v>
      </c>
      <c r="AE179">
        <v>2</v>
      </c>
      <c r="AF179">
        <v>0</v>
      </c>
      <c r="AG179">
        <v>0</v>
      </c>
      <c r="AH179">
        <v>3</v>
      </c>
      <c r="AI179">
        <v>1</v>
      </c>
      <c r="AJ179">
        <v>1</v>
      </c>
      <c r="AK179">
        <v>28</v>
      </c>
      <c r="AL179">
        <v>5</v>
      </c>
      <c r="AM179">
        <v>14</v>
      </c>
      <c r="AN179">
        <v>3</v>
      </c>
      <c r="AO179">
        <v>14</v>
      </c>
      <c r="AP179">
        <v>2</v>
      </c>
      <c r="AQ179">
        <v>16</v>
      </c>
      <c r="AR179">
        <v>12</v>
      </c>
      <c r="AS179">
        <v>45</v>
      </c>
      <c r="AT179">
        <v>55</v>
      </c>
      <c r="AU179">
        <v>3.01</v>
      </c>
      <c r="AV179">
        <v>0.7</v>
      </c>
      <c r="AW179">
        <v>2.2200000000000002</v>
      </c>
      <c r="AX179">
        <v>30</v>
      </c>
      <c r="AY179">
        <v>62</v>
      </c>
      <c r="AZ179">
        <v>40</v>
      </c>
      <c r="BA179">
        <v>30</v>
      </c>
      <c r="BB179">
        <v>5</v>
      </c>
      <c r="BC179">
        <v>26</v>
      </c>
      <c r="BD179">
        <v>62</v>
      </c>
      <c r="BE179">
        <v>29</v>
      </c>
      <c r="BF179">
        <v>72</v>
      </c>
      <c r="BG179">
        <v>8.94</v>
      </c>
      <c r="BH179">
        <v>4.78</v>
      </c>
      <c r="BI179">
        <v>1.7</v>
      </c>
      <c r="BJ179">
        <v>3.45</v>
      </c>
      <c r="BK179">
        <v>4</v>
      </c>
      <c r="BL179">
        <f>(1/Table1[[#This Row],[odds_ft_home_team_win]]+1/Table1[[#This Row],[odds_ft_draw]]+1/Table1[[#This Row],[odds_ft_away_team_win]]-1)/3</f>
        <v>4.2696788860471756E-2</v>
      </c>
      <c r="BM179">
        <v>1.36</v>
      </c>
      <c r="BN179">
        <v>1.78</v>
      </c>
      <c r="BO179">
        <v>4</v>
      </c>
      <c r="BP179">
        <v>7</v>
      </c>
      <c r="BQ179">
        <v>1.91</v>
      </c>
      <c r="BR179">
        <v>1.8</v>
      </c>
      <c r="BS179" t="s">
        <v>99</v>
      </c>
      <c r="BT179">
        <f>VLOOKUP(Table1[[#This Row],[Reference]],metron,8,FALSE)</f>
        <v>1.915666026436746</v>
      </c>
      <c r="BU179">
        <f>VLOOKUP(Table1[[#This Row],[Reference]],metron,9,FALSE)</f>
        <v>0.82283834599204153</v>
      </c>
      <c r="BV179">
        <f>VLOOKUP(Table1[[#This Row],[Reference]],metron,10,FALSE)</f>
        <v>2.6359702267612941</v>
      </c>
      <c r="BW179">
        <f>VLOOKUP(Table1[[#This Row],[Reference]],metron,11,FALSE)</f>
        <v>1.684957590444867</v>
      </c>
      <c r="BX179">
        <f>VLOOKUP(Table1[[#This Row],[Reference]],metron,12,FALSE)</f>
        <v>0.95101263631642718</v>
      </c>
      <c r="BY179" s="6">
        <f>VLOOKUP(Table1[[#This Row],[Reference]],metron,13,FALSE)</f>
        <v>0.72650164445213783</v>
      </c>
      <c r="BZ179" s="6">
        <f>VLOOKUP(Table1[[#This Row],[Reference]],metron,14,FALSE)</f>
        <v>0.42097974727367138</v>
      </c>
      <c r="CA179" s="6">
        <f>VLOOKUP(Table1[[#This Row],[Reference]],metron,15,FALSE)</f>
        <v>13.338806970509379</v>
      </c>
      <c r="CB179" s="6">
        <f>VLOOKUP(Table1[[#This Row],[Reference]],metron,16,FALSE)</f>
        <v>9.2530160857908843</v>
      </c>
      <c r="CC179" s="6">
        <f>VLOOKUP(Table1[[#This Row],[Reference]],metron,17,FALSE)</f>
        <v>5.9915081521739131</v>
      </c>
      <c r="CD179" s="6">
        <f>VLOOKUP(Table1[[#This Row],[Reference]],metron,18,FALSE)</f>
        <v>3.9772418478260869</v>
      </c>
      <c r="CE179" s="6">
        <f>VLOOKUP(Table1[[#This Row],[Reference]],metron,19,FALSE)</f>
        <v>7.3472988183354664</v>
      </c>
      <c r="CF179" s="6">
        <f>VLOOKUP(Table1[[#This Row],[Reference]],metron,20,FALSE)</f>
        <v>5.2757742379647974</v>
      </c>
      <c r="CG179" s="6">
        <f>VLOOKUP(Table1[[#This Row],[Reference]],metron,21,FALSE)</f>
        <v>12.59428182437032</v>
      </c>
      <c r="CH179" s="6">
        <f>VLOOKUP(Table1[[#This Row],[Reference]],metron,22,FALSE)</f>
        <v>13.577944179714089</v>
      </c>
      <c r="CI179" s="6">
        <f>VLOOKUP(Table1[[#This Row],[Reference]],metron,23,FALSE)</f>
        <v>1.4276913099870301</v>
      </c>
      <c r="CJ179" s="6">
        <f>VLOOKUP(Table1[[#This Row],[Reference]],metron,24,FALSE)</f>
        <v>1.940985732814527</v>
      </c>
      <c r="CK179" s="6">
        <f>VLOOKUP(Table1[[#This Row],[Reference]],metron,25,FALSE)</f>
        <v>8.0739299610894946E-2</v>
      </c>
      <c r="CL179" s="6">
        <f>VLOOKUP(Table1[[#This Row],[Reference]],metron,26,FALSE)</f>
        <v>0.12743190661478601</v>
      </c>
    </row>
    <row r="180" spans="1:90" hidden="1" x14ac:dyDescent="0.45">
      <c r="A180" t="s">
        <v>695</v>
      </c>
      <c r="B180">
        <v>1642039560</v>
      </c>
      <c r="C180" s="23" t="s">
        <v>418</v>
      </c>
      <c r="D180" t="s">
        <v>65</v>
      </c>
      <c r="E180" t="s">
        <v>66</v>
      </c>
      <c r="F180" t="s">
        <v>73</v>
      </c>
      <c r="G180" t="s">
        <v>107</v>
      </c>
      <c r="H180" t="s">
        <v>133</v>
      </c>
      <c r="I180">
        <f>MROUND(Table1[[#This Row],[ProbH]]*100,2)/100</f>
        <v>0.46</v>
      </c>
      <c r="J180">
        <f>1/Table1[[#This Row],[odds_ft_home_team_win]]-Table1[[#This Row],[Margin]]</f>
        <v>0.46258901570578476</v>
      </c>
      <c r="K180">
        <f>1/Table1[[#This Row],[odds_ft_draw]]-Table1[[#This Row],[Margin]]</f>
        <v>0.27090039996097937</v>
      </c>
      <c r="L180">
        <f>1/Table1[[#This Row],[odds_ft_away_team_win]]-Table1[[#This Row],[Margin]]</f>
        <v>0.26651058433323577</v>
      </c>
      <c r="M180">
        <v>1</v>
      </c>
      <c r="N180">
        <v>1.64</v>
      </c>
      <c r="O180">
        <v>1.1000000000000001</v>
      </c>
      <c r="P180">
        <v>1.58</v>
      </c>
      <c r="Q180">
        <v>1.48</v>
      </c>
      <c r="R180" t="str" cm="1">
        <f t="array" ref="R1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0">
        <v>1</v>
      </c>
      <c r="T180">
        <v>1</v>
      </c>
      <c r="U180">
        <v>2</v>
      </c>
      <c r="V180">
        <v>0</v>
      </c>
      <c r="W180">
        <v>0</v>
      </c>
      <c r="X180">
        <v>0</v>
      </c>
      <c r="Y180">
        <v>50</v>
      </c>
      <c r="Z180" t="s">
        <v>419</v>
      </c>
      <c r="AA180">
        <v>3</v>
      </c>
      <c r="AB180">
        <v>4</v>
      </c>
      <c r="AC180">
        <v>3</v>
      </c>
      <c r="AD180">
        <v>0</v>
      </c>
      <c r="AE180">
        <v>3</v>
      </c>
      <c r="AF180">
        <v>0</v>
      </c>
      <c r="AG180">
        <v>1</v>
      </c>
      <c r="AH180">
        <v>2</v>
      </c>
      <c r="AI180">
        <v>1</v>
      </c>
      <c r="AJ180">
        <v>2</v>
      </c>
      <c r="AK180">
        <v>10</v>
      </c>
      <c r="AL180">
        <v>16</v>
      </c>
      <c r="AM180">
        <v>6</v>
      </c>
      <c r="AN180">
        <v>5</v>
      </c>
      <c r="AO180">
        <v>4</v>
      </c>
      <c r="AP180">
        <v>11</v>
      </c>
      <c r="AQ180">
        <v>11</v>
      </c>
      <c r="AR180">
        <v>10</v>
      </c>
      <c r="AS180">
        <v>43</v>
      </c>
      <c r="AT180">
        <v>57</v>
      </c>
      <c r="AU180">
        <v>1.3</v>
      </c>
      <c r="AV180">
        <v>1.6</v>
      </c>
      <c r="AW180">
        <v>2.2599999999999998</v>
      </c>
      <c r="AX180">
        <v>58</v>
      </c>
      <c r="AY180">
        <v>82</v>
      </c>
      <c r="AZ180">
        <v>44</v>
      </c>
      <c r="BA180">
        <v>10</v>
      </c>
      <c r="BB180">
        <v>0</v>
      </c>
      <c r="BC180">
        <v>25</v>
      </c>
      <c r="BD180">
        <v>58</v>
      </c>
      <c r="BE180">
        <v>48</v>
      </c>
      <c r="BF180">
        <v>82</v>
      </c>
      <c r="BG180">
        <v>10.81</v>
      </c>
      <c r="BH180">
        <v>3.67</v>
      </c>
      <c r="BI180">
        <v>2.04</v>
      </c>
      <c r="BJ180">
        <v>3.35</v>
      </c>
      <c r="BK180">
        <v>3.4</v>
      </c>
      <c r="BL180">
        <f>(1/Table1[[#This Row],[odds_ft_home_team_win]]+1/Table1[[#This Row],[odds_ft_draw]]+1/Table1[[#This Row],[odds_ft_away_team_win]]-1)/3</f>
        <v>2.7607062725587772E-2</v>
      </c>
      <c r="BM180">
        <v>1.4</v>
      </c>
      <c r="BN180">
        <v>2.15</v>
      </c>
      <c r="BO180">
        <v>4.2</v>
      </c>
      <c r="BP180">
        <v>8</v>
      </c>
      <c r="BQ180">
        <v>1.91</v>
      </c>
      <c r="BR180">
        <v>1.8</v>
      </c>
      <c r="BS180" t="s">
        <v>142</v>
      </c>
      <c r="BT180">
        <f>VLOOKUP(Table1[[#This Row],[Reference]],metron,8,FALSE)</f>
        <v>1.6955772349985931</v>
      </c>
      <c r="BU180">
        <f>VLOOKUP(Table1[[#This Row],[Reference]],metron,9,FALSE)</f>
        <v>1.0239029519551039</v>
      </c>
      <c r="BV180">
        <f>VLOOKUP(Table1[[#This Row],[Reference]],metron,10,FALSE)</f>
        <v>2.5405629139072849</v>
      </c>
      <c r="BW180">
        <f>VLOOKUP(Table1[[#This Row],[Reference]],metron,11,FALSE)</f>
        <v>1.4888836329233679</v>
      </c>
      <c r="BX180">
        <f>VLOOKUP(Table1[[#This Row],[Reference]],metron,12,FALSE)</f>
        <v>1.0516792809839171</v>
      </c>
      <c r="BY180" s="6">
        <f>VLOOKUP(Table1[[#This Row],[Reference]],metron,13,FALSE)</f>
        <v>0.64581362346263005</v>
      </c>
      <c r="BZ180" s="6">
        <f>VLOOKUP(Table1[[#This Row],[Reference]],metron,14,FALSE)</f>
        <v>0.45364238410596031</v>
      </c>
      <c r="CA180" s="6">
        <f>VLOOKUP(Table1[[#This Row],[Reference]],metron,15,FALSE)</f>
        <v>12.686892177589851</v>
      </c>
      <c r="CB180" s="6">
        <f>VLOOKUP(Table1[[#This Row],[Reference]],metron,16,FALSE)</f>
        <v>9.8059196617336148</v>
      </c>
      <c r="CC180" s="6">
        <f>VLOOKUP(Table1[[#This Row],[Reference]],metron,17,FALSE)</f>
        <v>5.3198121263877027</v>
      </c>
      <c r="CD180" s="6">
        <f>VLOOKUP(Table1[[#This Row],[Reference]],metron,18,FALSE)</f>
        <v>4.0954312553373189</v>
      </c>
      <c r="CE180" s="6">
        <f>VLOOKUP(Table1[[#This Row],[Reference]],metron,19,FALSE)</f>
        <v>7.3670800512021479</v>
      </c>
      <c r="CF180" s="6">
        <f>VLOOKUP(Table1[[#This Row],[Reference]],metron,20,FALSE)</f>
        <v>5.710488406396296</v>
      </c>
      <c r="CG180" s="6">
        <f>VLOOKUP(Table1[[#This Row],[Reference]],metron,21,FALSE)</f>
        <v>13.0488908033599</v>
      </c>
      <c r="CH180" s="6">
        <f>VLOOKUP(Table1[[#This Row],[Reference]],metron,22,FALSE)</f>
        <v>13.714839543398661</v>
      </c>
      <c r="CI180" s="6">
        <f>VLOOKUP(Table1[[#This Row],[Reference]],metron,23,FALSE)</f>
        <v>1.567523459812322</v>
      </c>
      <c r="CJ180" s="6">
        <f>VLOOKUP(Table1[[#This Row],[Reference]],metron,24,FALSE)</f>
        <v>1.951040391676867</v>
      </c>
      <c r="CK180" s="6">
        <f>VLOOKUP(Table1[[#This Row],[Reference]],metron,25,FALSE)</f>
        <v>8.3027335781313744E-2</v>
      </c>
      <c r="CL180" s="6">
        <f>VLOOKUP(Table1[[#This Row],[Reference]],metron,26,FALSE)</f>
        <v>0.13117095063239501</v>
      </c>
    </row>
    <row r="181" spans="1:90" hidden="1" x14ac:dyDescent="0.45">
      <c r="A181" t="s">
        <v>695</v>
      </c>
      <c r="B181">
        <v>1642208400</v>
      </c>
      <c r="C181" s="23" t="s">
        <v>420</v>
      </c>
      <c r="D181" t="s">
        <v>65</v>
      </c>
      <c r="E181" t="s">
        <v>66</v>
      </c>
      <c r="F181" t="s">
        <v>67</v>
      </c>
      <c r="G181" t="s">
        <v>96</v>
      </c>
      <c r="H181" t="s">
        <v>215</v>
      </c>
      <c r="I181">
        <f>MROUND(Table1[[#This Row],[ProbH]]*100,2)/100</f>
        <v>0.34</v>
      </c>
      <c r="J181">
        <f>1/Table1[[#This Row],[odds_ft_home_team_win]]-Table1[[#This Row],[Margin]]</f>
        <v>0.33580246913580247</v>
      </c>
      <c r="K181">
        <f>1/Table1[[#This Row],[odds_ft_draw]]-Table1[[#This Row],[Margin]]</f>
        <v>0.29876543209876544</v>
      </c>
      <c r="L181">
        <f>1/Table1[[#This Row],[odds_ft_away_team_win]]-Table1[[#This Row],[Margin]]</f>
        <v>0.36543209876543215</v>
      </c>
      <c r="M181">
        <v>2</v>
      </c>
      <c r="N181">
        <v>1.38</v>
      </c>
      <c r="O181">
        <v>1.36</v>
      </c>
      <c r="P181">
        <v>1.24</v>
      </c>
      <c r="Q181">
        <v>1.1000000000000001</v>
      </c>
      <c r="R181" t="str" cm="1">
        <f t="array" ref="R1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81">
        <v>1</v>
      </c>
      <c r="T181">
        <v>3</v>
      </c>
      <c r="U181">
        <v>4</v>
      </c>
      <c r="V181">
        <v>3</v>
      </c>
      <c r="W181">
        <v>1</v>
      </c>
      <c r="X181">
        <v>2</v>
      </c>
      <c r="Y181">
        <v>4</v>
      </c>
      <c r="Z181" t="s">
        <v>421</v>
      </c>
      <c r="AA181">
        <v>8</v>
      </c>
      <c r="AB181">
        <v>6</v>
      </c>
      <c r="AC181">
        <v>0</v>
      </c>
      <c r="AD181">
        <v>0</v>
      </c>
      <c r="AE181">
        <v>2</v>
      </c>
      <c r="AF181">
        <v>1</v>
      </c>
      <c r="AG181">
        <v>0</v>
      </c>
      <c r="AH181">
        <v>0</v>
      </c>
      <c r="AI181">
        <v>1</v>
      </c>
      <c r="AJ181">
        <v>2</v>
      </c>
      <c r="AK181">
        <v>27</v>
      </c>
      <c r="AL181">
        <v>16</v>
      </c>
      <c r="AM181">
        <v>5</v>
      </c>
      <c r="AN181">
        <v>8</v>
      </c>
      <c r="AO181">
        <v>22</v>
      </c>
      <c r="AP181">
        <v>8</v>
      </c>
      <c r="AQ181">
        <v>7</v>
      </c>
      <c r="AR181">
        <v>7</v>
      </c>
      <c r="AS181">
        <v>44</v>
      </c>
      <c r="AT181">
        <v>56</v>
      </c>
      <c r="AU181">
        <v>2.39</v>
      </c>
      <c r="AV181">
        <v>1.82</v>
      </c>
      <c r="AW181">
        <v>2.17</v>
      </c>
      <c r="AX181">
        <v>40</v>
      </c>
      <c r="AY181">
        <v>66</v>
      </c>
      <c r="AZ181">
        <v>40</v>
      </c>
      <c r="BA181">
        <v>16</v>
      </c>
      <c r="BB181">
        <v>7</v>
      </c>
      <c r="BC181">
        <v>22</v>
      </c>
      <c r="BD181">
        <v>79</v>
      </c>
      <c r="BE181">
        <v>25</v>
      </c>
      <c r="BF181">
        <v>77</v>
      </c>
      <c r="BG181">
        <v>6.95</v>
      </c>
      <c r="BH181">
        <v>6.02</v>
      </c>
      <c r="BI181">
        <v>2.7</v>
      </c>
      <c r="BJ181">
        <v>3</v>
      </c>
      <c r="BK181">
        <v>2.5</v>
      </c>
      <c r="BL181">
        <f>(1/Table1[[#This Row],[odds_ft_home_team_win]]+1/Table1[[#This Row],[odds_ft_draw]]+1/Table1[[#This Row],[odds_ft_away_team_win]]-1)/3</f>
        <v>3.4567901234567877E-2</v>
      </c>
      <c r="BM181">
        <v>1.42</v>
      </c>
      <c r="BN181">
        <v>2.2000000000000002</v>
      </c>
      <c r="BO181">
        <v>4.33</v>
      </c>
      <c r="BP181">
        <v>7.5</v>
      </c>
      <c r="BQ181">
        <v>1.95</v>
      </c>
      <c r="BR181">
        <v>1.8</v>
      </c>
      <c r="BS181" t="s">
        <v>70</v>
      </c>
      <c r="BT181">
        <f>VLOOKUP(Table1[[#This Row],[Reference]],metron,8,FALSE)</f>
        <v>1.3382439854569812</v>
      </c>
      <c r="BU181">
        <f>VLOOKUP(Table1[[#This Row],[Reference]],metron,9,FALSE)</f>
        <v>1.3740319615582339</v>
      </c>
      <c r="BV181">
        <f>VLOOKUP(Table1[[#This Row],[Reference]],metron,10,FALSE)</f>
        <v>2.5229727551184897</v>
      </c>
      <c r="BW181">
        <f>VLOOKUP(Table1[[#This Row],[Reference]],metron,11,FALSE)</f>
        <v>1.228921489601805</v>
      </c>
      <c r="BX181">
        <f>VLOOKUP(Table1[[#This Row],[Reference]],metron,12,FALSE)</f>
        <v>1.2940512655166849</v>
      </c>
      <c r="BY181" s="6">
        <f>VLOOKUP(Table1[[#This Row],[Reference]],metron,13,FALSE)</f>
        <v>0.53240890035472432</v>
      </c>
      <c r="BZ181" s="6">
        <f>VLOOKUP(Table1[[#This Row],[Reference]],metron,14,FALSE)</f>
        <v>0.56514027732989358</v>
      </c>
      <c r="CA181" s="6">
        <f>VLOOKUP(Table1[[#This Row],[Reference]],metron,15,FALSE)</f>
        <v>11.417888124439131</v>
      </c>
      <c r="CB181" s="6">
        <f>VLOOKUP(Table1[[#This Row],[Reference]],metron,16,FALSE)</f>
        <v>10.76308704756207</v>
      </c>
      <c r="CC181" s="6">
        <f>VLOOKUP(Table1[[#This Row],[Reference]],metron,17,FALSE)</f>
        <v>4.8317672021824798</v>
      </c>
      <c r="CD181" s="6">
        <f>VLOOKUP(Table1[[#This Row],[Reference]],metron,18,FALSE)</f>
        <v>4.6698999696877843</v>
      </c>
      <c r="CE181" s="6">
        <f>VLOOKUP(Table1[[#This Row],[Reference]],metron,19,FALSE)</f>
        <v>6.5861209222566508</v>
      </c>
      <c r="CF181" s="6">
        <f>VLOOKUP(Table1[[#This Row],[Reference]],metron,20,FALSE)</f>
        <v>6.093187077874286</v>
      </c>
      <c r="CG181" s="6">
        <f>VLOOKUP(Table1[[#This Row],[Reference]],metron,21,FALSE)</f>
        <v>12.685679611650491</v>
      </c>
      <c r="CH181" s="6">
        <f>VLOOKUP(Table1[[#This Row],[Reference]],metron,22,FALSE)</f>
        <v>13.02639563106796</v>
      </c>
      <c r="CI181" s="6">
        <f>VLOOKUP(Table1[[#This Row],[Reference]],metron,23,FALSE)</f>
        <v>1.6481211768132831</v>
      </c>
      <c r="CJ181" s="6">
        <f>VLOOKUP(Table1[[#This Row],[Reference]],metron,24,FALSE)</f>
        <v>1.8572676958928049</v>
      </c>
      <c r="CK181" s="6">
        <f>VLOOKUP(Table1[[#This Row],[Reference]],metron,25,FALSE)</f>
        <v>9.641712787649287E-2</v>
      </c>
      <c r="CL181" s="6">
        <f>VLOOKUP(Table1[[#This Row],[Reference]],metron,26,FALSE)</f>
        <v>0.11302068161957469</v>
      </c>
    </row>
    <row r="182" spans="1:90" hidden="1" x14ac:dyDescent="0.45">
      <c r="A182" t="s">
        <v>695</v>
      </c>
      <c r="B182">
        <v>1642215600</v>
      </c>
      <c r="C182" s="23" t="s">
        <v>422</v>
      </c>
      <c r="D182" t="s">
        <v>65</v>
      </c>
      <c r="E182" t="s">
        <v>66</v>
      </c>
      <c r="F182" t="s">
        <v>72</v>
      </c>
      <c r="G182" t="s">
        <v>101</v>
      </c>
      <c r="H182" t="s">
        <v>130</v>
      </c>
      <c r="I182">
        <f>MROUND(Table1[[#This Row],[ProbH]]*100,2)/100</f>
        <v>0.28000000000000003</v>
      </c>
      <c r="J182">
        <f>1/Table1[[#This Row],[odds_ft_home_team_win]]-Table1[[#This Row],[Margin]]</f>
        <v>0.28929851510496674</v>
      </c>
      <c r="K182">
        <f>1/Table1[[#This Row],[odds_ft_draw]]-Table1[[#This Row],[Margin]]</f>
        <v>0.29441884280593961</v>
      </c>
      <c r="L182">
        <f>1/Table1[[#This Row],[odds_ft_away_team_win]]-Table1[[#This Row],[Margin]]</f>
        <v>0.41628264208909371</v>
      </c>
      <c r="M182">
        <v>2</v>
      </c>
      <c r="N182">
        <v>1.5</v>
      </c>
      <c r="O182">
        <v>1.0900000000000001</v>
      </c>
      <c r="P182">
        <v>1.24</v>
      </c>
      <c r="Q182">
        <v>1.05</v>
      </c>
      <c r="R182" t="str" cm="1">
        <f t="array" ref="R1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82">
        <v>0</v>
      </c>
      <c r="T182">
        <v>4</v>
      </c>
      <c r="U182">
        <v>4</v>
      </c>
      <c r="V182">
        <v>3</v>
      </c>
      <c r="W182">
        <v>0</v>
      </c>
      <c r="X182">
        <v>3</v>
      </c>
      <c r="Z182" t="s">
        <v>423</v>
      </c>
      <c r="AA182">
        <v>5</v>
      </c>
      <c r="AB182">
        <v>4</v>
      </c>
      <c r="AC182">
        <v>1</v>
      </c>
      <c r="AD182">
        <v>0</v>
      </c>
      <c r="AE182">
        <v>2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6</v>
      </c>
      <c r="AL182">
        <v>22</v>
      </c>
      <c r="AM182">
        <v>5</v>
      </c>
      <c r="AN182">
        <v>9</v>
      </c>
      <c r="AO182">
        <v>1</v>
      </c>
      <c r="AP182">
        <v>13</v>
      </c>
      <c r="AQ182">
        <v>13</v>
      </c>
      <c r="AR182">
        <v>12</v>
      </c>
      <c r="AS182">
        <v>63</v>
      </c>
      <c r="AT182">
        <v>37</v>
      </c>
      <c r="AU182">
        <v>0.99</v>
      </c>
      <c r="AV182">
        <v>2.27</v>
      </c>
      <c r="AW182">
        <v>2.5299999999999998</v>
      </c>
      <c r="AX182">
        <v>54</v>
      </c>
      <c r="AY182">
        <v>79</v>
      </c>
      <c r="AZ182">
        <v>60</v>
      </c>
      <c r="BA182">
        <v>14</v>
      </c>
      <c r="BB182">
        <v>5</v>
      </c>
      <c r="BC182">
        <v>37</v>
      </c>
      <c r="BD182">
        <v>68</v>
      </c>
      <c r="BE182">
        <v>37</v>
      </c>
      <c r="BF182">
        <v>87</v>
      </c>
      <c r="BG182">
        <v>9.89</v>
      </c>
      <c r="BH182">
        <v>3.75</v>
      </c>
      <c r="BI182">
        <v>3.15</v>
      </c>
      <c r="BJ182">
        <v>3.1</v>
      </c>
      <c r="BK182">
        <v>2.25</v>
      </c>
      <c r="BL182">
        <f>(1/Table1[[#This Row],[odds_ft_home_team_win]]+1/Table1[[#This Row],[odds_ft_draw]]+1/Table1[[#This Row],[odds_ft_away_team_win]]-1)/3</f>
        <v>2.8161802355350707E-2</v>
      </c>
      <c r="BM182">
        <v>1.36</v>
      </c>
      <c r="BN182">
        <v>2.0499999999999998</v>
      </c>
      <c r="BO182">
        <v>3.75</v>
      </c>
      <c r="BP182">
        <v>7</v>
      </c>
      <c r="BQ182">
        <v>1.83</v>
      </c>
      <c r="BR182">
        <v>1.9</v>
      </c>
      <c r="BS182" t="s">
        <v>76</v>
      </c>
      <c r="BT182">
        <f>VLOOKUP(Table1[[#This Row],[Reference]],metron,8,FALSE)</f>
        <v>1.1529533168233341</v>
      </c>
      <c r="BU182">
        <f>VLOOKUP(Table1[[#This Row],[Reference]],metron,9,FALSE)</f>
        <v>1.5628535554286829</v>
      </c>
      <c r="BV182">
        <f>VLOOKUP(Table1[[#This Row],[Reference]],metron,10,FALSE)</f>
        <v>2.5445607358071678</v>
      </c>
      <c r="BW182">
        <f>VLOOKUP(Table1[[#This Row],[Reference]],metron,11,FALSE)</f>
        <v>1.128766254360926</v>
      </c>
      <c r="BX182">
        <f>VLOOKUP(Table1[[#This Row],[Reference]],metron,12,FALSE)</f>
        <v>1.415794481446242</v>
      </c>
      <c r="BY182" s="6">
        <f>VLOOKUP(Table1[[#This Row],[Reference]],metron,13,FALSE)</f>
        <v>0.49635267998731369</v>
      </c>
      <c r="BZ182" s="6">
        <f>VLOOKUP(Table1[[#This Row],[Reference]],metron,14,FALSE)</f>
        <v>0.61084681255946716</v>
      </c>
      <c r="CA182" s="6">
        <f>VLOOKUP(Table1[[#This Row],[Reference]],metron,15,FALSE)</f>
        <v>11.04442036836403</v>
      </c>
      <c r="CB182" s="6">
        <f>VLOOKUP(Table1[[#This Row],[Reference]],metron,16,FALSE)</f>
        <v>11.38840736728061</v>
      </c>
      <c r="CC182" s="6">
        <f>VLOOKUP(Table1[[#This Row],[Reference]],metron,17,FALSE)</f>
        <v>4.5379574003276897</v>
      </c>
      <c r="CD182" s="6">
        <f>VLOOKUP(Table1[[#This Row],[Reference]],metron,18,FALSE)</f>
        <v>4.8481703986892413</v>
      </c>
      <c r="CE182" s="6">
        <f>VLOOKUP(Table1[[#This Row],[Reference]],metron,19,FALSE)</f>
        <v>6.5064629680363399</v>
      </c>
      <c r="CF182" s="6">
        <f>VLOOKUP(Table1[[#This Row],[Reference]],metron,20,FALSE)</f>
        <v>6.540236968591369</v>
      </c>
      <c r="CG182" s="6">
        <f>VLOOKUP(Table1[[#This Row],[Reference]],metron,21,FALSE)</f>
        <v>13.117582417582421</v>
      </c>
      <c r="CH182" s="6">
        <f>VLOOKUP(Table1[[#This Row],[Reference]],metron,22,FALSE)</f>
        <v>13.28241758241758</v>
      </c>
      <c r="CI182" s="6">
        <f>VLOOKUP(Table1[[#This Row],[Reference]],metron,23,FALSE)</f>
        <v>1.792592592592593</v>
      </c>
      <c r="CJ182" s="6">
        <f>VLOOKUP(Table1[[#This Row],[Reference]],metron,24,FALSE)</f>
        <v>1.806980433632998</v>
      </c>
      <c r="CK182" s="6">
        <f>VLOOKUP(Table1[[#This Row],[Reference]],metron,25,FALSE)</f>
        <v>0.1047065044949762</v>
      </c>
      <c r="CL182" s="6">
        <f>VLOOKUP(Table1[[#This Row],[Reference]],metron,26,FALSE)</f>
        <v>0.1073506081438392</v>
      </c>
    </row>
    <row r="183" spans="1:90" hidden="1" x14ac:dyDescent="0.45">
      <c r="A183" t="s">
        <v>695</v>
      </c>
      <c r="B183">
        <v>1642287600</v>
      </c>
      <c r="C183" s="23" t="s">
        <v>424</v>
      </c>
      <c r="D183" t="s">
        <v>65</v>
      </c>
      <c r="E183" t="s">
        <v>66</v>
      </c>
      <c r="F183" t="s">
        <v>97</v>
      </c>
      <c r="G183" t="s">
        <v>91</v>
      </c>
      <c r="H183" t="s">
        <v>175</v>
      </c>
      <c r="I183">
        <f>MROUND(Table1[[#This Row],[ProbH]]*100,2)/100</f>
        <v>0.56000000000000005</v>
      </c>
      <c r="J183">
        <f>1/Table1[[#This Row],[odds_ft_home_team_win]]-Table1[[#This Row],[Margin]]</f>
        <v>0.5518790849673203</v>
      </c>
      <c r="K183">
        <f>1/Table1[[#This Row],[odds_ft_draw]]-Table1[[#This Row],[Margin]]</f>
        <v>0.27614379084967317</v>
      </c>
      <c r="L183">
        <f>1/Table1[[#This Row],[odds_ft_away_team_win]]-Table1[[#This Row],[Margin]]</f>
        <v>0.17197712418300654</v>
      </c>
      <c r="M183">
        <v>2</v>
      </c>
      <c r="N183">
        <v>1.5</v>
      </c>
      <c r="O183">
        <v>1.4</v>
      </c>
      <c r="P183">
        <v>1.55</v>
      </c>
      <c r="Q183">
        <v>1.25</v>
      </c>
      <c r="R183" t="str" cm="1">
        <f t="array" ref="R1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64</v>
      </c>
      <c r="AA183">
        <v>6</v>
      </c>
      <c r="AB183">
        <v>2</v>
      </c>
      <c r="AC183">
        <v>3</v>
      </c>
      <c r="AD183">
        <v>0</v>
      </c>
      <c r="AE183">
        <v>2</v>
      </c>
      <c r="AF183">
        <v>0</v>
      </c>
      <c r="AG183">
        <v>1</v>
      </c>
      <c r="AH183">
        <v>2</v>
      </c>
      <c r="AI183">
        <v>1</v>
      </c>
      <c r="AJ183">
        <v>1</v>
      </c>
      <c r="AK183">
        <v>18</v>
      </c>
      <c r="AL183">
        <v>10</v>
      </c>
      <c r="AM183">
        <v>5</v>
      </c>
      <c r="AN183">
        <v>4</v>
      </c>
      <c r="AO183">
        <v>13</v>
      </c>
      <c r="AP183">
        <v>6</v>
      </c>
      <c r="AQ183">
        <v>16</v>
      </c>
      <c r="AR183">
        <v>10</v>
      </c>
      <c r="AS183">
        <v>48</v>
      </c>
      <c r="AT183">
        <v>52</v>
      </c>
      <c r="AU183">
        <v>1.92</v>
      </c>
      <c r="AV183">
        <v>1.19</v>
      </c>
      <c r="AW183">
        <v>1.76</v>
      </c>
      <c r="AX183">
        <v>34</v>
      </c>
      <c r="AY183">
        <v>55</v>
      </c>
      <c r="AZ183">
        <v>29</v>
      </c>
      <c r="BA183">
        <v>15</v>
      </c>
      <c r="BB183">
        <v>0</v>
      </c>
      <c r="BC183">
        <v>15</v>
      </c>
      <c r="BD183">
        <v>51</v>
      </c>
      <c r="BE183">
        <v>33</v>
      </c>
      <c r="BF183">
        <v>63</v>
      </c>
      <c r="BG183">
        <v>8.08</v>
      </c>
      <c r="BH183">
        <v>3.88</v>
      </c>
      <c r="BI183">
        <v>1.7</v>
      </c>
      <c r="BJ183">
        <v>3.2</v>
      </c>
      <c r="BK183">
        <v>4.8</v>
      </c>
      <c r="BL183">
        <f>(1/Table1[[#This Row],[odds_ft_home_team_win]]+1/Table1[[#This Row],[odds_ft_draw]]+1/Table1[[#This Row],[odds_ft_away_team_win]]-1)/3</f>
        <v>3.6356209150326814E-2</v>
      </c>
      <c r="BM183">
        <v>1.4</v>
      </c>
      <c r="BN183">
        <v>2.25</v>
      </c>
      <c r="BO183">
        <v>4.33</v>
      </c>
      <c r="BP183">
        <v>7.5</v>
      </c>
      <c r="BQ183">
        <v>2.15</v>
      </c>
      <c r="BR183">
        <v>1.66</v>
      </c>
      <c r="BS183" t="s">
        <v>136</v>
      </c>
      <c r="BT183">
        <f>VLOOKUP(Table1[[#This Row],[Reference]],metron,8,FALSE)</f>
        <v>1.9673156855724254</v>
      </c>
      <c r="BU183">
        <f>VLOOKUP(Table1[[#This Row],[Reference]],metron,9,FALSE)</f>
        <v>0.77729484582409181</v>
      </c>
      <c r="BV183">
        <f>VLOOKUP(Table1[[#This Row],[Reference]],metron,10,FALSE)</f>
        <v>2.6892488954344627</v>
      </c>
      <c r="BW183">
        <f>VLOOKUP(Table1[[#This Row],[Reference]],metron,11,FALSE)</f>
        <v>1.7546812539448771</v>
      </c>
      <c r="BX183">
        <f>VLOOKUP(Table1[[#This Row],[Reference]],metron,12,FALSE)</f>
        <v>0.93456764148958549</v>
      </c>
      <c r="BY183" s="6">
        <f>VLOOKUP(Table1[[#This Row],[Reference]],metron,13,FALSE)</f>
        <v>0.77824531874605507</v>
      </c>
      <c r="BZ183" s="6">
        <f>VLOOKUP(Table1[[#This Row],[Reference]],metron,14,FALSE)</f>
        <v>0.41237113402061848</v>
      </c>
      <c r="CA183" s="6">
        <f>VLOOKUP(Table1[[#This Row],[Reference]],metron,15,FALSE)</f>
        <v>13.77153558052435</v>
      </c>
      <c r="CB183" s="6">
        <f>VLOOKUP(Table1[[#This Row],[Reference]],metron,16,FALSE)</f>
        <v>9.0445692883895124</v>
      </c>
      <c r="CC183" s="6">
        <f>VLOOKUP(Table1[[#This Row],[Reference]],metron,17,FALSE)</f>
        <v>6.0821292775665396</v>
      </c>
      <c r="CD183" s="6">
        <f>VLOOKUP(Table1[[#This Row],[Reference]],metron,18,FALSE)</f>
        <v>3.8201520912547529</v>
      </c>
      <c r="CE183" s="6">
        <f>VLOOKUP(Table1[[#This Row],[Reference]],metron,19,FALSE)</f>
        <v>7.6894063029578108</v>
      </c>
      <c r="CF183" s="6">
        <f>VLOOKUP(Table1[[#This Row],[Reference]],metron,20,FALSE)</f>
        <v>5.224417197134759</v>
      </c>
      <c r="CG183" s="6">
        <f>VLOOKUP(Table1[[#This Row],[Reference]],metron,21,FALSE)</f>
        <v>12.297605473204101</v>
      </c>
      <c r="CH183" s="6">
        <f>VLOOKUP(Table1[[#This Row],[Reference]],metron,22,FALSE)</f>
        <v>13.310908399847969</v>
      </c>
      <c r="CI183" s="6">
        <f>VLOOKUP(Table1[[#This Row],[Reference]],metron,23,FALSE)</f>
        <v>1.3713126843657819</v>
      </c>
      <c r="CJ183" s="6">
        <f>VLOOKUP(Table1[[#This Row],[Reference]],metron,24,FALSE)</f>
        <v>1.9516961651917399</v>
      </c>
      <c r="CK183" s="6">
        <f>VLOOKUP(Table1[[#This Row],[Reference]],metron,25,FALSE)</f>
        <v>6.6002949852507375E-2</v>
      </c>
      <c r="CL183" s="6">
        <f>VLOOKUP(Table1[[#This Row],[Reference]],metron,26,FALSE)</f>
        <v>0.1297935103244838</v>
      </c>
    </row>
    <row r="184" spans="1:90" hidden="1" x14ac:dyDescent="0.45">
      <c r="A184" t="s">
        <v>695</v>
      </c>
      <c r="B184">
        <v>1642294800</v>
      </c>
      <c r="C184" s="23" t="s">
        <v>425</v>
      </c>
      <c r="D184" t="s">
        <v>65</v>
      </c>
      <c r="E184" t="s">
        <v>66</v>
      </c>
      <c r="F184" t="s">
        <v>107</v>
      </c>
      <c r="G184" t="s">
        <v>102</v>
      </c>
      <c r="H184" t="s">
        <v>98</v>
      </c>
      <c r="I184">
        <f>MROUND(Table1[[#This Row],[ProbH]]*100,2)/100</f>
        <v>0.56000000000000005</v>
      </c>
      <c r="J184">
        <f>1/Table1[[#This Row],[odds_ft_home_team_win]]-Table1[[#This Row],[Margin]]</f>
        <v>0.56883761522936782</v>
      </c>
      <c r="K184">
        <f>1/Table1[[#This Row],[odds_ft_draw]]-Table1[[#This Row],[Margin]]</f>
        <v>0.25137729776905038</v>
      </c>
      <c r="L184">
        <f>1/Table1[[#This Row],[odds_ft_away_team_win]]-Table1[[#This Row],[Margin]]</f>
        <v>0.17978508700158188</v>
      </c>
      <c r="M184">
        <v>2</v>
      </c>
      <c r="N184">
        <v>2.09</v>
      </c>
      <c r="O184">
        <v>1.33</v>
      </c>
      <c r="P184">
        <v>2</v>
      </c>
      <c r="Q184">
        <v>1.42</v>
      </c>
      <c r="R184" t="str" cm="1">
        <f t="array" ref="R1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84">
        <v>0</v>
      </c>
      <c r="T184">
        <v>2</v>
      </c>
      <c r="U184">
        <v>2</v>
      </c>
      <c r="V184">
        <v>2</v>
      </c>
      <c r="W184">
        <v>0</v>
      </c>
      <c r="X184">
        <v>2</v>
      </c>
      <c r="Z184" t="s">
        <v>426</v>
      </c>
      <c r="AA184">
        <v>19</v>
      </c>
      <c r="AB184">
        <v>1</v>
      </c>
      <c r="AC184">
        <v>0</v>
      </c>
      <c r="AD184">
        <v>0</v>
      </c>
      <c r="AE184">
        <v>4</v>
      </c>
      <c r="AF184">
        <v>0</v>
      </c>
      <c r="AG184">
        <v>0</v>
      </c>
      <c r="AH184">
        <v>0</v>
      </c>
      <c r="AI184">
        <v>1</v>
      </c>
      <c r="AJ184">
        <v>3</v>
      </c>
      <c r="AK184">
        <v>23</v>
      </c>
      <c r="AL184">
        <v>10</v>
      </c>
      <c r="AM184">
        <v>12</v>
      </c>
      <c r="AN184">
        <v>4</v>
      </c>
      <c r="AO184">
        <v>11</v>
      </c>
      <c r="AP184">
        <v>6</v>
      </c>
      <c r="AQ184">
        <v>16</v>
      </c>
      <c r="AR184">
        <v>19</v>
      </c>
      <c r="AS184">
        <v>69</v>
      </c>
      <c r="AT184">
        <v>31</v>
      </c>
      <c r="AU184">
        <v>2.69</v>
      </c>
      <c r="AV184">
        <v>1.01</v>
      </c>
      <c r="AW184">
        <v>1.98</v>
      </c>
      <c r="AX184">
        <v>39</v>
      </c>
      <c r="AY184">
        <v>76</v>
      </c>
      <c r="AZ184">
        <v>28</v>
      </c>
      <c r="BA184">
        <v>5</v>
      </c>
      <c r="BB184">
        <v>0</v>
      </c>
      <c r="BC184">
        <v>9</v>
      </c>
      <c r="BD184">
        <v>54</v>
      </c>
      <c r="BE184">
        <v>40</v>
      </c>
      <c r="BF184">
        <v>86</v>
      </c>
      <c r="BG184">
        <v>9.27</v>
      </c>
      <c r="BH184">
        <v>5.78</v>
      </c>
      <c r="BI184">
        <v>1.68</v>
      </c>
      <c r="BJ184">
        <v>3.6</v>
      </c>
      <c r="BK184">
        <v>4.8499999999999996</v>
      </c>
      <c r="BL184">
        <f>(1/Table1[[#This Row],[odds_ft_home_team_win]]+1/Table1[[#This Row],[odds_ft_draw]]+1/Table1[[#This Row],[odds_ft_away_team_win]]-1)/3</f>
        <v>2.6400480008727412E-2</v>
      </c>
      <c r="BM184">
        <v>1.38</v>
      </c>
      <c r="BN184">
        <v>2.15</v>
      </c>
      <c r="BO184">
        <v>4</v>
      </c>
      <c r="BP184">
        <v>7.5</v>
      </c>
      <c r="BQ184">
        <v>2.0499999999999998</v>
      </c>
      <c r="BR184">
        <v>1.72</v>
      </c>
      <c r="BS184" t="s">
        <v>161</v>
      </c>
      <c r="BT184">
        <f>VLOOKUP(Table1[[#This Row],[Reference]],metron,8,FALSE)</f>
        <v>1.9673156855724254</v>
      </c>
      <c r="BU184">
        <f>VLOOKUP(Table1[[#This Row],[Reference]],metron,9,FALSE)</f>
        <v>0.77729484582409181</v>
      </c>
      <c r="BV184">
        <f>VLOOKUP(Table1[[#This Row],[Reference]],metron,10,FALSE)</f>
        <v>2.6892488954344627</v>
      </c>
      <c r="BW184">
        <f>VLOOKUP(Table1[[#This Row],[Reference]],metron,11,FALSE)</f>
        <v>1.7546812539448771</v>
      </c>
      <c r="BX184">
        <f>VLOOKUP(Table1[[#This Row],[Reference]],metron,12,FALSE)</f>
        <v>0.93456764148958549</v>
      </c>
      <c r="BY184" s="6">
        <f>VLOOKUP(Table1[[#This Row],[Reference]],metron,13,FALSE)</f>
        <v>0.77824531874605507</v>
      </c>
      <c r="BZ184" s="6">
        <f>VLOOKUP(Table1[[#This Row],[Reference]],metron,14,FALSE)</f>
        <v>0.41237113402061848</v>
      </c>
      <c r="CA184" s="6">
        <f>VLOOKUP(Table1[[#This Row],[Reference]],metron,15,FALSE)</f>
        <v>13.77153558052435</v>
      </c>
      <c r="CB184" s="6">
        <f>VLOOKUP(Table1[[#This Row],[Reference]],metron,16,FALSE)</f>
        <v>9.0445692883895124</v>
      </c>
      <c r="CC184" s="6">
        <f>VLOOKUP(Table1[[#This Row],[Reference]],metron,17,FALSE)</f>
        <v>6.0821292775665396</v>
      </c>
      <c r="CD184" s="6">
        <f>VLOOKUP(Table1[[#This Row],[Reference]],metron,18,FALSE)</f>
        <v>3.8201520912547529</v>
      </c>
      <c r="CE184" s="6">
        <f>VLOOKUP(Table1[[#This Row],[Reference]],metron,19,FALSE)</f>
        <v>7.6894063029578108</v>
      </c>
      <c r="CF184" s="6">
        <f>VLOOKUP(Table1[[#This Row],[Reference]],metron,20,FALSE)</f>
        <v>5.224417197134759</v>
      </c>
      <c r="CG184" s="6">
        <f>VLOOKUP(Table1[[#This Row],[Reference]],metron,21,FALSE)</f>
        <v>12.297605473204101</v>
      </c>
      <c r="CH184" s="6">
        <f>VLOOKUP(Table1[[#This Row],[Reference]],metron,22,FALSE)</f>
        <v>13.310908399847969</v>
      </c>
      <c r="CI184" s="6">
        <f>VLOOKUP(Table1[[#This Row],[Reference]],metron,23,FALSE)</f>
        <v>1.3713126843657819</v>
      </c>
      <c r="CJ184" s="6">
        <f>VLOOKUP(Table1[[#This Row],[Reference]],metron,24,FALSE)</f>
        <v>1.9516961651917399</v>
      </c>
      <c r="CK184" s="6">
        <f>VLOOKUP(Table1[[#This Row],[Reference]],metron,25,FALSE)</f>
        <v>6.6002949852507375E-2</v>
      </c>
      <c r="CL184" s="6">
        <f>VLOOKUP(Table1[[#This Row],[Reference]],metron,26,FALSE)</f>
        <v>0.1297935103244838</v>
      </c>
    </row>
    <row r="185" spans="1:90" hidden="1" x14ac:dyDescent="0.45">
      <c r="A185" t="s">
        <v>695</v>
      </c>
      <c r="B185">
        <v>1642302000</v>
      </c>
      <c r="C185" s="23" t="s">
        <v>427</v>
      </c>
      <c r="D185" t="s">
        <v>65</v>
      </c>
      <c r="E185" t="s">
        <v>66</v>
      </c>
      <c r="F185" t="s">
        <v>112</v>
      </c>
      <c r="G185" t="s">
        <v>78</v>
      </c>
      <c r="H185" t="s">
        <v>165</v>
      </c>
      <c r="I185">
        <f>MROUND(Table1[[#This Row],[ProbH]]*100,2)/100</f>
        <v>0.57999999999999996</v>
      </c>
      <c r="J185">
        <f>1/Table1[[#This Row],[odds_ft_home_team_win]]-Table1[[#This Row],[Margin]]</f>
        <v>0.58690452332775223</v>
      </c>
      <c r="K185">
        <f>1/Table1[[#This Row],[odds_ft_draw]]-Table1[[#This Row],[Margin]]</f>
        <v>0.24738019355214078</v>
      </c>
      <c r="L185">
        <f>1/Table1[[#This Row],[odds_ft_away_team_win]]-Table1[[#This Row],[Margin]]</f>
        <v>0.16571528312010705</v>
      </c>
      <c r="M185">
        <v>2</v>
      </c>
      <c r="N185">
        <v>1.5</v>
      </c>
      <c r="O185">
        <v>0.56000000000000005</v>
      </c>
      <c r="P185">
        <v>1.25</v>
      </c>
      <c r="Q185">
        <v>0.71</v>
      </c>
      <c r="R185" t="str" cm="1">
        <f t="array" ref="R1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5</v>
      </c>
      <c r="AA185">
        <v>6</v>
      </c>
      <c r="AB185">
        <v>6</v>
      </c>
      <c r="AC185">
        <v>3</v>
      </c>
      <c r="AD185">
        <v>0</v>
      </c>
      <c r="AE185">
        <v>2</v>
      </c>
      <c r="AF185">
        <v>0</v>
      </c>
      <c r="AG185">
        <v>2</v>
      </c>
      <c r="AH185">
        <v>1</v>
      </c>
      <c r="AI185">
        <v>1</v>
      </c>
      <c r="AJ185">
        <v>1</v>
      </c>
      <c r="AK185">
        <v>12</v>
      </c>
      <c r="AL185">
        <v>12</v>
      </c>
      <c r="AM185">
        <v>4</v>
      </c>
      <c r="AN185">
        <v>3</v>
      </c>
      <c r="AO185">
        <v>8</v>
      </c>
      <c r="AP185">
        <v>9</v>
      </c>
      <c r="AQ185">
        <v>10</v>
      </c>
      <c r="AR185">
        <v>5</v>
      </c>
      <c r="AS185">
        <v>44</v>
      </c>
      <c r="AT185">
        <v>56</v>
      </c>
      <c r="AU185">
        <v>1.35</v>
      </c>
      <c r="AV185">
        <v>1.35</v>
      </c>
      <c r="AW185">
        <v>2.36</v>
      </c>
      <c r="AX185">
        <v>42</v>
      </c>
      <c r="AY185">
        <v>79</v>
      </c>
      <c r="AZ185">
        <v>32</v>
      </c>
      <c r="BA185">
        <v>21</v>
      </c>
      <c r="BB185">
        <v>5</v>
      </c>
      <c r="BC185">
        <v>26</v>
      </c>
      <c r="BD185">
        <v>67</v>
      </c>
      <c r="BE185">
        <v>43</v>
      </c>
      <c r="BF185">
        <v>90</v>
      </c>
      <c r="BG185">
        <v>7.09</v>
      </c>
      <c r="BH185">
        <v>4.21</v>
      </c>
      <c r="BI185">
        <v>1.63</v>
      </c>
      <c r="BJ185">
        <v>3.65</v>
      </c>
      <c r="BK185">
        <v>5.2</v>
      </c>
      <c r="BL185">
        <f>(1/Table1[[#This Row],[odds_ft_home_team_win]]+1/Table1[[#This Row],[odds_ft_draw]]+1/Table1[[#This Row],[odds_ft_away_team_win]]-1)/3</f>
        <v>2.6592409187585247E-2</v>
      </c>
      <c r="BM185">
        <v>1.36</v>
      </c>
      <c r="BN185">
        <v>1.87</v>
      </c>
      <c r="BO185">
        <v>3.75</v>
      </c>
      <c r="BP185">
        <v>7</v>
      </c>
      <c r="BQ185">
        <v>2.1</v>
      </c>
      <c r="BR185">
        <v>1.68</v>
      </c>
      <c r="BS185" t="s">
        <v>116</v>
      </c>
      <c r="BT185">
        <f>VLOOKUP(Table1[[#This Row],[Reference]],metron,8,FALSE)</f>
        <v>2.0230889143600308</v>
      </c>
      <c r="BU185">
        <f>VLOOKUP(Table1[[#This Row],[Reference]],metron,9,FALSE)</f>
        <v>0.72731480520165426</v>
      </c>
      <c r="BV185">
        <f>VLOOKUP(Table1[[#This Row],[Reference]],metron,10,FALSE)</f>
        <v>2.6362999299229148</v>
      </c>
      <c r="BW185">
        <f>VLOOKUP(Table1[[#This Row],[Reference]],metron,11,FALSE)</f>
        <v>1.7619715019855171</v>
      </c>
      <c r="BX185">
        <f>VLOOKUP(Table1[[#This Row],[Reference]],metron,12,FALSE)</f>
        <v>0.87432842793739785</v>
      </c>
      <c r="BY185" s="6">
        <f>VLOOKUP(Table1[[#This Row],[Reference]],metron,13,FALSE)</f>
        <v>0.78411214953271025</v>
      </c>
      <c r="BZ185" s="6">
        <f>VLOOKUP(Table1[[#This Row],[Reference]],metron,14,FALSE)</f>
        <v>0.38060747663551397</v>
      </c>
      <c r="CA185" s="6">
        <f>VLOOKUP(Table1[[#This Row],[Reference]],metron,15,FALSE)</f>
        <v>14.215499378367181</v>
      </c>
      <c r="CB185" s="6">
        <f>VLOOKUP(Table1[[#This Row],[Reference]],metron,16,FALSE)</f>
        <v>8.9523612261806136</v>
      </c>
      <c r="CC185" s="6">
        <f>VLOOKUP(Table1[[#This Row],[Reference]],metron,17,FALSE)</f>
        <v>6.3083121289228163</v>
      </c>
      <c r="CD185" s="6">
        <f>VLOOKUP(Table1[[#This Row],[Reference]],metron,18,FALSE)</f>
        <v>3.7757524374735061</v>
      </c>
      <c r="CE185" s="6">
        <f>VLOOKUP(Table1[[#This Row],[Reference]],metron,19,FALSE)</f>
        <v>7.9071872494443642</v>
      </c>
      <c r="CF185" s="6">
        <f>VLOOKUP(Table1[[#This Row],[Reference]],metron,20,FALSE)</f>
        <v>5.1766087887071075</v>
      </c>
      <c r="CG185" s="6">
        <f>VLOOKUP(Table1[[#This Row],[Reference]],metron,21,FALSE)</f>
        <v>12.634239592183521</v>
      </c>
      <c r="CH185" s="6">
        <f>VLOOKUP(Table1[[#This Row],[Reference]],metron,22,FALSE)</f>
        <v>13.597706032285471</v>
      </c>
      <c r="CI185" s="6">
        <f>VLOOKUP(Table1[[#This Row],[Reference]],metron,23,FALSE)</f>
        <v>1.365400161681487</v>
      </c>
      <c r="CJ185" s="6">
        <f>VLOOKUP(Table1[[#This Row],[Reference]],metron,24,FALSE)</f>
        <v>1.963621665319321</v>
      </c>
      <c r="CK185" s="6">
        <f>VLOOKUP(Table1[[#This Row],[Reference]],metron,25,FALSE)</f>
        <v>7.1544058205335492E-2</v>
      </c>
      <c r="CL185" s="6">
        <f>VLOOKUP(Table1[[#This Row],[Reference]],metron,26,FALSE)</f>
        <v>0.1216653193209378</v>
      </c>
    </row>
    <row r="186" spans="1:90" hidden="1" x14ac:dyDescent="0.45">
      <c r="A186" t="s">
        <v>695</v>
      </c>
      <c r="B186">
        <v>1642302360</v>
      </c>
      <c r="C186" s="23" t="s">
        <v>428</v>
      </c>
      <c r="D186" t="s">
        <v>65</v>
      </c>
      <c r="E186" t="s">
        <v>66</v>
      </c>
      <c r="F186" t="s">
        <v>106</v>
      </c>
      <c r="G186" t="s">
        <v>85</v>
      </c>
      <c r="H186" t="s">
        <v>103</v>
      </c>
      <c r="I186">
        <f>MROUND(Table1[[#This Row],[ProbH]]*100,2)/100</f>
        <v>0.32</v>
      </c>
      <c r="J186">
        <f>1/Table1[[#This Row],[odds_ft_home_team_win]]-Table1[[#This Row],[Margin]]</f>
        <v>0.321213296304111</v>
      </c>
      <c r="K186">
        <f>1/Table1[[#This Row],[odds_ft_draw]]-Table1[[#This Row],[Margin]]</f>
        <v>0.28047354824728982</v>
      </c>
      <c r="L186">
        <f>1/Table1[[#This Row],[odds_ft_away_team_win]]-Table1[[#This Row],[Margin]]</f>
        <v>0.39831315544859913</v>
      </c>
      <c r="M186">
        <v>2</v>
      </c>
      <c r="N186">
        <v>1.1100000000000001</v>
      </c>
      <c r="O186">
        <v>1.42</v>
      </c>
      <c r="P186">
        <v>1.35</v>
      </c>
      <c r="Q186">
        <v>1.4</v>
      </c>
      <c r="R186" t="str" cm="1">
        <f t="array" ref="R1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6">
        <v>1</v>
      </c>
      <c r="T186">
        <v>1</v>
      </c>
      <c r="U186">
        <v>2</v>
      </c>
      <c r="V186">
        <v>1</v>
      </c>
      <c r="W186">
        <v>0</v>
      </c>
      <c r="X186">
        <v>1</v>
      </c>
      <c r="Y186">
        <v>59</v>
      </c>
      <c r="Z186">
        <v>23</v>
      </c>
      <c r="AA186">
        <v>3</v>
      </c>
      <c r="AB186">
        <v>4</v>
      </c>
      <c r="AC186">
        <v>4</v>
      </c>
      <c r="AD186">
        <v>0</v>
      </c>
      <c r="AE186">
        <v>3</v>
      </c>
      <c r="AF186">
        <v>0</v>
      </c>
      <c r="AG186">
        <v>2</v>
      </c>
      <c r="AH186">
        <v>2</v>
      </c>
      <c r="AI186">
        <v>1</v>
      </c>
      <c r="AJ186">
        <v>2</v>
      </c>
      <c r="AK186">
        <v>23</v>
      </c>
      <c r="AL186">
        <v>8</v>
      </c>
      <c r="AM186">
        <v>10</v>
      </c>
      <c r="AN186">
        <v>2</v>
      </c>
      <c r="AO186">
        <v>13</v>
      </c>
      <c r="AP186">
        <v>6</v>
      </c>
      <c r="AQ186">
        <v>17</v>
      </c>
      <c r="AR186">
        <v>17</v>
      </c>
      <c r="AS186">
        <v>52</v>
      </c>
      <c r="AT186">
        <v>48</v>
      </c>
      <c r="AU186">
        <v>2.57</v>
      </c>
      <c r="AV186">
        <v>0.81</v>
      </c>
      <c r="AW186">
        <v>2.11</v>
      </c>
      <c r="AX186">
        <v>41</v>
      </c>
      <c r="AY186">
        <v>59</v>
      </c>
      <c r="AZ186">
        <v>43</v>
      </c>
      <c r="BA186">
        <v>20</v>
      </c>
      <c r="BB186">
        <v>6</v>
      </c>
      <c r="BC186">
        <v>20</v>
      </c>
      <c r="BD186">
        <v>68</v>
      </c>
      <c r="BE186">
        <v>29</v>
      </c>
      <c r="BF186">
        <v>67</v>
      </c>
      <c r="BG186">
        <v>9.73</v>
      </c>
      <c r="BH186">
        <v>4.67</v>
      </c>
      <c r="BI186">
        <v>2.87</v>
      </c>
      <c r="BJ186">
        <v>3.25</v>
      </c>
      <c r="BK186">
        <v>2.35</v>
      </c>
      <c r="BL186">
        <f>(1/Table1[[#This Row],[odds_ft_home_team_win]]+1/Table1[[#This Row],[odds_ft_draw]]+1/Table1[[#This Row],[odds_ft_away_team_win]]-1)/3</f>
        <v>2.7218759445017875E-2</v>
      </c>
      <c r="BM186">
        <v>1.38</v>
      </c>
      <c r="BN186">
        <v>2.2000000000000002</v>
      </c>
      <c r="BO186">
        <v>4</v>
      </c>
      <c r="BP186">
        <v>7.5</v>
      </c>
      <c r="BQ186">
        <v>1.9</v>
      </c>
      <c r="BR186">
        <v>1.83</v>
      </c>
      <c r="BS186" t="s">
        <v>110</v>
      </c>
      <c r="BT186">
        <f>VLOOKUP(Table1[[#This Row],[Reference]],metron,8,FALSE)</f>
        <v>1.274681051426811</v>
      </c>
      <c r="BU186">
        <f>VLOOKUP(Table1[[#This Row],[Reference]],metron,9,FALSE)</f>
        <v>1.4392482240810365</v>
      </c>
      <c r="BV186">
        <f>VLOOKUP(Table1[[#This Row],[Reference]],metron,10,FALSE)</f>
        <v>2.5313454284174597</v>
      </c>
      <c r="BW186">
        <f>VLOOKUP(Table1[[#This Row],[Reference]],metron,11,FALSE)</f>
        <v>1.210167055864918</v>
      </c>
      <c r="BX186">
        <f>VLOOKUP(Table1[[#This Row],[Reference]],metron,12,FALSE)</f>
        <v>1.3211783725525419</v>
      </c>
      <c r="BY186" s="6">
        <f>VLOOKUP(Table1[[#This Row],[Reference]],metron,13,FALSE)</f>
        <v>0.53135669362084459</v>
      </c>
      <c r="BZ186" s="6">
        <f>VLOOKUP(Table1[[#This Row],[Reference]],metron,14,FALSE)</f>
        <v>0.55633423180592989</v>
      </c>
      <c r="CA186" s="6">
        <f>VLOOKUP(Table1[[#This Row],[Reference]],metron,15,FALSE)</f>
        <v>11.21109010712035</v>
      </c>
      <c r="CB186" s="6">
        <f>VLOOKUP(Table1[[#This Row],[Reference]],metron,16,FALSE)</f>
        <v>11.01700787401575</v>
      </c>
      <c r="CC186" s="6">
        <f>VLOOKUP(Table1[[#This Row],[Reference]],metron,17,FALSE)</f>
        <v>4.6792332268370611</v>
      </c>
      <c r="CD186" s="6">
        <f>VLOOKUP(Table1[[#This Row],[Reference]],metron,18,FALSE)</f>
        <v>4.7080804854679013</v>
      </c>
      <c r="CE186" s="6">
        <f>VLOOKUP(Table1[[#This Row],[Reference]],metron,19,FALSE)</f>
        <v>6.5318568802832893</v>
      </c>
      <c r="CF186" s="6">
        <f>VLOOKUP(Table1[[#This Row],[Reference]],metron,20,FALSE)</f>
        <v>6.3089273885478487</v>
      </c>
      <c r="CG186" s="6">
        <f>VLOOKUP(Table1[[#This Row],[Reference]],metron,21,FALSE)</f>
        <v>12.72547770700637</v>
      </c>
      <c r="CH186" s="6">
        <f>VLOOKUP(Table1[[#This Row],[Reference]],metron,22,FALSE)</f>
        <v>13.06847133757962</v>
      </c>
      <c r="CI186" s="6">
        <f>VLOOKUP(Table1[[#This Row],[Reference]],metron,23,FALSE)</f>
        <v>1.6902356902356901</v>
      </c>
      <c r="CJ186" s="6">
        <f>VLOOKUP(Table1[[#This Row],[Reference]],metron,24,FALSE)</f>
        <v>1.8050198959289869</v>
      </c>
      <c r="CK186" s="6">
        <f>VLOOKUP(Table1[[#This Row],[Reference]],metron,25,FALSE)</f>
        <v>0.105907560453015</v>
      </c>
      <c r="CL186" s="6">
        <f>VLOOKUP(Table1[[#This Row],[Reference]],metron,26,FALSE)</f>
        <v>0.1141720232629324</v>
      </c>
    </row>
    <row r="187" spans="1:90" hidden="1" x14ac:dyDescent="0.45">
      <c r="A187" t="s">
        <v>695</v>
      </c>
      <c r="B187">
        <v>1642356000</v>
      </c>
      <c r="C187" s="23" t="s">
        <v>429</v>
      </c>
      <c r="D187" t="s">
        <v>65</v>
      </c>
      <c r="E187" t="s">
        <v>66</v>
      </c>
      <c r="F187" t="s">
        <v>79</v>
      </c>
      <c r="G187" t="s">
        <v>73</v>
      </c>
      <c r="H187" t="s">
        <v>158</v>
      </c>
      <c r="I187">
        <f>MROUND(Table1[[#This Row],[ProbH]]*100,2)/100</f>
        <v>0.36</v>
      </c>
      <c r="J187">
        <f>1/Table1[[#This Row],[odds_ft_home_team_win]]-Table1[[#This Row],[Margin]]</f>
        <v>0.36524661460907387</v>
      </c>
      <c r="K187">
        <f>1/Table1[[#This Row],[odds_ft_draw]]-Table1[[#This Row],[Margin]]</f>
        <v>0.29637244242364341</v>
      </c>
      <c r="L187">
        <f>1/Table1[[#This Row],[odds_ft_away_team_win]]-Table1[[#This Row],[Margin]]</f>
        <v>0.33838094296728277</v>
      </c>
      <c r="M187">
        <v>2</v>
      </c>
      <c r="N187">
        <v>1.44</v>
      </c>
      <c r="O187">
        <v>1.33</v>
      </c>
      <c r="P187">
        <v>1.17</v>
      </c>
      <c r="Q187">
        <v>1.1100000000000001</v>
      </c>
      <c r="R187" s="9" t="str" cm="1">
        <f t="array" ref="R1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7">
        <v>3</v>
      </c>
      <c r="T187">
        <v>1</v>
      </c>
      <c r="U187">
        <v>4</v>
      </c>
      <c r="V187">
        <v>2</v>
      </c>
      <c r="W187">
        <v>1</v>
      </c>
      <c r="X187">
        <v>1</v>
      </c>
      <c r="Y187" t="s">
        <v>430</v>
      </c>
      <c r="Z187">
        <v>22</v>
      </c>
      <c r="AA187">
        <v>2</v>
      </c>
      <c r="AB187">
        <v>8</v>
      </c>
      <c r="AC187">
        <v>4</v>
      </c>
      <c r="AD187">
        <v>0</v>
      </c>
      <c r="AE187">
        <v>1</v>
      </c>
      <c r="AF187">
        <v>0</v>
      </c>
      <c r="AG187">
        <v>2</v>
      </c>
      <c r="AH187">
        <v>2</v>
      </c>
      <c r="AI187">
        <v>0</v>
      </c>
      <c r="AJ187">
        <v>1</v>
      </c>
      <c r="AK187">
        <v>14</v>
      </c>
      <c r="AL187">
        <v>20</v>
      </c>
      <c r="AM187">
        <v>5</v>
      </c>
      <c r="AN187">
        <v>8</v>
      </c>
      <c r="AO187">
        <v>9</v>
      </c>
      <c r="AP187">
        <v>12</v>
      </c>
      <c r="AQ187">
        <v>15</v>
      </c>
      <c r="AR187">
        <v>9</v>
      </c>
      <c r="AS187">
        <v>51</v>
      </c>
      <c r="AT187">
        <v>49</v>
      </c>
      <c r="AU187">
        <v>1.44</v>
      </c>
      <c r="AV187">
        <v>2.16</v>
      </c>
      <c r="AW187">
        <v>2.73</v>
      </c>
      <c r="AX187">
        <v>78</v>
      </c>
      <c r="AY187">
        <v>89</v>
      </c>
      <c r="AZ187">
        <v>62</v>
      </c>
      <c r="BA187">
        <v>22</v>
      </c>
      <c r="BB187">
        <v>6</v>
      </c>
      <c r="BC187">
        <v>39</v>
      </c>
      <c r="BD187">
        <v>67</v>
      </c>
      <c r="BE187">
        <v>50</v>
      </c>
      <c r="BF187">
        <v>84</v>
      </c>
      <c r="BG187">
        <v>11.67</v>
      </c>
      <c r="BH187">
        <v>6.11</v>
      </c>
      <c r="BI187">
        <v>2.5</v>
      </c>
      <c r="BJ187">
        <v>3.02</v>
      </c>
      <c r="BK187">
        <v>2.68</v>
      </c>
      <c r="BL187">
        <f>(1/Table1[[#This Row],[odds_ft_home_team_win]]+1/Table1[[#This Row],[odds_ft_draw]]+1/Table1[[#This Row],[odds_ft_away_team_win]]-1)/3</f>
        <v>3.4753385390926171E-2</v>
      </c>
      <c r="BM187">
        <v>1.33</v>
      </c>
      <c r="BN187">
        <v>2.14</v>
      </c>
      <c r="BO187">
        <v>3.75</v>
      </c>
      <c r="BP187">
        <v>7</v>
      </c>
      <c r="BQ187">
        <v>1.8</v>
      </c>
      <c r="BR187">
        <v>1.95</v>
      </c>
      <c r="BS187" t="s">
        <v>140</v>
      </c>
      <c r="BT187">
        <f>VLOOKUP(Table1[[#This Row],[Reference]],metron,8,FALSE)</f>
        <v>1.4023864615972674</v>
      </c>
      <c r="BU187">
        <f>VLOOKUP(Table1[[#This Row],[Reference]],metron,9,FALSE)</f>
        <v>1.3093265904245279</v>
      </c>
      <c r="BV187">
        <f>VLOOKUP(Table1[[#This Row],[Reference]],metron,10,FALSE)</f>
        <v>2.5110350525197691</v>
      </c>
      <c r="BW187">
        <f>VLOOKUP(Table1[[#This Row],[Reference]],metron,11,FALSE)</f>
        <v>1.269326094653606</v>
      </c>
      <c r="BX187">
        <f>VLOOKUP(Table1[[#This Row],[Reference]],metron,12,FALSE)</f>
        <v>1.2417089578661631</v>
      </c>
      <c r="BY187" s="6">
        <f>VLOOKUP(Table1[[#This Row],[Reference]],metron,13,FALSE)</f>
        <v>0.56586402266288949</v>
      </c>
      <c r="BZ187" s="6">
        <f>VLOOKUP(Table1[[#This Row],[Reference]],metron,14,FALSE)</f>
        <v>0.55158168083097259</v>
      </c>
      <c r="CA187" s="6">
        <f>VLOOKUP(Table1[[#This Row],[Reference]],metron,15,FALSE)</f>
        <v>11.49400826446281</v>
      </c>
      <c r="CB187" s="6">
        <f>VLOOKUP(Table1[[#This Row],[Reference]],metron,16,FALSE)</f>
        <v>10.507231404958681</v>
      </c>
      <c r="CC187" s="6">
        <f>VLOOKUP(Table1[[#This Row],[Reference]],metron,17,FALSE)</f>
        <v>4.9238790406673623</v>
      </c>
      <c r="CD187" s="6">
        <f>VLOOKUP(Table1[[#This Row],[Reference]],metron,18,FALSE)</f>
        <v>4.6296141814389991</v>
      </c>
      <c r="CE187" s="6">
        <f>VLOOKUP(Table1[[#This Row],[Reference]],metron,19,FALSE)</f>
        <v>6.5701292237954476</v>
      </c>
      <c r="CF187" s="6">
        <f>VLOOKUP(Table1[[#This Row],[Reference]],metron,20,FALSE)</f>
        <v>5.8776172235196817</v>
      </c>
      <c r="CG187" s="6">
        <f>VLOOKUP(Table1[[#This Row],[Reference]],metron,21,FALSE)</f>
        <v>12.798739495798319</v>
      </c>
      <c r="CH187" s="6">
        <f>VLOOKUP(Table1[[#This Row],[Reference]],metron,22,FALSE)</f>
        <v>12.98844537815126</v>
      </c>
      <c r="CI187" s="6">
        <f>VLOOKUP(Table1[[#This Row],[Reference]],metron,23,FALSE)</f>
        <v>1.604928297313674</v>
      </c>
      <c r="CJ187" s="6">
        <f>VLOOKUP(Table1[[#This Row],[Reference]],metron,24,FALSE)</f>
        <v>1.791961219955565</v>
      </c>
      <c r="CK187" s="6">
        <f>VLOOKUP(Table1[[#This Row],[Reference]],metron,25,FALSE)</f>
        <v>8.887093516461321E-2</v>
      </c>
      <c r="CL187" s="6">
        <f>VLOOKUP(Table1[[#This Row],[Reference]],metron,26,FALSE)</f>
        <v>0.11694607150070691</v>
      </c>
    </row>
    <row r="188" spans="1:90" hidden="1" x14ac:dyDescent="0.45">
      <c r="A188" t="s">
        <v>695</v>
      </c>
      <c r="B188">
        <v>1642374000</v>
      </c>
      <c r="C188" s="23" t="s">
        <v>431</v>
      </c>
      <c r="D188" t="s">
        <v>65</v>
      </c>
      <c r="E188" t="s">
        <v>66</v>
      </c>
      <c r="F188" t="s">
        <v>84</v>
      </c>
      <c r="G188" t="s">
        <v>90</v>
      </c>
      <c r="H188" t="s">
        <v>133</v>
      </c>
      <c r="I188">
        <f>MROUND(Table1[[#This Row],[ProbH]]*100,2)/100</f>
        <v>0.44</v>
      </c>
      <c r="J188">
        <f>1/Table1[[#This Row],[odds_ft_home_team_win]]-Table1[[#This Row],[Margin]]</f>
        <v>0.44108278916538496</v>
      </c>
      <c r="K188">
        <f>1/Table1[[#This Row],[odds_ft_draw]]-Table1[[#This Row],[Margin]]</f>
        <v>0.28581213389472976</v>
      </c>
      <c r="L188">
        <f>1/Table1[[#This Row],[odds_ft_away_team_win]]-Table1[[#This Row],[Margin]]</f>
        <v>0.27310507693988517</v>
      </c>
      <c r="M188">
        <v>2</v>
      </c>
      <c r="N188">
        <v>1.22</v>
      </c>
      <c r="O188">
        <v>1.2</v>
      </c>
      <c r="P188">
        <v>1.89</v>
      </c>
      <c r="Q188">
        <v>1.32</v>
      </c>
      <c r="R188" t="str" cm="1">
        <f t="array" ref="R1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8">
        <v>2</v>
      </c>
      <c r="T188">
        <v>1</v>
      </c>
      <c r="U188">
        <v>3</v>
      </c>
      <c r="V188">
        <v>2</v>
      </c>
      <c r="W188">
        <v>2</v>
      </c>
      <c r="X188">
        <v>0</v>
      </c>
      <c r="Y188" t="s">
        <v>432</v>
      </c>
      <c r="Z188">
        <v>53</v>
      </c>
      <c r="AA188">
        <v>4</v>
      </c>
      <c r="AB188">
        <v>3</v>
      </c>
      <c r="AC188">
        <v>2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17</v>
      </c>
      <c r="AL188">
        <v>11</v>
      </c>
      <c r="AM188">
        <v>7</v>
      </c>
      <c r="AN188">
        <v>2</v>
      </c>
      <c r="AO188">
        <v>10</v>
      </c>
      <c r="AP188">
        <v>9</v>
      </c>
      <c r="AQ188">
        <v>11</v>
      </c>
      <c r="AR188">
        <v>14</v>
      </c>
      <c r="AS188">
        <v>41</v>
      </c>
      <c r="AT188">
        <v>59</v>
      </c>
      <c r="AU188">
        <v>1.86</v>
      </c>
      <c r="AV188">
        <v>0.99</v>
      </c>
      <c r="AW188">
        <v>1.5</v>
      </c>
      <c r="AX188">
        <v>38</v>
      </c>
      <c r="AY188">
        <v>49</v>
      </c>
      <c r="AZ188">
        <v>21</v>
      </c>
      <c r="BA188">
        <v>11</v>
      </c>
      <c r="BB188">
        <v>0</v>
      </c>
      <c r="BC188">
        <v>16</v>
      </c>
      <c r="BD188">
        <v>44</v>
      </c>
      <c r="BE188">
        <v>26</v>
      </c>
      <c r="BF188">
        <v>53</v>
      </c>
      <c r="BG188">
        <v>10.06</v>
      </c>
      <c r="BH188">
        <v>5.0199999999999996</v>
      </c>
      <c r="BI188">
        <v>2.16</v>
      </c>
      <c r="BJ188">
        <v>3.25</v>
      </c>
      <c r="BK188">
        <v>3.39</v>
      </c>
      <c r="BL188">
        <f>(1/Table1[[#This Row],[odds_ft_home_team_win]]+1/Table1[[#This Row],[odds_ft_draw]]+1/Table1[[#This Row],[odds_ft_away_team_win]]-1)/3</f>
        <v>2.1880173797577934E-2</v>
      </c>
      <c r="BM188">
        <v>1.45</v>
      </c>
      <c r="BN188">
        <v>2.2000000000000002</v>
      </c>
      <c r="BO188">
        <v>4.5</v>
      </c>
      <c r="BP188">
        <v>7.5</v>
      </c>
      <c r="BQ188">
        <v>2.1</v>
      </c>
      <c r="BR188">
        <v>1.67</v>
      </c>
      <c r="BS188" t="s">
        <v>88</v>
      </c>
      <c r="BT188">
        <f>VLOOKUP(Table1[[#This Row],[Reference]],metron,8,FALSE)</f>
        <v>1.6395459745305552</v>
      </c>
      <c r="BU188">
        <f>VLOOKUP(Table1[[#This Row],[Reference]],metron,9,FALSE)</f>
        <v>1.0758429359324786</v>
      </c>
      <c r="BV188">
        <f>VLOOKUP(Table1[[#This Row],[Reference]],metron,10,FALSE)</f>
        <v>2.4807646356033461</v>
      </c>
      <c r="BW188">
        <f>VLOOKUP(Table1[[#This Row],[Reference]],metron,11,FALSE)</f>
        <v>1.4140979689366791</v>
      </c>
      <c r="BX188">
        <f>VLOOKUP(Table1[[#This Row],[Reference]],metron,12,FALSE)</f>
        <v>1.0666666666666671</v>
      </c>
      <c r="BY188" s="6">
        <f>VLOOKUP(Table1[[#This Row],[Reference]],metron,13,FALSE)</f>
        <v>0.62712066905615294</v>
      </c>
      <c r="BZ188" s="6">
        <f>VLOOKUP(Table1[[#This Row],[Reference]],metron,14,FALSE)</f>
        <v>0.46009557945041818</v>
      </c>
      <c r="CA188" s="6">
        <f>VLOOKUP(Table1[[#This Row],[Reference]],metron,15,FALSE)</f>
        <v>12.56969280146722</v>
      </c>
      <c r="CB188" s="6">
        <f>VLOOKUP(Table1[[#This Row],[Reference]],metron,16,FALSE)</f>
        <v>9.8695552498853729</v>
      </c>
      <c r="CC188" s="6">
        <f>VLOOKUP(Table1[[#This Row],[Reference]],metron,17,FALSE)</f>
        <v>5.2754256787850897</v>
      </c>
      <c r="CD188" s="6">
        <f>VLOOKUP(Table1[[#This Row],[Reference]],metron,18,FALSE)</f>
        <v>4.1279337321675103</v>
      </c>
      <c r="CE188" s="6">
        <f>VLOOKUP(Table1[[#This Row],[Reference]],metron,19,FALSE)</f>
        <v>7.2942671226821298</v>
      </c>
      <c r="CF188" s="6">
        <f>VLOOKUP(Table1[[#This Row],[Reference]],metron,20,FALSE)</f>
        <v>5.7416215177178627</v>
      </c>
      <c r="CG188" s="6">
        <f>VLOOKUP(Table1[[#This Row],[Reference]],metron,21,FALSE)</f>
        <v>12.897246007868549</v>
      </c>
      <c r="CH188" s="6">
        <f>VLOOKUP(Table1[[#This Row],[Reference]],metron,22,FALSE)</f>
        <v>13.507058551261281</v>
      </c>
      <c r="CI188" s="6">
        <f>VLOOKUP(Table1[[#This Row],[Reference]],metron,23,FALSE)</f>
        <v>1.576522702104098</v>
      </c>
      <c r="CJ188" s="6">
        <f>VLOOKUP(Table1[[#This Row],[Reference]],metron,24,FALSE)</f>
        <v>1.917165005537099</v>
      </c>
      <c r="CK188" s="6">
        <f>VLOOKUP(Table1[[#This Row],[Reference]],metron,25,FALSE)</f>
        <v>8.4385382059800659E-2</v>
      </c>
      <c r="CL188" s="6">
        <f>VLOOKUP(Table1[[#This Row],[Reference]],metron,26,FALSE)</f>
        <v>0.1233665559246955</v>
      </c>
    </row>
    <row r="189" spans="1:90" hidden="1" x14ac:dyDescent="0.45">
      <c r="A189" t="s">
        <v>695</v>
      </c>
      <c r="B189">
        <v>1642647600</v>
      </c>
      <c r="C189" s="23" t="s">
        <v>433</v>
      </c>
      <c r="D189" t="s">
        <v>65</v>
      </c>
      <c r="E189" t="s">
        <v>66</v>
      </c>
      <c r="F189" t="s">
        <v>85</v>
      </c>
      <c r="G189" t="s">
        <v>97</v>
      </c>
      <c r="H189" t="s">
        <v>130</v>
      </c>
      <c r="I189">
        <f>MROUND(Table1[[#This Row],[ProbH]]*100,2)/100</f>
        <v>0.42</v>
      </c>
      <c r="J189">
        <f>1/Table1[[#This Row],[odds_ft_home_team_win]]-Table1[[#This Row],[Margin]]</f>
        <v>0.42129629629629628</v>
      </c>
      <c r="K189">
        <f>1/Table1[[#This Row],[odds_ft_draw]]-Table1[[#This Row],[Margin]]</f>
        <v>0.28935185185185186</v>
      </c>
      <c r="L189">
        <f>1/Table1[[#This Row],[odds_ft_away_team_win]]-Table1[[#This Row],[Margin]]</f>
        <v>0.28935185185185186</v>
      </c>
      <c r="M189">
        <v>1</v>
      </c>
      <c r="N189">
        <v>1.91</v>
      </c>
      <c r="O189">
        <v>1.73</v>
      </c>
      <c r="P189">
        <v>1.55</v>
      </c>
      <c r="Q189">
        <v>1.68</v>
      </c>
      <c r="R189" t="str" cm="1">
        <f t="array" ref="R1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9">
        <v>1</v>
      </c>
      <c r="T189">
        <v>1</v>
      </c>
      <c r="U189">
        <v>2</v>
      </c>
      <c r="V189">
        <v>1</v>
      </c>
      <c r="W189">
        <v>1</v>
      </c>
      <c r="X189">
        <v>0</v>
      </c>
      <c r="Y189">
        <v>22</v>
      </c>
      <c r="Z189">
        <v>50</v>
      </c>
      <c r="AA189">
        <v>4</v>
      </c>
      <c r="AB189">
        <v>3</v>
      </c>
      <c r="AC189">
        <v>5</v>
      </c>
      <c r="AD189">
        <v>0</v>
      </c>
      <c r="AE189">
        <v>3</v>
      </c>
      <c r="AF189">
        <v>0</v>
      </c>
      <c r="AG189">
        <v>3</v>
      </c>
      <c r="AH189">
        <v>2</v>
      </c>
      <c r="AI189">
        <v>1</v>
      </c>
      <c r="AJ189">
        <v>2</v>
      </c>
      <c r="AK189">
        <v>10</v>
      </c>
      <c r="AL189">
        <v>6</v>
      </c>
      <c r="AM189">
        <v>5</v>
      </c>
      <c r="AN189">
        <v>4</v>
      </c>
      <c r="AO189">
        <v>5</v>
      </c>
      <c r="AP189">
        <v>2</v>
      </c>
      <c r="AQ189">
        <v>17</v>
      </c>
      <c r="AR189">
        <v>18</v>
      </c>
      <c r="AS189">
        <v>59</v>
      </c>
      <c r="AT189">
        <v>41</v>
      </c>
      <c r="AU189">
        <v>1.29</v>
      </c>
      <c r="AV189">
        <v>1.06</v>
      </c>
      <c r="AW189">
        <v>2.3199999999999998</v>
      </c>
      <c r="AX189">
        <v>46</v>
      </c>
      <c r="AY189">
        <v>64</v>
      </c>
      <c r="AZ189">
        <v>41</v>
      </c>
      <c r="BA189">
        <v>14</v>
      </c>
      <c r="BB189">
        <v>14</v>
      </c>
      <c r="BC189">
        <v>27</v>
      </c>
      <c r="BD189">
        <v>82</v>
      </c>
      <c r="BE189">
        <v>32</v>
      </c>
      <c r="BF189">
        <v>64</v>
      </c>
      <c r="BG189">
        <v>10.28</v>
      </c>
      <c r="BH189">
        <v>4.09</v>
      </c>
      <c r="BI189">
        <v>2.25</v>
      </c>
      <c r="BJ189">
        <v>3.2</v>
      </c>
      <c r="BK189">
        <v>3.2</v>
      </c>
      <c r="BL189">
        <f>(1/Table1[[#This Row],[odds_ft_home_team_win]]+1/Table1[[#This Row],[odds_ft_draw]]+1/Table1[[#This Row],[odds_ft_away_team_win]]-1)/3</f>
        <v>2.314814814814814E-2</v>
      </c>
      <c r="BM189">
        <v>1.42</v>
      </c>
      <c r="BN189">
        <v>2.33</v>
      </c>
      <c r="BO189">
        <v>4.2</v>
      </c>
      <c r="BP189">
        <v>8.1</v>
      </c>
      <c r="BQ189">
        <v>1.91</v>
      </c>
      <c r="BR189">
        <v>1.8</v>
      </c>
      <c r="BS189" t="s">
        <v>128</v>
      </c>
      <c r="BT189">
        <f>VLOOKUP(Table1[[#This Row],[Reference]],metron,8,FALSE)</f>
        <v>1.5780106027030405</v>
      </c>
      <c r="BU189">
        <f>VLOOKUP(Table1[[#This Row],[Reference]],metron,9,FALSE)</f>
        <v>1.1353025412447635</v>
      </c>
      <c r="BV189">
        <f>VLOOKUP(Table1[[#This Row],[Reference]],metron,10,FALSE)</f>
        <v>2.4884649511978703</v>
      </c>
      <c r="BW189">
        <f>VLOOKUP(Table1[[#This Row],[Reference]],metron,11,FALSE)</f>
        <v>1.396960958296362</v>
      </c>
      <c r="BX189">
        <f>VLOOKUP(Table1[[#This Row],[Reference]],metron,12,FALSE)</f>
        <v>1.091503992901508</v>
      </c>
      <c r="BY189" s="6">
        <f>VLOOKUP(Table1[[#This Row],[Reference]],metron,13,FALSE)</f>
        <v>0.60765391014975045</v>
      </c>
      <c r="BZ189" s="6">
        <f>VLOOKUP(Table1[[#This Row],[Reference]],metron,14,FALSE)</f>
        <v>0.47276760953965608</v>
      </c>
      <c r="CA189" s="6">
        <f>VLOOKUP(Table1[[#This Row],[Reference]],metron,15,FALSE)</f>
        <v>12.29504785684561</v>
      </c>
      <c r="CB189" s="6">
        <f>VLOOKUP(Table1[[#This Row],[Reference]],metron,16,FALSE)</f>
        <v>10.047232625884311</v>
      </c>
      <c r="CC189" s="6">
        <f>VLOOKUP(Table1[[#This Row],[Reference]],metron,17,FALSE)</f>
        <v>5.2917192097519967</v>
      </c>
      <c r="CD189" s="6">
        <f>VLOOKUP(Table1[[#This Row],[Reference]],metron,18,FALSE)</f>
        <v>4.2580916351408158</v>
      </c>
      <c r="CE189" s="6">
        <f>VLOOKUP(Table1[[#This Row],[Reference]],metron,19,FALSE)</f>
        <v>7.0033286470936131</v>
      </c>
      <c r="CF189" s="6">
        <f>VLOOKUP(Table1[[#This Row],[Reference]],metron,20,FALSE)</f>
        <v>5.789140990743495</v>
      </c>
      <c r="CG189" s="6">
        <f>VLOOKUP(Table1[[#This Row],[Reference]],metron,21,FALSE)</f>
        <v>12.77041895895049</v>
      </c>
      <c r="CH189" s="6">
        <f>VLOOKUP(Table1[[#This Row],[Reference]],metron,22,FALSE)</f>
        <v>13.411129919593741</v>
      </c>
      <c r="CI189" s="6">
        <f>VLOOKUP(Table1[[#This Row],[Reference]],metron,23,FALSE)</f>
        <v>1.556141062018646</v>
      </c>
      <c r="CJ189" s="6">
        <f>VLOOKUP(Table1[[#This Row],[Reference]],metron,24,FALSE)</f>
        <v>1.9114308877178761</v>
      </c>
      <c r="CK189" s="6">
        <f>VLOOKUP(Table1[[#This Row],[Reference]],metron,25,FALSE)</f>
        <v>8.4920956627482766E-2</v>
      </c>
      <c r="CL189" s="6">
        <f>VLOOKUP(Table1[[#This Row],[Reference]],metron,26,FALSE)</f>
        <v>0.1323469801378192</v>
      </c>
    </row>
    <row r="190" spans="1:90" hidden="1" x14ac:dyDescent="0.45">
      <c r="A190" t="s">
        <v>695</v>
      </c>
      <c r="B190">
        <v>1642734000</v>
      </c>
      <c r="C190" s="23" t="s">
        <v>434</v>
      </c>
      <c r="D190" t="s">
        <v>65</v>
      </c>
      <c r="E190" t="s">
        <v>66</v>
      </c>
      <c r="F190" t="s">
        <v>91</v>
      </c>
      <c r="G190" t="s">
        <v>78</v>
      </c>
      <c r="H190" t="s">
        <v>215</v>
      </c>
      <c r="I190">
        <f>MROUND(Table1[[#This Row],[ProbH]]*100,2)/100</f>
        <v>0.42</v>
      </c>
      <c r="J190">
        <f>1/Table1[[#This Row],[odds_ft_home_team_win]]-Table1[[#This Row],[Margin]]</f>
        <v>0.41495738552257161</v>
      </c>
      <c r="K190">
        <f>1/Table1[[#This Row],[odds_ft_draw]]-Table1[[#This Row],[Margin]]</f>
        <v>0.26621596675826953</v>
      </c>
      <c r="L190">
        <f>1/Table1[[#This Row],[odds_ft_away_team_win]]-Table1[[#This Row],[Margin]]</f>
        <v>0.31882664771915892</v>
      </c>
      <c r="M190">
        <v>3</v>
      </c>
      <c r="N190">
        <v>0.67</v>
      </c>
      <c r="O190">
        <v>0.5</v>
      </c>
      <c r="P190">
        <v>1.1100000000000001</v>
      </c>
      <c r="Q190">
        <v>0.71</v>
      </c>
      <c r="R190" t="str" cm="1">
        <f t="array" ref="R1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Z190">
        <v>82</v>
      </c>
      <c r="AA190">
        <v>5</v>
      </c>
      <c r="AB190">
        <v>4</v>
      </c>
      <c r="AC190">
        <v>3</v>
      </c>
      <c r="AD190">
        <v>1</v>
      </c>
      <c r="AE190">
        <v>3</v>
      </c>
      <c r="AF190">
        <v>0</v>
      </c>
      <c r="AG190">
        <v>3</v>
      </c>
      <c r="AH190">
        <v>1</v>
      </c>
      <c r="AI190">
        <v>0</v>
      </c>
      <c r="AJ190">
        <v>3</v>
      </c>
      <c r="AK190">
        <v>13</v>
      </c>
      <c r="AL190">
        <v>19</v>
      </c>
      <c r="AM190">
        <v>2</v>
      </c>
      <c r="AN190">
        <v>4</v>
      </c>
      <c r="AO190">
        <v>11</v>
      </c>
      <c r="AP190">
        <v>15</v>
      </c>
      <c r="AQ190">
        <v>16</v>
      </c>
      <c r="AR190">
        <v>10</v>
      </c>
      <c r="AS190">
        <v>40</v>
      </c>
      <c r="AT190">
        <v>60</v>
      </c>
      <c r="AU190">
        <v>1.21</v>
      </c>
      <c r="AV190">
        <v>1.82</v>
      </c>
      <c r="AW190">
        <v>2.44</v>
      </c>
      <c r="AX190">
        <v>37</v>
      </c>
      <c r="AY190">
        <v>69</v>
      </c>
      <c r="AZ190">
        <v>32</v>
      </c>
      <c r="BA190">
        <v>21</v>
      </c>
      <c r="BB190">
        <v>11</v>
      </c>
      <c r="BC190">
        <v>21</v>
      </c>
      <c r="BD190">
        <v>59</v>
      </c>
      <c r="BE190">
        <v>42</v>
      </c>
      <c r="BF190">
        <v>90</v>
      </c>
      <c r="BG190">
        <v>7.64</v>
      </c>
      <c r="BH190">
        <v>4.54</v>
      </c>
      <c r="BI190">
        <v>2.2799999999999998</v>
      </c>
      <c r="BJ190">
        <v>3.45</v>
      </c>
      <c r="BK190">
        <v>2.92</v>
      </c>
      <c r="BL190">
        <f>(1/Table1[[#This Row],[odds_ft_home_team_win]]+1/Table1[[#This Row],[odds_ft_draw]]+1/Table1[[#This Row],[odds_ft_away_team_win]]-1)/3</f>
        <v>2.3639105705498615E-2</v>
      </c>
      <c r="BM190">
        <v>1.42</v>
      </c>
      <c r="BN190">
        <v>2.19</v>
      </c>
      <c r="BO190">
        <v>4.5</v>
      </c>
      <c r="BP190">
        <v>7.5</v>
      </c>
      <c r="BQ190">
        <v>2</v>
      </c>
      <c r="BR190">
        <v>1.73</v>
      </c>
      <c r="BS190" t="s">
        <v>144</v>
      </c>
      <c r="BT190">
        <f>VLOOKUP(Table1[[#This Row],[Reference]],metron,8,FALSE)</f>
        <v>1.5780106027030405</v>
      </c>
      <c r="BU190">
        <f>VLOOKUP(Table1[[#This Row],[Reference]],metron,9,FALSE)</f>
        <v>1.1353025412447635</v>
      </c>
      <c r="BV190">
        <f>VLOOKUP(Table1[[#This Row],[Reference]],metron,10,FALSE)</f>
        <v>2.4884649511978703</v>
      </c>
      <c r="BW190">
        <f>VLOOKUP(Table1[[#This Row],[Reference]],metron,11,FALSE)</f>
        <v>1.396960958296362</v>
      </c>
      <c r="BX190">
        <f>VLOOKUP(Table1[[#This Row],[Reference]],metron,12,FALSE)</f>
        <v>1.091503992901508</v>
      </c>
      <c r="BY190" s="6">
        <f>VLOOKUP(Table1[[#This Row],[Reference]],metron,13,FALSE)</f>
        <v>0.60765391014975045</v>
      </c>
      <c r="BZ190" s="6">
        <f>VLOOKUP(Table1[[#This Row],[Reference]],metron,14,FALSE)</f>
        <v>0.47276760953965608</v>
      </c>
      <c r="CA190" s="6">
        <f>VLOOKUP(Table1[[#This Row],[Reference]],metron,15,FALSE)</f>
        <v>12.29504785684561</v>
      </c>
      <c r="CB190" s="6">
        <f>VLOOKUP(Table1[[#This Row],[Reference]],metron,16,FALSE)</f>
        <v>10.047232625884311</v>
      </c>
      <c r="CC190" s="6">
        <f>VLOOKUP(Table1[[#This Row],[Reference]],metron,17,FALSE)</f>
        <v>5.2917192097519967</v>
      </c>
      <c r="CD190" s="6">
        <f>VLOOKUP(Table1[[#This Row],[Reference]],metron,18,FALSE)</f>
        <v>4.2580916351408158</v>
      </c>
      <c r="CE190" s="6">
        <f>VLOOKUP(Table1[[#This Row],[Reference]],metron,19,FALSE)</f>
        <v>7.0033286470936131</v>
      </c>
      <c r="CF190" s="6">
        <f>VLOOKUP(Table1[[#This Row],[Reference]],metron,20,FALSE)</f>
        <v>5.789140990743495</v>
      </c>
      <c r="CG190" s="6">
        <f>VLOOKUP(Table1[[#This Row],[Reference]],metron,21,FALSE)</f>
        <v>12.77041895895049</v>
      </c>
      <c r="CH190" s="6">
        <f>VLOOKUP(Table1[[#This Row],[Reference]],metron,22,FALSE)</f>
        <v>13.411129919593741</v>
      </c>
      <c r="CI190" s="6">
        <f>VLOOKUP(Table1[[#This Row],[Reference]],metron,23,FALSE)</f>
        <v>1.556141062018646</v>
      </c>
      <c r="CJ190" s="6">
        <f>VLOOKUP(Table1[[#This Row],[Reference]],metron,24,FALSE)</f>
        <v>1.9114308877178761</v>
      </c>
      <c r="CK190" s="6">
        <f>VLOOKUP(Table1[[#This Row],[Reference]],metron,25,FALSE)</f>
        <v>8.4920956627482766E-2</v>
      </c>
      <c r="CL190" s="6">
        <f>VLOOKUP(Table1[[#This Row],[Reference]],metron,26,FALSE)</f>
        <v>0.1323469801378192</v>
      </c>
    </row>
    <row r="191" spans="1:90" hidden="1" x14ac:dyDescent="0.45">
      <c r="A191" t="s">
        <v>695</v>
      </c>
      <c r="B191">
        <v>1642820400</v>
      </c>
      <c r="C191" s="23" t="s">
        <v>435</v>
      </c>
      <c r="D191" t="s">
        <v>65</v>
      </c>
      <c r="E191" t="s">
        <v>66</v>
      </c>
      <c r="F191" t="s">
        <v>113</v>
      </c>
      <c r="G191" t="s">
        <v>79</v>
      </c>
      <c r="H191" t="s">
        <v>108</v>
      </c>
      <c r="I191">
        <f>MROUND(Table1[[#This Row],[ProbH]]*100,2)/100</f>
        <v>0.38</v>
      </c>
      <c r="J191">
        <f>1/Table1[[#This Row],[odds_ft_home_team_win]]-Table1[[#This Row],[Margin]]</f>
        <v>0.38059828637065612</v>
      </c>
      <c r="K191">
        <f>1/Table1[[#This Row],[odds_ft_draw]]-Table1[[#This Row],[Margin]]</f>
        <v>0.29433189575643942</v>
      </c>
      <c r="L191">
        <f>1/Table1[[#This Row],[odds_ft_away_team_win]]-Table1[[#This Row],[Margin]]</f>
        <v>0.32506981787290434</v>
      </c>
      <c r="M191">
        <v>3</v>
      </c>
      <c r="N191">
        <v>1.67</v>
      </c>
      <c r="O191">
        <v>1.1000000000000001</v>
      </c>
      <c r="P191">
        <v>1.71</v>
      </c>
      <c r="Q191">
        <v>1.29</v>
      </c>
      <c r="R191" t="str" cm="1">
        <f t="array" ref="R1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1">
        <v>1</v>
      </c>
      <c r="T191">
        <v>2</v>
      </c>
      <c r="U191">
        <v>3</v>
      </c>
      <c r="V191">
        <v>1</v>
      </c>
      <c r="W191">
        <v>1</v>
      </c>
      <c r="X191">
        <v>0</v>
      </c>
      <c r="Y191">
        <v>28</v>
      </c>
      <c r="Z191" t="s">
        <v>436</v>
      </c>
      <c r="AA191">
        <v>2</v>
      </c>
      <c r="AB191">
        <v>3</v>
      </c>
      <c r="AC191">
        <v>2</v>
      </c>
      <c r="AD191">
        <v>1</v>
      </c>
      <c r="AE191">
        <v>2</v>
      </c>
      <c r="AF191">
        <v>0</v>
      </c>
      <c r="AG191">
        <v>0</v>
      </c>
      <c r="AH191">
        <v>3</v>
      </c>
      <c r="AI191">
        <v>2</v>
      </c>
      <c r="AJ191">
        <v>0</v>
      </c>
      <c r="AK191">
        <v>5</v>
      </c>
      <c r="AL191">
        <v>6</v>
      </c>
      <c r="AM191">
        <v>2</v>
      </c>
      <c r="AN191">
        <v>3</v>
      </c>
      <c r="AO191">
        <v>3</v>
      </c>
      <c r="AP191">
        <v>3</v>
      </c>
      <c r="AQ191">
        <v>20</v>
      </c>
      <c r="AR191">
        <v>8</v>
      </c>
      <c r="AS191">
        <v>32</v>
      </c>
      <c r="AT191">
        <v>68</v>
      </c>
      <c r="AU191">
        <v>0.66</v>
      </c>
      <c r="AV191">
        <v>0.85</v>
      </c>
      <c r="AW191">
        <v>2.74</v>
      </c>
      <c r="AX191">
        <v>49</v>
      </c>
      <c r="AY191">
        <v>79</v>
      </c>
      <c r="AZ191">
        <v>59</v>
      </c>
      <c r="BA191">
        <v>37</v>
      </c>
      <c r="BB191">
        <v>5</v>
      </c>
      <c r="BC191">
        <v>37</v>
      </c>
      <c r="BD191">
        <v>79</v>
      </c>
      <c r="BE191">
        <v>43</v>
      </c>
      <c r="BF191">
        <v>84</v>
      </c>
      <c r="BG191">
        <v>5.72</v>
      </c>
      <c r="BH191">
        <v>5.26</v>
      </c>
      <c r="BI191">
        <v>2.52</v>
      </c>
      <c r="BJ191">
        <v>3.22</v>
      </c>
      <c r="BK191">
        <v>2.93</v>
      </c>
      <c r="BL191">
        <f>(1/Table1[[#This Row],[odds_ft_home_team_win]]+1/Table1[[#This Row],[odds_ft_draw]]+1/Table1[[#This Row],[odds_ft_away_team_win]]-1)/3</f>
        <v>1.6227110454740679E-2</v>
      </c>
      <c r="BM191">
        <v>0</v>
      </c>
      <c r="BN191">
        <v>1.91</v>
      </c>
      <c r="BO191">
        <v>0</v>
      </c>
      <c r="BP191">
        <v>0</v>
      </c>
      <c r="BQ191">
        <v>0</v>
      </c>
      <c r="BR191">
        <v>0</v>
      </c>
      <c r="BS191" t="s">
        <v>120</v>
      </c>
      <c r="BT191">
        <f>VLOOKUP(Table1[[#This Row],[Reference]],metron,8,FALSE)</f>
        <v>1.464160929441638</v>
      </c>
      <c r="BU191">
        <f>VLOOKUP(Table1[[#This Row],[Reference]],metron,9,FALSE)</f>
        <v>1.2477119808919459</v>
      </c>
      <c r="BV191">
        <f>VLOOKUP(Table1[[#This Row],[Reference]],metron,10,FALSE)</f>
        <v>2.4900895140664963</v>
      </c>
      <c r="BW191">
        <f>VLOOKUP(Table1[[#This Row],[Reference]],metron,11,FALSE)</f>
        <v>1.330562659846547</v>
      </c>
      <c r="BX191">
        <f>VLOOKUP(Table1[[#This Row],[Reference]],metron,12,FALSE)</f>
        <v>1.1595268542199491</v>
      </c>
      <c r="BY191" s="6">
        <f>VLOOKUP(Table1[[#This Row],[Reference]],metron,13,FALSE)</f>
        <v>0.59053607588191415</v>
      </c>
      <c r="BZ191" s="6">
        <f>VLOOKUP(Table1[[#This Row],[Reference]],metron,14,FALSE)</f>
        <v>0.50069274219332838</v>
      </c>
      <c r="CA191" s="6">
        <f>VLOOKUP(Table1[[#This Row],[Reference]],metron,15,FALSE)</f>
        <v>11.79715236686391</v>
      </c>
      <c r="CB191" s="6">
        <f>VLOOKUP(Table1[[#This Row],[Reference]],metron,16,FALSE)</f>
        <v>10.317122781065089</v>
      </c>
      <c r="CC191" s="6">
        <f>VLOOKUP(Table1[[#This Row],[Reference]],metron,17,FALSE)</f>
        <v>5.0637025966747622</v>
      </c>
      <c r="CD191" s="6">
        <f>VLOOKUP(Table1[[#This Row],[Reference]],metron,18,FALSE)</f>
        <v>4.4674014571268454</v>
      </c>
      <c r="CE191" s="6">
        <f>VLOOKUP(Table1[[#This Row],[Reference]],metron,19,FALSE)</f>
        <v>6.7334497701891483</v>
      </c>
      <c r="CF191" s="6">
        <f>VLOOKUP(Table1[[#This Row],[Reference]],metron,20,FALSE)</f>
        <v>5.849721323938244</v>
      </c>
      <c r="CG191" s="6">
        <f>VLOOKUP(Table1[[#This Row],[Reference]],metron,21,FALSE)</f>
        <v>12.89644194756554</v>
      </c>
      <c r="CH191" s="6">
        <f>VLOOKUP(Table1[[#This Row],[Reference]],metron,22,FALSE)</f>
        <v>13.3434456928839</v>
      </c>
      <c r="CI191" s="6">
        <f>VLOOKUP(Table1[[#This Row],[Reference]],metron,23,FALSE)</f>
        <v>1.6144382124117971</v>
      </c>
      <c r="CJ191" s="6">
        <f>VLOOKUP(Table1[[#This Row],[Reference]],metron,24,FALSE)</f>
        <v>1.9032024606477289</v>
      </c>
      <c r="CK191" s="6">
        <f>VLOOKUP(Table1[[#This Row],[Reference]],metron,25,FALSE)</f>
        <v>9.372172969060974E-2</v>
      </c>
      <c r="CL191" s="6">
        <f>VLOOKUP(Table1[[#This Row],[Reference]],metron,26,FALSE)</f>
        <v>0.11669983716301791</v>
      </c>
    </row>
    <row r="192" spans="1:90" hidden="1" x14ac:dyDescent="0.45">
      <c r="A192" t="s">
        <v>695</v>
      </c>
      <c r="B192">
        <v>1642892400</v>
      </c>
      <c r="C192" s="23" t="s">
        <v>437</v>
      </c>
      <c r="D192" t="s">
        <v>65</v>
      </c>
      <c r="E192" t="s">
        <v>66</v>
      </c>
      <c r="F192" t="s">
        <v>90</v>
      </c>
      <c r="G192" t="s">
        <v>67</v>
      </c>
      <c r="H192" t="s">
        <v>114</v>
      </c>
      <c r="I192">
        <f>MROUND(Table1[[#This Row],[ProbH]]*100,2)/100</f>
        <v>0.52</v>
      </c>
      <c r="J192">
        <f>1/Table1[[#This Row],[odds_ft_home_team_win]]-Table1[[#This Row],[Margin]]</f>
        <v>0.52990691225985342</v>
      </c>
      <c r="K192">
        <f>1/Table1[[#This Row],[odds_ft_draw]]-Table1[[#This Row],[Margin]]</f>
        <v>0.26846900376312138</v>
      </c>
      <c r="L192">
        <f>1/Table1[[#This Row],[odds_ft_away_team_win]]-Table1[[#This Row],[Margin]]</f>
        <v>0.20162408397702511</v>
      </c>
      <c r="M192">
        <v>3</v>
      </c>
      <c r="N192">
        <v>1.56</v>
      </c>
      <c r="O192">
        <v>0.5</v>
      </c>
      <c r="P192">
        <v>1.47</v>
      </c>
      <c r="Q192">
        <v>0.65</v>
      </c>
      <c r="R192" t="str" cm="1">
        <f t="array" ref="R1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92">
        <v>1</v>
      </c>
      <c r="T192">
        <v>1</v>
      </c>
      <c r="U192">
        <v>2</v>
      </c>
      <c r="V192">
        <v>2</v>
      </c>
      <c r="W192">
        <v>1</v>
      </c>
      <c r="X192">
        <v>1</v>
      </c>
      <c r="Y192">
        <v>42</v>
      </c>
      <c r="Z192">
        <v>2</v>
      </c>
      <c r="AA192">
        <v>4</v>
      </c>
      <c r="AB192">
        <v>4</v>
      </c>
      <c r="AC192">
        <v>3</v>
      </c>
      <c r="AD192">
        <v>0</v>
      </c>
      <c r="AE192">
        <v>8</v>
      </c>
      <c r="AF192">
        <v>0</v>
      </c>
      <c r="AG192">
        <v>0</v>
      </c>
      <c r="AH192">
        <v>3</v>
      </c>
      <c r="AI192">
        <v>4</v>
      </c>
      <c r="AJ192">
        <v>4</v>
      </c>
      <c r="AK192">
        <v>18</v>
      </c>
      <c r="AL192">
        <v>11</v>
      </c>
      <c r="AM192">
        <v>9</v>
      </c>
      <c r="AN192">
        <v>5</v>
      </c>
      <c r="AO192">
        <v>9</v>
      </c>
      <c r="AP192">
        <v>6</v>
      </c>
      <c r="AQ192">
        <v>15</v>
      </c>
      <c r="AR192">
        <v>22</v>
      </c>
      <c r="AS192">
        <v>65</v>
      </c>
      <c r="AT192">
        <v>35</v>
      </c>
      <c r="AU192">
        <v>2.04</v>
      </c>
      <c r="AV192">
        <v>1.28</v>
      </c>
      <c r="AW192">
        <v>1.97</v>
      </c>
      <c r="AX192">
        <v>37</v>
      </c>
      <c r="AY192">
        <v>69</v>
      </c>
      <c r="AZ192">
        <v>38</v>
      </c>
      <c r="BA192">
        <v>6</v>
      </c>
      <c r="BB192">
        <v>0</v>
      </c>
      <c r="BC192">
        <v>11</v>
      </c>
      <c r="BD192">
        <v>65</v>
      </c>
      <c r="BE192">
        <v>42</v>
      </c>
      <c r="BF192">
        <v>74</v>
      </c>
      <c r="BG192">
        <v>10.06</v>
      </c>
      <c r="BH192">
        <v>5.0199999999999996</v>
      </c>
      <c r="BI192">
        <v>1.8</v>
      </c>
      <c r="BJ192">
        <v>3.4</v>
      </c>
      <c r="BK192">
        <v>4.4000000000000004</v>
      </c>
      <c r="BL192">
        <f>(1/Table1[[#This Row],[odds_ft_home_team_win]]+1/Table1[[#This Row],[odds_ft_draw]]+1/Table1[[#This Row],[odds_ft_away_team_win]]-1)/3</f>
        <v>2.5648643295702156E-2</v>
      </c>
      <c r="BM192">
        <v>1.42</v>
      </c>
      <c r="BN192">
        <v>2.2000000000000002</v>
      </c>
      <c r="BO192">
        <v>4.5</v>
      </c>
      <c r="BP192">
        <v>7.5</v>
      </c>
      <c r="BQ192">
        <v>2.1</v>
      </c>
      <c r="BR192">
        <v>1.67</v>
      </c>
      <c r="BS192" t="s">
        <v>94</v>
      </c>
      <c r="BT192">
        <f>VLOOKUP(Table1[[#This Row],[Reference]],metron,8,FALSE)</f>
        <v>1.8614830167843088</v>
      </c>
      <c r="BU192">
        <f>VLOOKUP(Table1[[#This Row],[Reference]],metron,9,FALSE)</f>
        <v>0.87079851622593896</v>
      </c>
      <c r="BV192">
        <f>VLOOKUP(Table1[[#This Row],[Reference]],metron,10,FALSE)</f>
        <v>2.5967403582378576</v>
      </c>
      <c r="BW192">
        <f>VLOOKUP(Table1[[#This Row],[Reference]],metron,11,FALSE)</f>
        <v>1.625948039373891</v>
      </c>
      <c r="BX192">
        <f>VLOOKUP(Table1[[#This Row],[Reference]],metron,12,FALSE)</f>
        <v>0.97079231886396644</v>
      </c>
      <c r="BY192" s="6">
        <f>VLOOKUP(Table1[[#This Row],[Reference]],metron,13,FALSE)</f>
        <v>0.71433182698515174</v>
      </c>
      <c r="BZ192" s="6">
        <f>VLOOKUP(Table1[[#This Row],[Reference]],metron,14,FALSE)</f>
        <v>0.43011620400258233</v>
      </c>
      <c r="CA192" s="6">
        <f>VLOOKUP(Table1[[#This Row],[Reference]],metron,15,FALSE)</f>
        <v>13.39951055368614</v>
      </c>
      <c r="CB192" s="6">
        <f>VLOOKUP(Table1[[#This Row],[Reference]],metron,16,FALSE)</f>
        <v>9.4252064851636579</v>
      </c>
      <c r="CC192" s="6">
        <f>VLOOKUP(Table1[[#This Row],[Reference]],metron,17,FALSE)</f>
        <v>5.7628422023992618</v>
      </c>
      <c r="CD192" s="6">
        <f>VLOOKUP(Table1[[#This Row],[Reference]],metron,18,FALSE)</f>
        <v>3.9375576745616732</v>
      </c>
      <c r="CE192" s="6">
        <f>VLOOKUP(Table1[[#This Row],[Reference]],metron,19,FALSE)</f>
        <v>7.636668351286878</v>
      </c>
      <c r="CF192" s="6">
        <f>VLOOKUP(Table1[[#This Row],[Reference]],metron,20,FALSE)</f>
        <v>5.4876488106019847</v>
      </c>
      <c r="CG192" s="6">
        <f>VLOOKUP(Table1[[#This Row],[Reference]],metron,21,FALSE)</f>
        <v>12.460420531849101</v>
      </c>
      <c r="CH192" s="6">
        <f>VLOOKUP(Table1[[#This Row],[Reference]],metron,22,FALSE)</f>
        <v>13.44897959183673</v>
      </c>
      <c r="CI192" s="6">
        <f>VLOOKUP(Table1[[#This Row],[Reference]],metron,23,FALSE)</f>
        <v>1.462202380952381</v>
      </c>
      <c r="CJ192" s="6">
        <f>VLOOKUP(Table1[[#This Row],[Reference]],metron,24,FALSE)</f>
        <v>2.01547619047619</v>
      </c>
      <c r="CK192" s="6">
        <f>VLOOKUP(Table1[[#This Row],[Reference]],metron,25,FALSE)</f>
        <v>7.7380952380952384E-2</v>
      </c>
      <c r="CL192" s="6">
        <f>VLOOKUP(Table1[[#This Row],[Reference]],metron,26,FALSE)</f>
        <v>0.13754093480202439</v>
      </c>
    </row>
    <row r="193" spans="1:90" hidden="1" x14ac:dyDescent="0.45">
      <c r="A193" t="s">
        <v>695</v>
      </c>
      <c r="B193">
        <v>1642899600</v>
      </c>
      <c r="C193" s="23" t="s">
        <v>438</v>
      </c>
      <c r="D193" t="s">
        <v>65</v>
      </c>
      <c r="E193" t="s">
        <v>66</v>
      </c>
      <c r="F193" t="s">
        <v>85</v>
      </c>
      <c r="G193" t="s">
        <v>84</v>
      </c>
      <c r="H193" t="s">
        <v>66</v>
      </c>
      <c r="I193">
        <f>MROUND(Table1[[#This Row],[ProbH]]*100,2)/100</f>
        <v>0.46</v>
      </c>
      <c r="J193">
        <f>1/Table1[[#This Row],[odds_ft_home_team_win]]-Table1[[#This Row],[Margin]]</f>
        <v>0.46228838911765746</v>
      </c>
      <c r="K193">
        <f>1/Table1[[#This Row],[odds_ft_draw]]-Table1[[#This Row],[Margin]]</f>
        <v>0.27751381409917997</v>
      </c>
      <c r="L193">
        <f>1/Table1[[#This Row],[odds_ft_away_team_win]]-Table1[[#This Row],[Margin]]</f>
        <v>0.26019779678316263</v>
      </c>
      <c r="M193">
        <v>3</v>
      </c>
      <c r="N193">
        <v>1.83</v>
      </c>
      <c r="O193">
        <v>1.1100000000000001</v>
      </c>
      <c r="P193">
        <v>1.55</v>
      </c>
      <c r="Q193">
        <v>1.42</v>
      </c>
      <c r="R193" t="str" cm="1">
        <f t="array" ref="R1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93">
        <v>2</v>
      </c>
      <c r="T193">
        <v>1</v>
      </c>
      <c r="U193">
        <v>3</v>
      </c>
      <c r="V193">
        <v>2</v>
      </c>
      <c r="W193">
        <v>1</v>
      </c>
      <c r="X193">
        <v>1</v>
      </c>
      <c r="Y193" t="s">
        <v>439</v>
      </c>
      <c r="Z193">
        <v>32</v>
      </c>
      <c r="AA193">
        <v>7</v>
      </c>
      <c r="AB193">
        <v>14</v>
      </c>
      <c r="AC193">
        <v>4</v>
      </c>
      <c r="AD193">
        <v>0</v>
      </c>
      <c r="AE193">
        <v>1</v>
      </c>
      <c r="AF193">
        <v>1</v>
      </c>
      <c r="AG193">
        <v>2</v>
      </c>
      <c r="AH193">
        <v>2</v>
      </c>
      <c r="AI193">
        <v>1</v>
      </c>
      <c r="AJ193">
        <v>1</v>
      </c>
      <c r="AK193">
        <v>13</v>
      </c>
      <c r="AL193">
        <v>18</v>
      </c>
      <c r="AM193">
        <v>6</v>
      </c>
      <c r="AN193">
        <v>9</v>
      </c>
      <c r="AO193">
        <v>7</v>
      </c>
      <c r="AP193">
        <v>9</v>
      </c>
      <c r="AQ193">
        <v>13</v>
      </c>
      <c r="AR193">
        <v>7</v>
      </c>
      <c r="AS193">
        <v>57</v>
      </c>
      <c r="AT193">
        <v>43</v>
      </c>
      <c r="AU193">
        <v>1.47</v>
      </c>
      <c r="AV193">
        <v>2.17</v>
      </c>
      <c r="AW193">
        <v>2.6</v>
      </c>
      <c r="AX193">
        <v>57</v>
      </c>
      <c r="AY193">
        <v>86</v>
      </c>
      <c r="AZ193">
        <v>53</v>
      </c>
      <c r="BA193">
        <v>15</v>
      </c>
      <c r="BB193">
        <v>10</v>
      </c>
      <c r="BC193">
        <v>35</v>
      </c>
      <c r="BD193">
        <v>81</v>
      </c>
      <c r="BE193">
        <v>38</v>
      </c>
      <c r="BF193">
        <v>92</v>
      </c>
      <c r="BG193">
        <v>10.11</v>
      </c>
      <c r="BH193">
        <v>4.75</v>
      </c>
      <c r="BI193">
        <v>2.0499999999999998</v>
      </c>
      <c r="BJ193">
        <v>3.3</v>
      </c>
      <c r="BK193">
        <v>3.5</v>
      </c>
      <c r="BL193">
        <f>(1/Table1[[#This Row],[odds_ft_home_team_win]]+1/Table1[[#This Row],[odds_ft_draw]]+1/Table1[[#This Row],[odds_ft_away_team_win]]-1)/3</f>
        <v>2.5516488931123089E-2</v>
      </c>
      <c r="BM193">
        <v>0</v>
      </c>
      <c r="BN193">
        <v>2.1</v>
      </c>
      <c r="BO193">
        <v>0</v>
      </c>
      <c r="BP193">
        <v>0</v>
      </c>
      <c r="BQ193">
        <v>1.83</v>
      </c>
      <c r="BR193">
        <v>1.83</v>
      </c>
      <c r="BS193" t="s">
        <v>128</v>
      </c>
      <c r="BT193">
        <f>VLOOKUP(Table1[[#This Row],[Reference]],metron,8,FALSE)</f>
        <v>1.6955772349985931</v>
      </c>
      <c r="BU193">
        <f>VLOOKUP(Table1[[#This Row],[Reference]],metron,9,FALSE)</f>
        <v>1.0239029519551039</v>
      </c>
      <c r="BV193">
        <f>VLOOKUP(Table1[[#This Row],[Reference]],metron,10,FALSE)</f>
        <v>2.5405629139072849</v>
      </c>
      <c r="BW193">
        <f>VLOOKUP(Table1[[#This Row],[Reference]],metron,11,FALSE)</f>
        <v>1.4888836329233679</v>
      </c>
      <c r="BX193">
        <f>VLOOKUP(Table1[[#This Row],[Reference]],metron,12,FALSE)</f>
        <v>1.0516792809839171</v>
      </c>
      <c r="BY193" s="6">
        <f>VLOOKUP(Table1[[#This Row],[Reference]],metron,13,FALSE)</f>
        <v>0.64581362346263005</v>
      </c>
      <c r="BZ193" s="6">
        <f>VLOOKUP(Table1[[#This Row],[Reference]],metron,14,FALSE)</f>
        <v>0.45364238410596031</v>
      </c>
      <c r="CA193" s="6">
        <f>VLOOKUP(Table1[[#This Row],[Reference]],metron,15,FALSE)</f>
        <v>12.686892177589851</v>
      </c>
      <c r="CB193" s="6">
        <f>VLOOKUP(Table1[[#This Row],[Reference]],metron,16,FALSE)</f>
        <v>9.8059196617336148</v>
      </c>
      <c r="CC193" s="6">
        <f>VLOOKUP(Table1[[#This Row],[Reference]],metron,17,FALSE)</f>
        <v>5.3198121263877027</v>
      </c>
      <c r="CD193" s="6">
        <f>VLOOKUP(Table1[[#This Row],[Reference]],metron,18,FALSE)</f>
        <v>4.0954312553373189</v>
      </c>
      <c r="CE193" s="6">
        <f>VLOOKUP(Table1[[#This Row],[Reference]],metron,19,FALSE)</f>
        <v>7.3670800512021479</v>
      </c>
      <c r="CF193" s="6">
        <f>VLOOKUP(Table1[[#This Row],[Reference]],metron,20,FALSE)</f>
        <v>5.710488406396296</v>
      </c>
      <c r="CG193" s="6">
        <f>VLOOKUP(Table1[[#This Row],[Reference]],metron,21,FALSE)</f>
        <v>13.0488908033599</v>
      </c>
      <c r="CH193" s="6">
        <f>VLOOKUP(Table1[[#This Row],[Reference]],metron,22,FALSE)</f>
        <v>13.714839543398661</v>
      </c>
      <c r="CI193" s="6">
        <f>VLOOKUP(Table1[[#This Row],[Reference]],metron,23,FALSE)</f>
        <v>1.567523459812322</v>
      </c>
      <c r="CJ193" s="6">
        <f>VLOOKUP(Table1[[#This Row],[Reference]],metron,24,FALSE)</f>
        <v>1.951040391676867</v>
      </c>
      <c r="CK193" s="6">
        <f>VLOOKUP(Table1[[#This Row],[Reference]],metron,25,FALSE)</f>
        <v>8.3027335781313744E-2</v>
      </c>
      <c r="CL193" s="6">
        <f>VLOOKUP(Table1[[#This Row],[Reference]],metron,26,FALSE)</f>
        <v>0.13117095063239501</v>
      </c>
    </row>
    <row r="194" spans="1:90" hidden="1" x14ac:dyDescent="0.45">
      <c r="A194" t="s">
        <v>695</v>
      </c>
      <c r="B194">
        <v>1642906800</v>
      </c>
      <c r="C194" s="23" t="s">
        <v>440</v>
      </c>
      <c r="D194" t="s">
        <v>65</v>
      </c>
      <c r="E194" t="s">
        <v>66</v>
      </c>
      <c r="F194" t="s">
        <v>68</v>
      </c>
      <c r="G194" t="s">
        <v>97</v>
      </c>
      <c r="H194" t="s">
        <v>69</v>
      </c>
      <c r="I194">
        <f>MROUND(Table1[[#This Row],[ProbH]]*100,2)/100</f>
        <v>0.5</v>
      </c>
      <c r="J194">
        <f>1/Table1[[#This Row],[odds_ft_home_team_win]]-Table1[[#This Row],[Margin]]</f>
        <v>0.50619369369369371</v>
      </c>
      <c r="K194">
        <f>1/Table1[[#This Row],[odds_ft_draw]]-Table1[[#This Row],[Margin]]</f>
        <v>0.2781531531531532</v>
      </c>
      <c r="L194">
        <f>1/Table1[[#This Row],[odds_ft_away_team_win]]-Table1[[#This Row],[Margin]]</f>
        <v>0.21565315315315323</v>
      </c>
      <c r="M194">
        <v>3</v>
      </c>
      <c r="N194">
        <v>2.2999999999999998</v>
      </c>
      <c r="O194">
        <v>1.67</v>
      </c>
      <c r="P194">
        <v>1.9</v>
      </c>
      <c r="Q194">
        <v>1.68</v>
      </c>
      <c r="R194" t="str" cm="1">
        <f t="array" ref="R1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4">
        <v>0</v>
      </c>
      <c r="T194">
        <v>2</v>
      </c>
      <c r="U194">
        <v>2</v>
      </c>
      <c r="V194">
        <v>0</v>
      </c>
      <c r="W194">
        <v>0</v>
      </c>
      <c r="X194">
        <v>0</v>
      </c>
      <c r="Z194" t="s">
        <v>441</v>
      </c>
      <c r="AA194">
        <v>5</v>
      </c>
      <c r="AB194">
        <v>0</v>
      </c>
      <c r="AC194">
        <v>2</v>
      </c>
      <c r="AD194">
        <v>1</v>
      </c>
      <c r="AE194">
        <v>4</v>
      </c>
      <c r="AF194">
        <v>0</v>
      </c>
      <c r="AG194">
        <v>1</v>
      </c>
      <c r="AH194">
        <v>2</v>
      </c>
      <c r="AI194">
        <v>2</v>
      </c>
      <c r="AJ194">
        <v>2</v>
      </c>
      <c r="AK194">
        <v>17</v>
      </c>
      <c r="AL194">
        <v>7</v>
      </c>
      <c r="AM194">
        <v>2</v>
      </c>
      <c r="AN194">
        <v>6</v>
      </c>
      <c r="AO194">
        <v>15</v>
      </c>
      <c r="AP194">
        <v>1</v>
      </c>
      <c r="AQ194">
        <v>14</v>
      </c>
      <c r="AR194">
        <v>17</v>
      </c>
      <c r="AS194">
        <v>60</v>
      </c>
      <c r="AT194">
        <v>40</v>
      </c>
      <c r="AU194">
        <v>1.53</v>
      </c>
      <c r="AV194">
        <v>0.94</v>
      </c>
      <c r="AW194">
        <v>2.04</v>
      </c>
      <c r="AX194">
        <v>36</v>
      </c>
      <c r="AY194">
        <v>60</v>
      </c>
      <c r="AZ194">
        <v>28</v>
      </c>
      <c r="BA194">
        <v>14</v>
      </c>
      <c r="BB194">
        <v>9</v>
      </c>
      <c r="BC194">
        <v>18</v>
      </c>
      <c r="BD194">
        <v>67</v>
      </c>
      <c r="BE194">
        <v>24</v>
      </c>
      <c r="BF194">
        <v>65</v>
      </c>
      <c r="BG194">
        <v>9.73</v>
      </c>
      <c r="BH194">
        <v>3.3</v>
      </c>
      <c r="BI194">
        <v>1.85</v>
      </c>
      <c r="BJ194">
        <v>3.2</v>
      </c>
      <c r="BK194">
        <v>4</v>
      </c>
      <c r="BL194">
        <f>(1/Table1[[#This Row],[odds_ft_home_team_win]]+1/Table1[[#This Row],[odds_ft_draw]]+1/Table1[[#This Row],[odds_ft_away_team_win]]-1)/3</f>
        <v>3.4346846846846781E-2</v>
      </c>
      <c r="BM194">
        <v>1.5</v>
      </c>
      <c r="BN194">
        <v>2.2999999999999998</v>
      </c>
      <c r="BO194">
        <v>4.75</v>
      </c>
      <c r="BP194">
        <v>8</v>
      </c>
      <c r="BQ194">
        <v>2.1</v>
      </c>
      <c r="BR194">
        <v>1.67</v>
      </c>
      <c r="BS194" t="s">
        <v>116</v>
      </c>
      <c r="BT194">
        <f>VLOOKUP(Table1[[#This Row],[Reference]],metron,8,FALSE)</f>
        <v>1.8001937313313046</v>
      </c>
      <c r="BU194">
        <f>VLOOKUP(Table1[[#This Row],[Reference]],metron,9,FALSE)</f>
        <v>0.9268512077832276</v>
      </c>
      <c r="BV194">
        <f>VLOOKUP(Table1[[#This Row],[Reference]],metron,10,FALSE)</f>
        <v>2.5202079886551649</v>
      </c>
      <c r="BW194">
        <f>VLOOKUP(Table1[[#This Row],[Reference]],metron,11,FALSE)</f>
        <v>1.5342708579532029</v>
      </c>
      <c r="BX194">
        <f>VLOOKUP(Table1[[#This Row],[Reference]],metron,12,FALSE)</f>
        <v>0.98593713070196176</v>
      </c>
      <c r="BY194" s="6">
        <f>VLOOKUP(Table1[[#This Row],[Reference]],metron,13,FALSE)</f>
        <v>0.67513590167809023</v>
      </c>
      <c r="BZ194" s="6">
        <f>VLOOKUP(Table1[[#This Row],[Reference]],metron,14,FALSE)</f>
        <v>0.4286727337194185</v>
      </c>
      <c r="CA194" s="6">
        <f>VLOOKUP(Table1[[#This Row],[Reference]],metron,15,FALSE)</f>
        <v>12.98669114272602</v>
      </c>
      <c r="CB194" s="6">
        <f>VLOOKUP(Table1[[#This Row],[Reference]],metron,16,FALSE)</f>
        <v>9.4167049105094076</v>
      </c>
      <c r="CC194" s="6">
        <f>VLOOKUP(Table1[[#This Row],[Reference]],metron,17,FALSE)</f>
        <v>5.6645716945996272</v>
      </c>
      <c r="CD194" s="6">
        <f>VLOOKUP(Table1[[#This Row],[Reference]],metron,18,FALSE)</f>
        <v>4.0242085661080074</v>
      </c>
      <c r="CE194" s="6">
        <f>VLOOKUP(Table1[[#This Row],[Reference]],metron,19,FALSE)</f>
        <v>7.3221194481263927</v>
      </c>
      <c r="CF194" s="6">
        <f>VLOOKUP(Table1[[#This Row],[Reference]],metron,20,FALSE)</f>
        <v>5.3924963444014002</v>
      </c>
      <c r="CG194" s="6">
        <f>VLOOKUP(Table1[[#This Row],[Reference]],metron,21,FALSE)</f>
        <v>12.508162313432839</v>
      </c>
      <c r="CH194" s="6">
        <f>VLOOKUP(Table1[[#This Row],[Reference]],metron,22,FALSE)</f>
        <v>13.36963619402985</v>
      </c>
      <c r="CI194" s="6">
        <f>VLOOKUP(Table1[[#This Row],[Reference]],metron,23,FALSE)</f>
        <v>1.4438014689517029</v>
      </c>
      <c r="CJ194" s="6">
        <f>VLOOKUP(Table1[[#This Row],[Reference]],metron,24,FALSE)</f>
        <v>1.9410193634542621</v>
      </c>
      <c r="CK194" s="6">
        <f>VLOOKUP(Table1[[#This Row],[Reference]],metron,25,FALSE)</f>
        <v>8.4130870242599604E-2</v>
      </c>
      <c r="CL194" s="6">
        <f>VLOOKUP(Table1[[#This Row],[Reference]],metron,26,FALSE)</f>
        <v>0.1275317160026708</v>
      </c>
    </row>
    <row r="195" spans="1:90" hidden="1" x14ac:dyDescent="0.45">
      <c r="A195" t="s">
        <v>695</v>
      </c>
      <c r="B195">
        <v>1642907160</v>
      </c>
      <c r="C195" s="23" t="s">
        <v>442</v>
      </c>
      <c r="D195" t="s">
        <v>65</v>
      </c>
      <c r="E195" t="s">
        <v>66</v>
      </c>
      <c r="F195" t="s">
        <v>101</v>
      </c>
      <c r="G195" t="s">
        <v>112</v>
      </c>
      <c r="H195" t="s">
        <v>158</v>
      </c>
      <c r="I195">
        <f>MROUND(Table1[[#This Row],[ProbH]]*100,2)/100</f>
        <v>0.5</v>
      </c>
      <c r="J195">
        <f>1/Table1[[#This Row],[odds_ft_home_team_win]]-Table1[[#This Row],[Margin]]</f>
        <v>0.50565950565950557</v>
      </c>
      <c r="K195">
        <f>1/Table1[[#This Row],[odds_ft_draw]]-Table1[[#This Row],[Margin]]</f>
        <v>0.27281127281127282</v>
      </c>
      <c r="L195">
        <f>1/Table1[[#This Row],[odds_ft_away_team_win]]-Table1[[#This Row],[Margin]]</f>
        <v>0.22152922152922155</v>
      </c>
      <c r="M195">
        <v>3</v>
      </c>
      <c r="N195">
        <v>1.6</v>
      </c>
      <c r="O195">
        <v>1.22</v>
      </c>
      <c r="P195">
        <v>1.79</v>
      </c>
      <c r="Q195">
        <v>1.5</v>
      </c>
      <c r="R195" s="9" t="str" cm="1">
        <f t="array" ref="R1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95">
        <v>2</v>
      </c>
      <c r="T195">
        <v>2</v>
      </c>
      <c r="U195">
        <v>4</v>
      </c>
      <c r="V195">
        <v>1</v>
      </c>
      <c r="W195">
        <v>0</v>
      </c>
      <c r="X195">
        <v>1</v>
      </c>
      <c r="Y195" t="s">
        <v>443</v>
      </c>
      <c r="Z195" t="s">
        <v>444</v>
      </c>
      <c r="AA195">
        <v>5</v>
      </c>
      <c r="AB195">
        <v>1</v>
      </c>
      <c r="AC195">
        <v>4</v>
      </c>
      <c r="AD195">
        <v>1</v>
      </c>
      <c r="AE195">
        <v>2</v>
      </c>
      <c r="AF195">
        <v>1</v>
      </c>
      <c r="AG195">
        <v>1</v>
      </c>
      <c r="AH195">
        <v>4</v>
      </c>
      <c r="AI195">
        <v>0</v>
      </c>
      <c r="AJ195">
        <v>3</v>
      </c>
      <c r="AK195">
        <v>24</v>
      </c>
      <c r="AL195">
        <v>8</v>
      </c>
      <c r="AM195">
        <v>9</v>
      </c>
      <c r="AN195">
        <v>7</v>
      </c>
      <c r="AO195">
        <v>15</v>
      </c>
      <c r="AP195">
        <v>1</v>
      </c>
      <c r="AQ195">
        <v>18</v>
      </c>
      <c r="AR195">
        <v>13</v>
      </c>
      <c r="AS195">
        <v>65</v>
      </c>
      <c r="AT195">
        <v>35</v>
      </c>
      <c r="AU195">
        <v>2.64</v>
      </c>
      <c r="AV195">
        <v>1.1599999999999999</v>
      </c>
      <c r="AW195">
        <v>1.81</v>
      </c>
      <c r="AX195">
        <v>44</v>
      </c>
      <c r="AY195">
        <v>59</v>
      </c>
      <c r="AZ195">
        <v>22</v>
      </c>
      <c r="BA195">
        <v>11</v>
      </c>
      <c r="BB195">
        <v>6</v>
      </c>
      <c r="BC195">
        <v>22</v>
      </c>
      <c r="BD195">
        <v>59</v>
      </c>
      <c r="BE195">
        <v>21</v>
      </c>
      <c r="BF195">
        <v>52</v>
      </c>
      <c r="BG195">
        <v>8.14</v>
      </c>
      <c r="BH195">
        <v>5.54</v>
      </c>
      <c r="BI195">
        <v>1.85</v>
      </c>
      <c r="BJ195">
        <v>3.25</v>
      </c>
      <c r="BK195">
        <v>3.9</v>
      </c>
      <c r="BL195">
        <f>(1/Table1[[#This Row],[odds_ft_home_team_win]]+1/Table1[[#This Row],[odds_ft_draw]]+1/Table1[[#This Row],[odds_ft_away_team_win]]-1)/3</f>
        <v>3.4881034881034889E-2</v>
      </c>
      <c r="BM195">
        <v>1.4</v>
      </c>
      <c r="BN195">
        <v>2.2000000000000002</v>
      </c>
      <c r="BO195">
        <v>4.2</v>
      </c>
      <c r="BP195">
        <v>7.5</v>
      </c>
      <c r="BQ195">
        <v>2</v>
      </c>
      <c r="BR195">
        <v>1.8</v>
      </c>
      <c r="BS195" t="s">
        <v>104</v>
      </c>
      <c r="BT195">
        <f>VLOOKUP(Table1[[#This Row],[Reference]],metron,8,FALSE)</f>
        <v>1.8001937313313046</v>
      </c>
      <c r="BU195">
        <f>VLOOKUP(Table1[[#This Row],[Reference]],metron,9,FALSE)</f>
        <v>0.9268512077832276</v>
      </c>
      <c r="BV195">
        <f>VLOOKUP(Table1[[#This Row],[Reference]],metron,10,FALSE)</f>
        <v>2.5202079886551649</v>
      </c>
      <c r="BW195">
        <f>VLOOKUP(Table1[[#This Row],[Reference]],metron,11,FALSE)</f>
        <v>1.5342708579532029</v>
      </c>
      <c r="BX195">
        <f>VLOOKUP(Table1[[#This Row],[Reference]],metron,12,FALSE)</f>
        <v>0.98593713070196176</v>
      </c>
      <c r="BY195" s="6">
        <f>VLOOKUP(Table1[[#This Row],[Reference]],metron,13,FALSE)</f>
        <v>0.67513590167809023</v>
      </c>
      <c r="BZ195" s="6">
        <f>VLOOKUP(Table1[[#This Row],[Reference]],metron,14,FALSE)</f>
        <v>0.4286727337194185</v>
      </c>
      <c r="CA195" s="6">
        <f>VLOOKUP(Table1[[#This Row],[Reference]],metron,15,FALSE)</f>
        <v>12.98669114272602</v>
      </c>
      <c r="CB195" s="6">
        <f>VLOOKUP(Table1[[#This Row],[Reference]],metron,16,FALSE)</f>
        <v>9.4167049105094076</v>
      </c>
      <c r="CC195" s="6">
        <f>VLOOKUP(Table1[[#This Row],[Reference]],metron,17,FALSE)</f>
        <v>5.6645716945996272</v>
      </c>
      <c r="CD195" s="6">
        <f>VLOOKUP(Table1[[#This Row],[Reference]],metron,18,FALSE)</f>
        <v>4.0242085661080074</v>
      </c>
      <c r="CE195" s="6">
        <f>VLOOKUP(Table1[[#This Row],[Reference]],metron,19,FALSE)</f>
        <v>7.3221194481263927</v>
      </c>
      <c r="CF195" s="6">
        <f>VLOOKUP(Table1[[#This Row],[Reference]],metron,20,FALSE)</f>
        <v>5.3924963444014002</v>
      </c>
      <c r="CG195" s="6">
        <f>VLOOKUP(Table1[[#This Row],[Reference]],metron,21,FALSE)</f>
        <v>12.508162313432839</v>
      </c>
      <c r="CH195" s="6">
        <f>VLOOKUP(Table1[[#This Row],[Reference]],metron,22,FALSE)</f>
        <v>13.36963619402985</v>
      </c>
      <c r="CI195" s="6">
        <f>VLOOKUP(Table1[[#This Row],[Reference]],metron,23,FALSE)</f>
        <v>1.4438014689517029</v>
      </c>
      <c r="CJ195" s="6">
        <f>VLOOKUP(Table1[[#This Row],[Reference]],metron,24,FALSE)</f>
        <v>1.9410193634542621</v>
      </c>
      <c r="CK195" s="6">
        <f>VLOOKUP(Table1[[#This Row],[Reference]],metron,25,FALSE)</f>
        <v>8.4130870242599604E-2</v>
      </c>
      <c r="CL195" s="6">
        <f>VLOOKUP(Table1[[#This Row],[Reference]],metron,26,FALSE)</f>
        <v>0.1275317160026708</v>
      </c>
    </row>
    <row r="196" spans="1:90" hidden="1" x14ac:dyDescent="0.45">
      <c r="A196" t="s">
        <v>695</v>
      </c>
      <c r="B196">
        <v>1642960800</v>
      </c>
      <c r="C196" s="23" t="s">
        <v>445</v>
      </c>
      <c r="D196" t="s">
        <v>65</v>
      </c>
      <c r="E196" t="s">
        <v>66</v>
      </c>
      <c r="F196" t="s">
        <v>96</v>
      </c>
      <c r="G196" t="s">
        <v>107</v>
      </c>
      <c r="H196" t="s">
        <v>103</v>
      </c>
      <c r="I196">
        <f>MROUND(Table1[[#This Row],[ProbH]]*100,2)/100</f>
        <v>0.32</v>
      </c>
      <c r="J196">
        <f>1/Table1[[#This Row],[odds_ft_home_team_win]]-Table1[[#This Row],[Margin]]</f>
        <v>0.32059212573918455</v>
      </c>
      <c r="K196">
        <f>1/Table1[[#This Row],[odds_ft_draw]]-Table1[[#This Row],[Margin]]</f>
        <v>0.28586990351696234</v>
      </c>
      <c r="L196">
        <f>1/Table1[[#This Row],[odds_ft_away_team_win]]-Table1[[#This Row],[Margin]]</f>
        <v>0.3935379707438531</v>
      </c>
      <c r="M196">
        <v>3</v>
      </c>
      <c r="N196">
        <v>1.58</v>
      </c>
      <c r="O196">
        <v>1.0900000000000001</v>
      </c>
      <c r="P196">
        <v>1.58</v>
      </c>
      <c r="Q196">
        <v>1.48</v>
      </c>
      <c r="R196" t="str" cm="1">
        <f t="array" ref="R1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6">
        <v>1</v>
      </c>
      <c r="T196">
        <v>2</v>
      </c>
      <c r="U196">
        <v>3</v>
      </c>
      <c r="V196">
        <v>1</v>
      </c>
      <c r="W196">
        <v>1</v>
      </c>
      <c r="X196">
        <v>0</v>
      </c>
      <c r="Y196">
        <v>31</v>
      </c>
      <c r="Z196" t="s">
        <v>446</v>
      </c>
      <c r="AA196">
        <v>4</v>
      </c>
      <c r="AB196">
        <v>4</v>
      </c>
      <c r="AC196">
        <v>1</v>
      </c>
      <c r="AD196">
        <v>0</v>
      </c>
      <c r="AE196">
        <v>2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18</v>
      </c>
      <c r="AL196">
        <v>15</v>
      </c>
      <c r="AM196">
        <v>9</v>
      </c>
      <c r="AN196">
        <v>3</v>
      </c>
      <c r="AO196">
        <v>9</v>
      </c>
      <c r="AP196">
        <v>12</v>
      </c>
      <c r="AQ196">
        <v>19</v>
      </c>
      <c r="AR196">
        <v>10</v>
      </c>
      <c r="AS196">
        <v>39</v>
      </c>
      <c r="AT196">
        <v>61</v>
      </c>
      <c r="AU196">
        <v>1.95</v>
      </c>
      <c r="AV196">
        <v>1.5</v>
      </c>
      <c r="AW196">
        <v>2.4</v>
      </c>
      <c r="AX196">
        <v>45</v>
      </c>
      <c r="AY196">
        <v>71</v>
      </c>
      <c r="AZ196">
        <v>49</v>
      </c>
      <c r="BA196">
        <v>21</v>
      </c>
      <c r="BB196">
        <v>9</v>
      </c>
      <c r="BC196">
        <v>27</v>
      </c>
      <c r="BD196">
        <v>62</v>
      </c>
      <c r="BE196">
        <v>44</v>
      </c>
      <c r="BF196">
        <v>75</v>
      </c>
      <c r="BG196">
        <v>9.33</v>
      </c>
      <c r="BH196">
        <v>4.53</v>
      </c>
      <c r="BI196">
        <v>2.88</v>
      </c>
      <c r="BJ196">
        <v>3.2</v>
      </c>
      <c r="BK196">
        <v>2.38</v>
      </c>
      <c r="BL196">
        <f>(1/Table1[[#This Row],[odds_ft_home_team_win]]+1/Table1[[#This Row],[odds_ft_draw]]+1/Table1[[#This Row],[odds_ft_away_team_win]]-1)/3</f>
        <v>2.663009648303764E-2</v>
      </c>
      <c r="BM196">
        <v>1.4</v>
      </c>
      <c r="BN196">
        <v>2.17</v>
      </c>
      <c r="BO196">
        <v>4.2</v>
      </c>
      <c r="BP196">
        <v>7</v>
      </c>
      <c r="BQ196">
        <v>1.91</v>
      </c>
      <c r="BR196">
        <v>1.83</v>
      </c>
      <c r="BS196" t="s">
        <v>99</v>
      </c>
      <c r="BT196">
        <f>VLOOKUP(Table1[[#This Row],[Reference]],metron,8,FALSE)</f>
        <v>1.274681051426811</v>
      </c>
      <c r="BU196">
        <f>VLOOKUP(Table1[[#This Row],[Reference]],metron,9,FALSE)</f>
        <v>1.4392482240810365</v>
      </c>
      <c r="BV196">
        <f>VLOOKUP(Table1[[#This Row],[Reference]],metron,10,FALSE)</f>
        <v>2.5313454284174597</v>
      </c>
      <c r="BW196">
        <f>VLOOKUP(Table1[[#This Row],[Reference]],metron,11,FALSE)</f>
        <v>1.210167055864918</v>
      </c>
      <c r="BX196">
        <f>VLOOKUP(Table1[[#This Row],[Reference]],metron,12,FALSE)</f>
        <v>1.3211783725525419</v>
      </c>
      <c r="BY196" s="6">
        <f>VLOOKUP(Table1[[#This Row],[Reference]],metron,13,FALSE)</f>
        <v>0.53135669362084459</v>
      </c>
      <c r="BZ196" s="6">
        <f>VLOOKUP(Table1[[#This Row],[Reference]],metron,14,FALSE)</f>
        <v>0.55633423180592989</v>
      </c>
      <c r="CA196" s="6">
        <f>VLOOKUP(Table1[[#This Row],[Reference]],metron,15,FALSE)</f>
        <v>11.21109010712035</v>
      </c>
      <c r="CB196" s="6">
        <f>VLOOKUP(Table1[[#This Row],[Reference]],metron,16,FALSE)</f>
        <v>11.01700787401575</v>
      </c>
      <c r="CC196" s="6">
        <f>VLOOKUP(Table1[[#This Row],[Reference]],metron,17,FALSE)</f>
        <v>4.6792332268370611</v>
      </c>
      <c r="CD196" s="6">
        <f>VLOOKUP(Table1[[#This Row],[Reference]],metron,18,FALSE)</f>
        <v>4.7080804854679013</v>
      </c>
      <c r="CE196" s="6">
        <f>VLOOKUP(Table1[[#This Row],[Reference]],metron,19,FALSE)</f>
        <v>6.5318568802832893</v>
      </c>
      <c r="CF196" s="6">
        <f>VLOOKUP(Table1[[#This Row],[Reference]],metron,20,FALSE)</f>
        <v>6.3089273885478487</v>
      </c>
      <c r="CG196" s="6">
        <f>VLOOKUP(Table1[[#This Row],[Reference]],metron,21,FALSE)</f>
        <v>12.72547770700637</v>
      </c>
      <c r="CH196" s="6">
        <f>VLOOKUP(Table1[[#This Row],[Reference]],metron,22,FALSE)</f>
        <v>13.06847133757962</v>
      </c>
      <c r="CI196" s="6">
        <f>VLOOKUP(Table1[[#This Row],[Reference]],metron,23,FALSE)</f>
        <v>1.6902356902356901</v>
      </c>
      <c r="CJ196" s="6">
        <f>VLOOKUP(Table1[[#This Row],[Reference]],metron,24,FALSE)</f>
        <v>1.8050198959289869</v>
      </c>
      <c r="CK196" s="6">
        <f>VLOOKUP(Table1[[#This Row],[Reference]],metron,25,FALSE)</f>
        <v>0.105907560453015</v>
      </c>
      <c r="CL196" s="6">
        <f>VLOOKUP(Table1[[#This Row],[Reference]],metron,26,FALSE)</f>
        <v>0.1141720232629324</v>
      </c>
    </row>
    <row r="197" spans="1:90" hidden="1" x14ac:dyDescent="0.45">
      <c r="A197" t="s">
        <v>695</v>
      </c>
      <c r="B197">
        <v>1642986000</v>
      </c>
      <c r="C197" s="23" t="s">
        <v>447</v>
      </c>
      <c r="D197" t="s">
        <v>65</v>
      </c>
      <c r="E197" t="s">
        <v>66</v>
      </c>
      <c r="F197" t="s">
        <v>73</v>
      </c>
      <c r="G197" t="s">
        <v>72</v>
      </c>
      <c r="H197" t="s">
        <v>138</v>
      </c>
      <c r="I197">
        <f>MROUND(Table1[[#This Row],[ProbH]]*100,2)/100</f>
        <v>0.44</v>
      </c>
      <c r="J197">
        <f>1/Table1[[#This Row],[odds_ft_home_team_win]]-Table1[[#This Row],[Margin]]</f>
        <v>0.43953721970181725</v>
      </c>
      <c r="K197">
        <f>1/Table1[[#This Row],[odds_ft_draw]]-Table1[[#This Row],[Margin]]</f>
        <v>0.28970781753596647</v>
      </c>
      <c r="L197">
        <f>1/Table1[[#This Row],[odds_ft_away_team_win]]-Table1[[#This Row],[Margin]]</f>
        <v>0.27075496276221617</v>
      </c>
      <c r="M197">
        <v>3</v>
      </c>
      <c r="N197">
        <v>1.58</v>
      </c>
      <c r="O197">
        <v>0.8</v>
      </c>
      <c r="P197">
        <v>1.58</v>
      </c>
      <c r="Q197">
        <v>1.28</v>
      </c>
      <c r="R197" t="str" cm="1">
        <f t="array" ref="R1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7">
        <v>1</v>
      </c>
      <c r="T197">
        <v>4</v>
      </c>
      <c r="U197">
        <v>5</v>
      </c>
      <c r="V197">
        <v>2</v>
      </c>
      <c r="W197">
        <v>1</v>
      </c>
      <c r="X197">
        <v>1</v>
      </c>
      <c r="Y197">
        <v>36</v>
      </c>
      <c r="Z197" t="s">
        <v>448</v>
      </c>
      <c r="AA197">
        <v>4</v>
      </c>
      <c r="AB197">
        <v>4</v>
      </c>
      <c r="AC197">
        <v>1</v>
      </c>
      <c r="AD197">
        <v>1</v>
      </c>
      <c r="AE197">
        <v>1</v>
      </c>
      <c r="AF197">
        <v>0</v>
      </c>
      <c r="AG197">
        <v>2</v>
      </c>
      <c r="AH197">
        <v>0</v>
      </c>
      <c r="AI197">
        <v>0</v>
      </c>
      <c r="AJ197">
        <v>1</v>
      </c>
      <c r="AK197">
        <v>10</v>
      </c>
      <c r="AL197">
        <v>19</v>
      </c>
      <c r="AM197">
        <v>4</v>
      </c>
      <c r="AN197">
        <v>8</v>
      </c>
      <c r="AO197">
        <v>6</v>
      </c>
      <c r="AP197">
        <v>11</v>
      </c>
      <c r="AQ197">
        <v>9</v>
      </c>
      <c r="AR197">
        <v>19</v>
      </c>
      <c r="AS197">
        <v>39</v>
      </c>
      <c r="AT197">
        <v>61</v>
      </c>
      <c r="AU197">
        <v>1.08</v>
      </c>
      <c r="AV197">
        <v>1.96</v>
      </c>
      <c r="AW197">
        <v>2.0099999999999998</v>
      </c>
      <c r="AX197">
        <v>49</v>
      </c>
      <c r="AY197">
        <v>73</v>
      </c>
      <c r="AZ197">
        <v>38</v>
      </c>
      <c r="BA197">
        <v>4</v>
      </c>
      <c r="BB197">
        <v>0</v>
      </c>
      <c r="BC197">
        <v>9</v>
      </c>
      <c r="BD197">
        <v>52</v>
      </c>
      <c r="BE197">
        <v>54</v>
      </c>
      <c r="BF197">
        <v>78</v>
      </c>
      <c r="BG197">
        <v>11.78</v>
      </c>
      <c r="BH197">
        <v>4.32</v>
      </c>
      <c r="BI197">
        <v>2.14</v>
      </c>
      <c r="BJ197">
        <v>3.15</v>
      </c>
      <c r="BK197">
        <v>3.35</v>
      </c>
      <c r="BL197">
        <f>(1/Table1[[#This Row],[odds_ft_home_team_win]]+1/Table1[[#This Row],[odds_ft_draw]]+1/Table1[[#This Row],[odds_ft_away_team_win]]-1)/3</f>
        <v>2.7752499924350953E-2</v>
      </c>
      <c r="BM197">
        <v>1.36</v>
      </c>
      <c r="BN197">
        <v>2.0099999999999998</v>
      </c>
      <c r="BO197">
        <v>3.75</v>
      </c>
      <c r="BP197">
        <v>7.5</v>
      </c>
      <c r="BQ197">
        <v>2</v>
      </c>
      <c r="BR197">
        <v>1.73</v>
      </c>
      <c r="BS197" t="s">
        <v>142</v>
      </c>
      <c r="BT197">
        <f>VLOOKUP(Table1[[#This Row],[Reference]],metron,8,FALSE)</f>
        <v>1.6395459745305552</v>
      </c>
      <c r="BU197">
        <f>VLOOKUP(Table1[[#This Row],[Reference]],metron,9,FALSE)</f>
        <v>1.0758429359324786</v>
      </c>
      <c r="BV197">
        <f>VLOOKUP(Table1[[#This Row],[Reference]],metron,10,FALSE)</f>
        <v>2.4807646356033461</v>
      </c>
      <c r="BW197">
        <f>VLOOKUP(Table1[[#This Row],[Reference]],metron,11,FALSE)</f>
        <v>1.4140979689366791</v>
      </c>
      <c r="BX197">
        <f>VLOOKUP(Table1[[#This Row],[Reference]],metron,12,FALSE)</f>
        <v>1.0666666666666671</v>
      </c>
      <c r="BY197" s="6">
        <f>VLOOKUP(Table1[[#This Row],[Reference]],metron,13,FALSE)</f>
        <v>0.62712066905615294</v>
      </c>
      <c r="BZ197" s="6">
        <f>VLOOKUP(Table1[[#This Row],[Reference]],metron,14,FALSE)</f>
        <v>0.46009557945041818</v>
      </c>
      <c r="CA197" s="6">
        <f>VLOOKUP(Table1[[#This Row],[Reference]],metron,15,FALSE)</f>
        <v>12.56969280146722</v>
      </c>
      <c r="CB197" s="6">
        <f>VLOOKUP(Table1[[#This Row],[Reference]],metron,16,FALSE)</f>
        <v>9.8695552498853729</v>
      </c>
      <c r="CC197" s="6">
        <f>VLOOKUP(Table1[[#This Row],[Reference]],metron,17,FALSE)</f>
        <v>5.2754256787850897</v>
      </c>
      <c r="CD197" s="6">
        <f>VLOOKUP(Table1[[#This Row],[Reference]],metron,18,FALSE)</f>
        <v>4.1279337321675103</v>
      </c>
      <c r="CE197" s="6">
        <f>VLOOKUP(Table1[[#This Row],[Reference]],metron,19,FALSE)</f>
        <v>7.2942671226821298</v>
      </c>
      <c r="CF197" s="6">
        <f>VLOOKUP(Table1[[#This Row],[Reference]],metron,20,FALSE)</f>
        <v>5.7416215177178627</v>
      </c>
      <c r="CG197" s="6">
        <f>VLOOKUP(Table1[[#This Row],[Reference]],metron,21,FALSE)</f>
        <v>12.897246007868549</v>
      </c>
      <c r="CH197" s="6">
        <f>VLOOKUP(Table1[[#This Row],[Reference]],metron,22,FALSE)</f>
        <v>13.507058551261281</v>
      </c>
      <c r="CI197" s="6">
        <f>VLOOKUP(Table1[[#This Row],[Reference]],metron,23,FALSE)</f>
        <v>1.576522702104098</v>
      </c>
      <c r="CJ197" s="6">
        <f>VLOOKUP(Table1[[#This Row],[Reference]],metron,24,FALSE)</f>
        <v>1.917165005537099</v>
      </c>
      <c r="CK197" s="6">
        <f>VLOOKUP(Table1[[#This Row],[Reference]],metron,25,FALSE)</f>
        <v>8.4385382059800659E-2</v>
      </c>
      <c r="CL197" s="6">
        <f>VLOOKUP(Table1[[#This Row],[Reference]],metron,26,FALSE)</f>
        <v>0.1233665559246955</v>
      </c>
    </row>
    <row r="198" spans="1:90" hidden="1" x14ac:dyDescent="0.45">
      <c r="A198" t="s">
        <v>695</v>
      </c>
      <c r="B198">
        <v>1643425200</v>
      </c>
      <c r="C198" s="23" t="s">
        <v>449</v>
      </c>
      <c r="D198" t="s">
        <v>65</v>
      </c>
      <c r="E198" t="s">
        <v>66</v>
      </c>
      <c r="F198" t="s">
        <v>102</v>
      </c>
      <c r="G198" t="s">
        <v>106</v>
      </c>
      <c r="H198" t="s">
        <v>165</v>
      </c>
      <c r="I198">
        <f>MROUND(Table1[[#This Row],[ProbH]]*100,2)/100</f>
        <v>0.42</v>
      </c>
      <c r="J198">
        <f>1/Table1[[#This Row],[odds_ft_home_team_win]]-Table1[[#This Row],[Margin]]</f>
        <v>0.41276060008451892</v>
      </c>
      <c r="K198">
        <f>1/Table1[[#This Row],[odds_ft_draw]]-Table1[[#This Row],[Margin]]</f>
        <v>0.29866002253838564</v>
      </c>
      <c r="L198">
        <f>1/Table1[[#This Row],[odds_ft_away_team_win]]-Table1[[#This Row],[Margin]]</f>
        <v>0.28857937737709533</v>
      </c>
      <c r="M198">
        <v>3</v>
      </c>
      <c r="N198">
        <v>1.42</v>
      </c>
      <c r="O198">
        <v>0.56000000000000005</v>
      </c>
      <c r="P198">
        <v>1.38</v>
      </c>
      <c r="Q198">
        <v>0.53</v>
      </c>
      <c r="R198" t="str" cm="1">
        <f t="array" ref="R1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98">
        <v>3</v>
      </c>
      <c r="T198">
        <v>1</v>
      </c>
      <c r="U198">
        <v>4</v>
      </c>
      <c r="V198">
        <v>1</v>
      </c>
      <c r="W198">
        <v>0</v>
      </c>
      <c r="X198">
        <v>1</v>
      </c>
      <c r="Y198" t="s">
        <v>450</v>
      </c>
      <c r="Z198">
        <v>36</v>
      </c>
      <c r="AA198">
        <v>7</v>
      </c>
      <c r="AB198">
        <v>6</v>
      </c>
      <c r="AC198">
        <v>1</v>
      </c>
      <c r="AD198">
        <v>0</v>
      </c>
      <c r="AE198">
        <v>2</v>
      </c>
      <c r="AF198">
        <v>0</v>
      </c>
      <c r="AG198">
        <v>1</v>
      </c>
      <c r="AH198">
        <v>0</v>
      </c>
      <c r="AI198">
        <v>2</v>
      </c>
      <c r="AJ198">
        <v>0</v>
      </c>
      <c r="AK198">
        <v>11</v>
      </c>
      <c r="AL198">
        <v>10</v>
      </c>
      <c r="AM198">
        <v>6</v>
      </c>
      <c r="AN198">
        <v>3</v>
      </c>
      <c r="AO198">
        <v>5</v>
      </c>
      <c r="AP198">
        <v>7</v>
      </c>
      <c r="AQ198">
        <v>10</v>
      </c>
      <c r="AR198">
        <v>7</v>
      </c>
      <c r="AS198">
        <v>55</v>
      </c>
      <c r="AT198">
        <v>45</v>
      </c>
      <c r="AU198">
        <v>1.4</v>
      </c>
      <c r="AV198">
        <v>1.19</v>
      </c>
      <c r="AW198">
        <v>2.52</v>
      </c>
      <c r="AX198">
        <v>57</v>
      </c>
      <c r="AY198">
        <v>88</v>
      </c>
      <c r="AZ198">
        <v>39</v>
      </c>
      <c r="BA198">
        <v>20</v>
      </c>
      <c r="BB198">
        <v>6</v>
      </c>
      <c r="BC198">
        <v>32</v>
      </c>
      <c r="BD198">
        <v>68</v>
      </c>
      <c r="BE198">
        <v>39</v>
      </c>
      <c r="BF198">
        <v>86</v>
      </c>
      <c r="BG198">
        <v>8.61</v>
      </c>
      <c r="BH198">
        <v>5.0599999999999996</v>
      </c>
      <c r="BI198">
        <v>2.29</v>
      </c>
      <c r="BJ198">
        <v>3.1</v>
      </c>
      <c r="BK198">
        <v>3.2</v>
      </c>
      <c r="BL198">
        <f>(1/Table1[[#This Row],[odds_ft_home_team_win]]+1/Table1[[#This Row],[odds_ft_draw]]+1/Table1[[#This Row],[odds_ft_away_team_win]]-1)/3</f>
        <v>2.3920622622904657E-2</v>
      </c>
      <c r="BM198">
        <v>1.42</v>
      </c>
      <c r="BN198">
        <v>2.25</v>
      </c>
      <c r="BO198">
        <v>4.5</v>
      </c>
      <c r="BP198">
        <v>8</v>
      </c>
      <c r="BQ198">
        <v>1.91</v>
      </c>
      <c r="BR198">
        <v>1.8</v>
      </c>
      <c r="BS198" t="s">
        <v>124</v>
      </c>
      <c r="BT198">
        <f>VLOOKUP(Table1[[#This Row],[Reference]],metron,8,FALSE)</f>
        <v>1.5780106027030405</v>
      </c>
      <c r="BU198">
        <f>VLOOKUP(Table1[[#This Row],[Reference]],metron,9,FALSE)</f>
        <v>1.1353025412447635</v>
      </c>
      <c r="BV198">
        <f>VLOOKUP(Table1[[#This Row],[Reference]],metron,10,FALSE)</f>
        <v>2.4884649511978703</v>
      </c>
      <c r="BW198">
        <f>VLOOKUP(Table1[[#This Row],[Reference]],metron,11,FALSE)</f>
        <v>1.396960958296362</v>
      </c>
      <c r="BX198">
        <f>VLOOKUP(Table1[[#This Row],[Reference]],metron,12,FALSE)</f>
        <v>1.091503992901508</v>
      </c>
      <c r="BY198" s="6">
        <f>VLOOKUP(Table1[[#This Row],[Reference]],metron,13,FALSE)</f>
        <v>0.60765391014975045</v>
      </c>
      <c r="BZ198" s="6">
        <f>VLOOKUP(Table1[[#This Row],[Reference]],metron,14,FALSE)</f>
        <v>0.47276760953965608</v>
      </c>
      <c r="CA198" s="6">
        <f>VLOOKUP(Table1[[#This Row],[Reference]],metron,15,FALSE)</f>
        <v>12.29504785684561</v>
      </c>
      <c r="CB198" s="6">
        <f>VLOOKUP(Table1[[#This Row],[Reference]],metron,16,FALSE)</f>
        <v>10.047232625884311</v>
      </c>
      <c r="CC198" s="6">
        <f>VLOOKUP(Table1[[#This Row],[Reference]],metron,17,FALSE)</f>
        <v>5.2917192097519967</v>
      </c>
      <c r="CD198" s="6">
        <f>VLOOKUP(Table1[[#This Row],[Reference]],metron,18,FALSE)</f>
        <v>4.2580916351408158</v>
      </c>
      <c r="CE198" s="6">
        <f>VLOOKUP(Table1[[#This Row],[Reference]],metron,19,FALSE)</f>
        <v>7.0033286470936131</v>
      </c>
      <c r="CF198" s="6">
        <f>VLOOKUP(Table1[[#This Row],[Reference]],metron,20,FALSE)</f>
        <v>5.789140990743495</v>
      </c>
      <c r="CG198" s="6">
        <f>VLOOKUP(Table1[[#This Row],[Reference]],metron,21,FALSE)</f>
        <v>12.77041895895049</v>
      </c>
      <c r="CH198" s="6">
        <f>VLOOKUP(Table1[[#This Row],[Reference]],metron,22,FALSE)</f>
        <v>13.411129919593741</v>
      </c>
      <c r="CI198" s="6">
        <f>VLOOKUP(Table1[[#This Row],[Reference]],metron,23,FALSE)</f>
        <v>1.556141062018646</v>
      </c>
      <c r="CJ198" s="6">
        <f>VLOOKUP(Table1[[#This Row],[Reference]],metron,24,FALSE)</f>
        <v>1.9114308877178761</v>
      </c>
      <c r="CK198" s="6">
        <f>VLOOKUP(Table1[[#This Row],[Reference]],metron,25,FALSE)</f>
        <v>8.4920956627482766E-2</v>
      </c>
      <c r="CL198" s="6">
        <f>VLOOKUP(Table1[[#This Row],[Reference]],metron,26,FALSE)</f>
        <v>0.1323469801378192</v>
      </c>
    </row>
    <row r="199" spans="1:90" hidden="1" x14ac:dyDescent="0.45">
      <c r="A199" t="s">
        <v>695</v>
      </c>
      <c r="B199">
        <v>1644102000</v>
      </c>
      <c r="C199" s="23" t="s">
        <v>451</v>
      </c>
      <c r="D199" t="s">
        <v>65</v>
      </c>
      <c r="E199" t="s">
        <v>66</v>
      </c>
      <c r="F199" t="s">
        <v>72</v>
      </c>
      <c r="G199" t="s">
        <v>84</v>
      </c>
      <c r="H199" t="s">
        <v>69</v>
      </c>
      <c r="I199">
        <f>MROUND(Table1[[#This Row],[ProbH]]*100,2)/100</f>
        <v>0.4</v>
      </c>
      <c r="J199">
        <f>1/Table1[[#This Row],[odds_ft_home_team_win]]-Table1[[#This Row],[Margin]]</f>
        <v>0.39221776428655009</v>
      </c>
      <c r="K199">
        <f>1/Table1[[#This Row],[odds_ft_draw]]-Table1[[#This Row],[Margin]]</f>
        <v>0.29038976772171143</v>
      </c>
      <c r="L199">
        <f>1/Table1[[#This Row],[odds_ft_away_team_win]]-Table1[[#This Row],[Margin]]</f>
        <v>0.31739246799173843</v>
      </c>
      <c r="M199">
        <v>4</v>
      </c>
      <c r="N199">
        <v>1.33</v>
      </c>
      <c r="O199">
        <v>1</v>
      </c>
      <c r="P199">
        <v>1.24</v>
      </c>
      <c r="Q199">
        <v>1.42</v>
      </c>
      <c r="R199" t="str" cm="1">
        <f t="array" ref="R1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9">
        <v>1</v>
      </c>
      <c r="T199">
        <v>3</v>
      </c>
      <c r="U199">
        <v>4</v>
      </c>
      <c r="V199">
        <v>2</v>
      </c>
      <c r="W199">
        <v>0</v>
      </c>
      <c r="X199">
        <v>2</v>
      </c>
      <c r="Y199" t="s">
        <v>193</v>
      </c>
      <c r="Z199" t="s">
        <v>452</v>
      </c>
      <c r="AA199">
        <v>8</v>
      </c>
      <c r="AB199">
        <v>3</v>
      </c>
      <c r="AC199">
        <v>4</v>
      </c>
      <c r="AD199">
        <v>0</v>
      </c>
      <c r="AE199">
        <v>4</v>
      </c>
      <c r="AF199">
        <v>1</v>
      </c>
      <c r="AG199">
        <v>1</v>
      </c>
      <c r="AH199">
        <v>3</v>
      </c>
      <c r="AI199">
        <v>3</v>
      </c>
      <c r="AJ199">
        <v>2</v>
      </c>
      <c r="AK199">
        <v>17</v>
      </c>
      <c r="AL199">
        <v>14</v>
      </c>
      <c r="AM199">
        <v>7</v>
      </c>
      <c r="AN199">
        <v>6</v>
      </c>
      <c r="AO199">
        <v>10</v>
      </c>
      <c r="AP199">
        <v>8</v>
      </c>
      <c r="AQ199">
        <v>18</v>
      </c>
      <c r="AR199">
        <v>14</v>
      </c>
      <c r="AS199">
        <v>70</v>
      </c>
      <c r="AT199">
        <v>30</v>
      </c>
      <c r="AU199">
        <v>2.08</v>
      </c>
      <c r="AV199">
        <v>1.45</v>
      </c>
      <c r="AW199">
        <v>2.74</v>
      </c>
      <c r="AX199">
        <v>41</v>
      </c>
      <c r="AY199">
        <v>84</v>
      </c>
      <c r="AZ199">
        <v>69</v>
      </c>
      <c r="BA199">
        <v>16</v>
      </c>
      <c r="BB199">
        <v>5</v>
      </c>
      <c r="BC199">
        <v>47</v>
      </c>
      <c r="BD199">
        <v>74</v>
      </c>
      <c r="BE199">
        <v>32</v>
      </c>
      <c r="BF199">
        <v>100</v>
      </c>
      <c r="BG199">
        <v>11.52</v>
      </c>
      <c r="BH199">
        <v>3.18</v>
      </c>
      <c r="BI199">
        <v>2.4700000000000002</v>
      </c>
      <c r="BJ199">
        <v>3.3</v>
      </c>
      <c r="BK199">
        <v>3.03</v>
      </c>
      <c r="BL199">
        <f>(1/Table1[[#This Row],[odds_ft_home_team_win]]+1/Table1[[#This Row],[odds_ft_draw]]+1/Table1[[#This Row],[odds_ft_away_team_win]]-1)/3</f>
        <v>1.2640535308591586E-2</v>
      </c>
      <c r="BM199">
        <v>1.36</v>
      </c>
      <c r="BN199">
        <v>2.1</v>
      </c>
      <c r="BO199">
        <v>3.7</v>
      </c>
      <c r="BP199">
        <v>7.1</v>
      </c>
      <c r="BQ199">
        <v>1.8</v>
      </c>
      <c r="BR199">
        <v>1.95</v>
      </c>
      <c r="BS199" t="s">
        <v>76</v>
      </c>
      <c r="BT199">
        <f>VLOOKUP(Table1[[#This Row],[Reference]],metron,8,FALSE)</f>
        <v>1.5181603563290151</v>
      </c>
      <c r="BU199">
        <f>VLOOKUP(Table1[[#This Row],[Reference]],metron,9,FALSE)</f>
        <v>1.1952730370775513</v>
      </c>
      <c r="BV199">
        <f>VLOOKUP(Table1[[#This Row],[Reference]],metron,10,FALSE)</f>
        <v>2.4956155335383219</v>
      </c>
      <c r="BW199">
        <f>VLOOKUP(Table1[[#This Row],[Reference]],metron,11,FALSE)</f>
        <v>1.344038264434575</v>
      </c>
      <c r="BX199">
        <f>VLOOKUP(Table1[[#This Row],[Reference]],metron,12,FALSE)</f>
        <v>1.1515772691037469</v>
      </c>
      <c r="BY199" s="6">
        <f>VLOOKUP(Table1[[#This Row],[Reference]],metron,13,FALSE)</f>
        <v>0.59936225942375587</v>
      </c>
      <c r="BZ199" s="6">
        <f>VLOOKUP(Table1[[#This Row],[Reference]],metron,14,FALSE)</f>
        <v>0.50723152260562576</v>
      </c>
      <c r="CA199" s="6">
        <f>VLOOKUP(Table1[[#This Row],[Reference]],metron,15,FALSE)</f>
        <v>11.99278846153846</v>
      </c>
      <c r="CB199" s="6">
        <f>VLOOKUP(Table1[[#This Row],[Reference]],metron,16,FALSE)</f>
        <v>10.0277534965035</v>
      </c>
      <c r="CC199" s="6">
        <f>VLOOKUP(Table1[[#This Row],[Reference]],metron,17,FALSE)</f>
        <v>5.2857459543338514</v>
      </c>
      <c r="CD199" s="6">
        <f>VLOOKUP(Table1[[#This Row],[Reference]],metron,18,FALSE)</f>
        <v>4.4067834183107957</v>
      </c>
      <c r="CE199" s="6">
        <f>VLOOKUP(Table1[[#This Row],[Reference]],metron,19,FALSE)</f>
        <v>6.7070425072046085</v>
      </c>
      <c r="CF199" s="6">
        <f>VLOOKUP(Table1[[#This Row],[Reference]],metron,20,FALSE)</f>
        <v>5.6209700781927046</v>
      </c>
      <c r="CG199" s="6">
        <f>VLOOKUP(Table1[[#This Row],[Reference]],metron,21,FALSE)</f>
        <v>13.04463690872752</v>
      </c>
      <c r="CH199" s="6">
        <f>VLOOKUP(Table1[[#This Row],[Reference]],metron,22,FALSE)</f>
        <v>13.49811236953142</v>
      </c>
      <c r="CI199" s="6">
        <f>VLOOKUP(Table1[[#This Row],[Reference]],metron,23,FALSE)</f>
        <v>1.5836526181353769</v>
      </c>
      <c r="CJ199" s="6">
        <f>VLOOKUP(Table1[[#This Row],[Reference]],metron,24,FALSE)</f>
        <v>1.8744146445295871</v>
      </c>
      <c r="CK199" s="6">
        <f>VLOOKUP(Table1[[#This Row],[Reference]],metron,25,FALSE)</f>
        <v>8.5994040017028525E-2</v>
      </c>
      <c r="CL199" s="6">
        <f>VLOOKUP(Table1[[#This Row],[Reference]],metron,26,FALSE)</f>
        <v>0.13452532992762881</v>
      </c>
    </row>
    <row r="200" spans="1:90" hidden="1" x14ac:dyDescent="0.45">
      <c r="A200" t="s">
        <v>695</v>
      </c>
      <c r="B200">
        <v>1644109200</v>
      </c>
      <c r="C200" s="23" t="s">
        <v>453</v>
      </c>
      <c r="D200" t="s">
        <v>65</v>
      </c>
      <c r="E200" t="s">
        <v>66</v>
      </c>
      <c r="F200" t="s">
        <v>68</v>
      </c>
      <c r="G200" t="s">
        <v>91</v>
      </c>
      <c r="H200" t="s">
        <v>133</v>
      </c>
      <c r="I200">
        <f>MROUND(Table1[[#This Row],[ProbH]]*100,2)/100</f>
        <v>0.57999999999999996</v>
      </c>
      <c r="J200">
        <f>1/Table1[[#This Row],[odds_ft_home_team_win]]-Table1[[#This Row],[Margin]]</f>
        <v>0.58140566341112665</v>
      </c>
      <c r="K200">
        <f>1/Table1[[#This Row],[odds_ft_draw]]-Table1[[#This Row],[Margin]]</f>
        <v>0.25790669860781407</v>
      </c>
      <c r="L200">
        <f>1/Table1[[#This Row],[odds_ft_away_team_win]]-Table1[[#This Row],[Margin]]</f>
        <v>0.16068763798105937</v>
      </c>
      <c r="M200">
        <v>4</v>
      </c>
      <c r="N200">
        <v>2.09</v>
      </c>
      <c r="O200">
        <v>1.27</v>
      </c>
      <c r="P200">
        <v>1.9</v>
      </c>
      <c r="Q200">
        <v>1.25</v>
      </c>
      <c r="R200" t="str" cm="1">
        <f t="array" ref="R2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0">
        <v>2</v>
      </c>
      <c r="T200">
        <v>3</v>
      </c>
      <c r="U200">
        <v>5</v>
      </c>
      <c r="V200">
        <v>1</v>
      </c>
      <c r="W200">
        <v>0</v>
      </c>
      <c r="X200">
        <v>1</v>
      </c>
      <c r="Y200" t="s">
        <v>454</v>
      </c>
      <c r="Z200" t="s">
        <v>455</v>
      </c>
      <c r="AA200">
        <v>9</v>
      </c>
      <c r="AB200">
        <v>3</v>
      </c>
      <c r="AC200">
        <v>2</v>
      </c>
      <c r="AD200">
        <v>1</v>
      </c>
      <c r="AE200">
        <v>7</v>
      </c>
      <c r="AF200">
        <v>0</v>
      </c>
      <c r="AG200">
        <v>1</v>
      </c>
      <c r="AH200">
        <v>2</v>
      </c>
      <c r="AI200">
        <v>5</v>
      </c>
      <c r="AJ200">
        <v>2</v>
      </c>
      <c r="AK200">
        <v>13</v>
      </c>
      <c r="AL200">
        <v>15</v>
      </c>
      <c r="AM200">
        <v>4</v>
      </c>
      <c r="AN200">
        <v>10</v>
      </c>
      <c r="AO200">
        <v>9</v>
      </c>
      <c r="AP200">
        <v>5</v>
      </c>
      <c r="AQ200">
        <v>12</v>
      </c>
      <c r="AR200">
        <v>20</v>
      </c>
      <c r="AS200">
        <v>69</v>
      </c>
      <c r="AT200">
        <v>31</v>
      </c>
      <c r="AU200">
        <v>1.6</v>
      </c>
      <c r="AV200">
        <v>1.84</v>
      </c>
      <c r="AW200">
        <v>1.96</v>
      </c>
      <c r="AX200">
        <v>36</v>
      </c>
      <c r="AY200">
        <v>64</v>
      </c>
      <c r="AZ200">
        <v>36</v>
      </c>
      <c r="BA200">
        <v>18</v>
      </c>
      <c r="BB200">
        <v>0</v>
      </c>
      <c r="BC200">
        <v>18</v>
      </c>
      <c r="BD200">
        <v>50</v>
      </c>
      <c r="BE200">
        <v>36</v>
      </c>
      <c r="BF200">
        <v>69</v>
      </c>
      <c r="BG200">
        <v>7.81</v>
      </c>
      <c r="BH200">
        <v>3.37</v>
      </c>
      <c r="BI200">
        <v>1.68</v>
      </c>
      <c r="BJ200">
        <v>3.68</v>
      </c>
      <c r="BK200">
        <v>5.73</v>
      </c>
      <c r="BL200">
        <f>(1/Table1[[#This Row],[odds_ft_home_team_win]]+1/Table1[[#This Row],[odds_ft_draw]]+1/Table1[[#This Row],[odds_ft_away_team_win]]-1)/3</f>
        <v>1.3832431826968547E-2</v>
      </c>
      <c r="BM200">
        <v>1.39</v>
      </c>
      <c r="BN200">
        <v>2.15</v>
      </c>
      <c r="BO200">
        <v>3.98</v>
      </c>
      <c r="BP200">
        <v>7.7</v>
      </c>
      <c r="BQ200">
        <v>2.25</v>
      </c>
      <c r="BR200">
        <v>1.57</v>
      </c>
      <c r="BS200" t="s">
        <v>116</v>
      </c>
      <c r="BT200">
        <f>VLOOKUP(Table1[[#This Row],[Reference]],metron,8,FALSE)</f>
        <v>2.0230889143600308</v>
      </c>
      <c r="BU200">
        <f>VLOOKUP(Table1[[#This Row],[Reference]],metron,9,FALSE)</f>
        <v>0.72731480520165426</v>
      </c>
      <c r="BV200">
        <f>VLOOKUP(Table1[[#This Row],[Reference]],metron,10,FALSE)</f>
        <v>2.6362999299229148</v>
      </c>
      <c r="BW200">
        <f>VLOOKUP(Table1[[#This Row],[Reference]],metron,11,FALSE)</f>
        <v>1.7619715019855171</v>
      </c>
      <c r="BX200">
        <f>VLOOKUP(Table1[[#This Row],[Reference]],metron,12,FALSE)</f>
        <v>0.87432842793739785</v>
      </c>
      <c r="BY200" s="6">
        <f>VLOOKUP(Table1[[#This Row],[Reference]],metron,13,FALSE)</f>
        <v>0.78411214953271025</v>
      </c>
      <c r="BZ200" s="6">
        <f>VLOOKUP(Table1[[#This Row],[Reference]],metron,14,FALSE)</f>
        <v>0.38060747663551397</v>
      </c>
      <c r="CA200" s="6">
        <f>VLOOKUP(Table1[[#This Row],[Reference]],metron,15,FALSE)</f>
        <v>14.215499378367181</v>
      </c>
      <c r="CB200" s="6">
        <f>VLOOKUP(Table1[[#This Row],[Reference]],metron,16,FALSE)</f>
        <v>8.9523612261806136</v>
      </c>
      <c r="CC200" s="6">
        <f>VLOOKUP(Table1[[#This Row],[Reference]],metron,17,FALSE)</f>
        <v>6.3083121289228163</v>
      </c>
      <c r="CD200" s="6">
        <f>VLOOKUP(Table1[[#This Row],[Reference]],metron,18,FALSE)</f>
        <v>3.7757524374735061</v>
      </c>
      <c r="CE200" s="6">
        <f>VLOOKUP(Table1[[#This Row],[Reference]],metron,19,FALSE)</f>
        <v>7.9071872494443642</v>
      </c>
      <c r="CF200" s="6">
        <f>VLOOKUP(Table1[[#This Row],[Reference]],metron,20,FALSE)</f>
        <v>5.1766087887071075</v>
      </c>
      <c r="CG200" s="6">
        <f>VLOOKUP(Table1[[#This Row],[Reference]],metron,21,FALSE)</f>
        <v>12.634239592183521</v>
      </c>
      <c r="CH200" s="6">
        <f>VLOOKUP(Table1[[#This Row],[Reference]],metron,22,FALSE)</f>
        <v>13.597706032285471</v>
      </c>
      <c r="CI200" s="6">
        <f>VLOOKUP(Table1[[#This Row],[Reference]],metron,23,FALSE)</f>
        <v>1.365400161681487</v>
      </c>
      <c r="CJ200" s="6">
        <f>VLOOKUP(Table1[[#This Row],[Reference]],metron,24,FALSE)</f>
        <v>1.963621665319321</v>
      </c>
      <c r="CK200" s="6">
        <f>VLOOKUP(Table1[[#This Row],[Reference]],metron,25,FALSE)</f>
        <v>7.1544058205335492E-2</v>
      </c>
      <c r="CL200" s="6">
        <f>VLOOKUP(Table1[[#This Row],[Reference]],metron,26,FALSE)</f>
        <v>0.1216653193209378</v>
      </c>
    </row>
    <row r="201" spans="1:90" hidden="1" x14ac:dyDescent="0.45">
      <c r="A201" t="s">
        <v>695</v>
      </c>
      <c r="B201">
        <v>1644116760</v>
      </c>
      <c r="C201" s="23" t="s">
        <v>456</v>
      </c>
      <c r="D201" t="s">
        <v>65</v>
      </c>
      <c r="E201" t="s">
        <v>66</v>
      </c>
      <c r="F201" t="s">
        <v>106</v>
      </c>
      <c r="G201" t="s">
        <v>96</v>
      </c>
      <c r="H201" t="s">
        <v>114</v>
      </c>
      <c r="I201">
        <f>MROUND(Table1[[#This Row],[ProbH]]*100,2)/100</f>
        <v>0.38</v>
      </c>
      <c r="J201">
        <f>1/Table1[[#This Row],[odds_ft_home_team_win]]-Table1[[#This Row],[Margin]]</f>
        <v>0.37043925715985238</v>
      </c>
      <c r="K201">
        <f>1/Table1[[#This Row],[odds_ft_draw]]-Table1[[#This Row],[Margin]]</f>
        <v>0.29979749470774508</v>
      </c>
      <c r="L201">
        <f>1/Table1[[#This Row],[odds_ft_away_team_win]]-Table1[[#This Row],[Margin]]</f>
        <v>0.3297632481324026</v>
      </c>
      <c r="M201">
        <v>4</v>
      </c>
      <c r="N201">
        <v>1.1000000000000001</v>
      </c>
      <c r="O201">
        <v>1.5</v>
      </c>
      <c r="P201">
        <v>1.35</v>
      </c>
      <c r="Q201">
        <v>1.1000000000000001</v>
      </c>
      <c r="R201" t="str" cm="1">
        <f t="array" ref="R2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69</v>
      </c>
      <c r="AA201">
        <v>5</v>
      </c>
      <c r="AB201">
        <v>1</v>
      </c>
      <c r="AC201">
        <v>0</v>
      </c>
      <c r="AD201">
        <v>0</v>
      </c>
      <c r="AE201">
        <v>3</v>
      </c>
      <c r="AF201">
        <v>0</v>
      </c>
      <c r="AG201">
        <v>0</v>
      </c>
      <c r="AH201">
        <v>0</v>
      </c>
      <c r="AI201">
        <v>1</v>
      </c>
      <c r="AJ201">
        <v>2</v>
      </c>
      <c r="AK201">
        <v>25</v>
      </c>
      <c r="AL201">
        <v>11</v>
      </c>
      <c r="AM201">
        <v>10</v>
      </c>
      <c r="AN201">
        <v>3</v>
      </c>
      <c r="AO201">
        <v>15</v>
      </c>
      <c r="AP201">
        <v>8</v>
      </c>
      <c r="AQ201">
        <v>16</v>
      </c>
      <c r="AR201">
        <v>15</v>
      </c>
      <c r="AS201">
        <v>56</v>
      </c>
      <c r="AT201">
        <v>44</v>
      </c>
      <c r="AU201">
        <v>2.69</v>
      </c>
      <c r="AV201">
        <v>1.1399999999999999</v>
      </c>
      <c r="AW201">
        <v>2.39</v>
      </c>
      <c r="AX201">
        <v>59</v>
      </c>
      <c r="AY201">
        <v>77</v>
      </c>
      <c r="AZ201">
        <v>49</v>
      </c>
      <c r="BA201">
        <v>23</v>
      </c>
      <c r="BB201">
        <v>5</v>
      </c>
      <c r="BC201">
        <v>23</v>
      </c>
      <c r="BD201">
        <v>82</v>
      </c>
      <c r="BE201">
        <v>32</v>
      </c>
      <c r="BF201">
        <v>81</v>
      </c>
      <c r="BG201">
        <v>9.3000000000000007</v>
      </c>
      <c r="BH201">
        <v>5.53</v>
      </c>
      <c r="BI201">
        <v>2.61</v>
      </c>
      <c r="BJ201">
        <v>3.2</v>
      </c>
      <c r="BK201">
        <v>2.92</v>
      </c>
      <c r="BL201">
        <f>(1/Table1[[#This Row],[odds_ft_home_team_win]]+1/Table1[[#This Row],[odds_ft_draw]]+1/Table1[[#This Row],[odds_ft_away_team_win]]-1)/3</f>
        <v>1.2702505292254918E-2</v>
      </c>
      <c r="BM201">
        <v>1.38</v>
      </c>
      <c r="BN201">
        <v>2.15</v>
      </c>
      <c r="BO201">
        <v>3.88</v>
      </c>
      <c r="BP201">
        <v>7.5</v>
      </c>
      <c r="BQ201">
        <v>1.95</v>
      </c>
      <c r="BR201">
        <v>1.8</v>
      </c>
      <c r="BS201" t="s">
        <v>110</v>
      </c>
      <c r="BT201">
        <f>VLOOKUP(Table1[[#This Row],[Reference]],metron,8,FALSE)</f>
        <v>1.464160929441638</v>
      </c>
      <c r="BU201">
        <f>VLOOKUP(Table1[[#This Row],[Reference]],metron,9,FALSE)</f>
        <v>1.2477119808919459</v>
      </c>
      <c r="BV201">
        <f>VLOOKUP(Table1[[#This Row],[Reference]],metron,10,FALSE)</f>
        <v>2.4900895140664963</v>
      </c>
      <c r="BW201">
        <f>VLOOKUP(Table1[[#This Row],[Reference]],metron,11,FALSE)</f>
        <v>1.330562659846547</v>
      </c>
      <c r="BX201">
        <f>VLOOKUP(Table1[[#This Row],[Reference]],metron,12,FALSE)</f>
        <v>1.1595268542199491</v>
      </c>
      <c r="BY201" s="6">
        <f>VLOOKUP(Table1[[#This Row],[Reference]],metron,13,FALSE)</f>
        <v>0.59053607588191415</v>
      </c>
      <c r="BZ201" s="6">
        <f>VLOOKUP(Table1[[#This Row],[Reference]],metron,14,FALSE)</f>
        <v>0.50069274219332838</v>
      </c>
      <c r="CA201" s="6">
        <f>VLOOKUP(Table1[[#This Row],[Reference]],metron,15,FALSE)</f>
        <v>11.79715236686391</v>
      </c>
      <c r="CB201" s="6">
        <f>VLOOKUP(Table1[[#This Row],[Reference]],metron,16,FALSE)</f>
        <v>10.317122781065089</v>
      </c>
      <c r="CC201" s="6">
        <f>VLOOKUP(Table1[[#This Row],[Reference]],metron,17,FALSE)</f>
        <v>5.0637025966747622</v>
      </c>
      <c r="CD201" s="6">
        <f>VLOOKUP(Table1[[#This Row],[Reference]],metron,18,FALSE)</f>
        <v>4.4674014571268454</v>
      </c>
      <c r="CE201" s="6">
        <f>VLOOKUP(Table1[[#This Row],[Reference]],metron,19,FALSE)</f>
        <v>6.7334497701891483</v>
      </c>
      <c r="CF201" s="6">
        <f>VLOOKUP(Table1[[#This Row],[Reference]],metron,20,FALSE)</f>
        <v>5.849721323938244</v>
      </c>
      <c r="CG201" s="6">
        <f>VLOOKUP(Table1[[#This Row],[Reference]],metron,21,FALSE)</f>
        <v>12.89644194756554</v>
      </c>
      <c r="CH201" s="6">
        <f>VLOOKUP(Table1[[#This Row],[Reference]],metron,22,FALSE)</f>
        <v>13.3434456928839</v>
      </c>
      <c r="CI201" s="6">
        <f>VLOOKUP(Table1[[#This Row],[Reference]],metron,23,FALSE)</f>
        <v>1.6144382124117971</v>
      </c>
      <c r="CJ201" s="6">
        <f>VLOOKUP(Table1[[#This Row],[Reference]],metron,24,FALSE)</f>
        <v>1.9032024606477289</v>
      </c>
      <c r="CK201" s="6">
        <f>VLOOKUP(Table1[[#This Row],[Reference]],metron,25,FALSE)</f>
        <v>9.372172969060974E-2</v>
      </c>
      <c r="CL201" s="6">
        <f>VLOOKUP(Table1[[#This Row],[Reference]],metron,26,FALSE)</f>
        <v>0.11669983716301791</v>
      </c>
    </row>
    <row r="202" spans="1:90" hidden="1" x14ac:dyDescent="0.45">
      <c r="A202" t="s">
        <v>695</v>
      </c>
      <c r="B202">
        <v>1644184800</v>
      </c>
      <c r="C202" s="23" t="s">
        <v>457</v>
      </c>
      <c r="D202" t="s">
        <v>65</v>
      </c>
      <c r="E202" t="s">
        <v>66</v>
      </c>
      <c r="F202" t="s">
        <v>67</v>
      </c>
      <c r="G202" t="s">
        <v>102</v>
      </c>
      <c r="H202" t="s">
        <v>66</v>
      </c>
      <c r="I202">
        <f>MROUND(Table1[[#This Row],[ProbH]]*100,2)/100</f>
        <v>0.38</v>
      </c>
      <c r="J202">
        <f>1/Table1[[#This Row],[odds_ft_home_team_win]]-Table1[[#This Row],[Margin]]</f>
        <v>0.38317423209299306</v>
      </c>
      <c r="K202">
        <f>1/Table1[[#This Row],[odds_ft_draw]]-Table1[[#This Row],[Margin]]</f>
        <v>0.31133515163322295</v>
      </c>
      <c r="L202">
        <f>1/Table1[[#This Row],[odds_ft_away_team_win]]-Table1[[#This Row],[Margin]]</f>
        <v>0.30549061627378399</v>
      </c>
      <c r="M202">
        <v>4</v>
      </c>
      <c r="N202">
        <v>1.22</v>
      </c>
      <c r="O202">
        <v>1.5</v>
      </c>
      <c r="P202">
        <v>1.24</v>
      </c>
      <c r="Q202">
        <v>1.42</v>
      </c>
      <c r="R202" t="str" cm="1">
        <f t="array" ref="R2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2">
        <v>0</v>
      </c>
      <c r="T202">
        <v>2</v>
      </c>
      <c r="U202">
        <v>2</v>
      </c>
      <c r="V202">
        <v>2</v>
      </c>
      <c r="W202">
        <v>0</v>
      </c>
      <c r="X202">
        <v>2</v>
      </c>
      <c r="Z202" t="s">
        <v>458</v>
      </c>
      <c r="AA202">
        <v>4</v>
      </c>
      <c r="AB202">
        <v>3</v>
      </c>
      <c r="AC202">
        <v>4</v>
      </c>
      <c r="AD202">
        <v>0</v>
      </c>
      <c r="AE202">
        <v>5</v>
      </c>
      <c r="AF202">
        <v>0</v>
      </c>
      <c r="AG202">
        <v>1</v>
      </c>
      <c r="AH202">
        <v>3</v>
      </c>
      <c r="AI202">
        <v>2</v>
      </c>
      <c r="AJ202">
        <v>3</v>
      </c>
      <c r="AK202">
        <v>20</v>
      </c>
      <c r="AL202">
        <v>16</v>
      </c>
      <c r="AM202">
        <v>7</v>
      </c>
      <c r="AN202">
        <v>4</v>
      </c>
      <c r="AO202">
        <v>13</v>
      </c>
      <c r="AP202">
        <v>12</v>
      </c>
      <c r="AQ202">
        <v>17</v>
      </c>
      <c r="AR202">
        <v>17</v>
      </c>
      <c r="AS202">
        <v>59</v>
      </c>
      <c r="AT202">
        <v>41</v>
      </c>
      <c r="AU202">
        <v>2.1800000000000002</v>
      </c>
      <c r="AV202">
        <v>1.6</v>
      </c>
      <c r="AW202">
        <v>1.96</v>
      </c>
      <c r="AX202">
        <v>32</v>
      </c>
      <c r="AY202">
        <v>68</v>
      </c>
      <c r="AZ202">
        <v>17</v>
      </c>
      <c r="BA202">
        <v>11</v>
      </c>
      <c r="BB202">
        <v>6</v>
      </c>
      <c r="BC202">
        <v>22</v>
      </c>
      <c r="BD202">
        <v>64</v>
      </c>
      <c r="BE202">
        <v>26</v>
      </c>
      <c r="BF202">
        <v>74</v>
      </c>
      <c r="BG202">
        <v>7.37</v>
      </c>
      <c r="BH202">
        <v>5.84</v>
      </c>
      <c r="BI202">
        <v>2.4</v>
      </c>
      <c r="BJ202">
        <v>2.9</v>
      </c>
      <c r="BK202">
        <v>2.95</v>
      </c>
      <c r="BL202">
        <f>(1/Table1[[#This Row],[odds_ft_home_team_win]]+1/Table1[[#This Row],[odds_ft_draw]]+1/Table1[[#This Row],[odds_ft_away_team_win]]-1)/3</f>
        <v>3.3492434573673645E-2</v>
      </c>
      <c r="BM202">
        <v>1.45</v>
      </c>
      <c r="BN202">
        <v>2.2999999999999998</v>
      </c>
      <c r="BO202">
        <v>4.54</v>
      </c>
      <c r="BP202">
        <v>8.8000000000000007</v>
      </c>
      <c r="BQ202">
        <v>1.95</v>
      </c>
      <c r="BR202">
        <v>1.8</v>
      </c>
      <c r="BS202" t="s">
        <v>70</v>
      </c>
      <c r="BT202">
        <f>VLOOKUP(Table1[[#This Row],[Reference]],metron,8,FALSE)</f>
        <v>1.464160929441638</v>
      </c>
      <c r="BU202">
        <f>VLOOKUP(Table1[[#This Row],[Reference]],metron,9,FALSE)</f>
        <v>1.2477119808919459</v>
      </c>
      <c r="BV202">
        <f>VLOOKUP(Table1[[#This Row],[Reference]],metron,10,FALSE)</f>
        <v>2.4900895140664963</v>
      </c>
      <c r="BW202">
        <f>VLOOKUP(Table1[[#This Row],[Reference]],metron,11,FALSE)</f>
        <v>1.330562659846547</v>
      </c>
      <c r="BX202">
        <f>VLOOKUP(Table1[[#This Row],[Reference]],metron,12,FALSE)</f>
        <v>1.1595268542199491</v>
      </c>
      <c r="BY202" s="6">
        <f>VLOOKUP(Table1[[#This Row],[Reference]],metron,13,FALSE)</f>
        <v>0.59053607588191415</v>
      </c>
      <c r="BZ202" s="6">
        <f>VLOOKUP(Table1[[#This Row],[Reference]],metron,14,FALSE)</f>
        <v>0.50069274219332838</v>
      </c>
      <c r="CA202" s="6">
        <f>VLOOKUP(Table1[[#This Row],[Reference]],metron,15,FALSE)</f>
        <v>11.79715236686391</v>
      </c>
      <c r="CB202" s="6">
        <f>VLOOKUP(Table1[[#This Row],[Reference]],metron,16,FALSE)</f>
        <v>10.317122781065089</v>
      </c>
      <c r="CC202" s="6">
        <f>VLOOKUP(Table1[[#This Row],[Reference]],metron,17,FALSE)</f>
        <v>5.0637025966747622</v>
      </c>
      <c r="CD202" s="6">
        <f>VLOOKUP(Table1[[#This Row],[Reference]],metron,18,FALSE)</f>
        <v>4.4674014571268454</v>
      </c>
      <c r="CE202" s="6">
        <f>VLOOKUP(Table1[[#This Row],[Reference]],metron,19,FALSE)</f>
        <v>6.7334497701891483</v>
      </c>
      <c r="CF202" s="6">
        <f>VLOOKUP(Table1[[#This Row],[Reference]],metron,20,FALSE)</f>
        <v>5.849721323938244</v>
      </c>
      <c r="CG202" s="6">
        <f>VLOOKUP(Table1[[#This Row],[Reference]],metron,21,FALSE)</f>
        <v>12.89644194756554</v>
      </c>
      <c r="CH202" s="6">
        <f>VLOOKUP(Table1[[#This Row],[Reference]],metron,22,FALSE)</f>
        <v>13.3434456928839</v>
      </c>
      <c r="CI202" s="6">
        <f>VLOOKUP(Table1[[#This Row],[Reference]],metron,23,FALSE)</f>
        <v>1.6144382124117971</v>
      </c>
      <c r="CJ202" s="6">
        <f>VLOOKUP(Table1[[#This Row],[Reference]],metron,24,FALSE)</f>
        <v>1.9032024606477289</v>
      </c>
      <c r="CK202" s="6">
        <f>VLOOKUP(Table1[[#This Row],[Reference]],metron,25,FALSE)</f>
        <v>9.372172969060974E-2</v>
      </c>
      <c r="CL202" s="6">
        <f>VLOOKUP(Table1[[#This Row],[Reference]],metron,26,FALSE)</f>
        <v>0.11669983716301791</v>
      </c>
    </row>
    <row r="203" spans="1:90" hidden="1" x14ac:dyDescent="0.45">
      <c r="A203" t="s">
        <v>695</v>
      </c>
      <c r="B203">
        <v>1644192000</v>
      </c>
      <c r="C203" s="23" t="s">
        <v>459</v>
      </c>
      <c r="D203" t="s">
        <v>65</v>
      </c>
      <c r="E203" t="s">
        <v>66</v>
      </c>
      <c r="F203" t="s">
        <v>97</v>
      </c>
      <c r="G203" t="s">
        <v>73</v>
      </c>
      <c r="H203" t="s">
        <v>74</v>
      </c>
      <c r="I203">
        <f>MROUND(Table1[[#This Row],[ProbH]]*100,2)/100</f>
        <v>0.44</v>
      </c>
      <c r="J203">
        <f>1/Table1[[#This Row],[odds_ft_home_team_win]]-Table1[[#This Row],[Margin]]</f>
        <v>0.44285714285714289</v>
      </c>
      <c r="K203">
        <f>1/Table1[[#This Row],[odds_ft_draw]]-Table1[[#This Row],[Margin]]</f>
        <v>0.32380952380952388</v>
      </c>
      <c r="L203">
        <f>1/Table1[[#This Row],[odds_ft_away_team_win]]-Table1[[#This Row],[Margin]]</f>
        <v>0.23333333333333336</v>
      </c>
      <c r="M203">
        <v>4</v>
      </c>
      <c r="N203">
        <v>1.62</v>
      </c>
      <c r="O203">
        <v>1.2</v>
      </c>
      <c r="P203">
        <v>1.55</v>
      </c>
      <c r="Q203">
        <v>1.1100000000000001</v>
      </c>
      <c r="R203" t="str" cm="1">
        <f t="array" ref="R2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3">
        <v>2</v>
      </c>
      <c r="T203">
        <v>1</v>
      </c>
      <c r="U203">
        <v>3</v>
      </c>
      <c r="V203">
        <v>2</v>
      </c>
      <c r="W203">
        <v>2</v>
      </c>
      <c r="X203">
        <v>0</v>
      </c>
      <c r="Y203" t="s">
        <v>460</v>
      </c>
      <c r="Z203">
        <v>84</v>
      </c>
      <c r="AA203">
        <v>2</v>
      </c>
      <c r="AB203">
        <v>2</v>
      </c>
      <c r="AC203">
        <v>1</v>
      </c>
      <c r="AD203">
        <v>0</v>
      </c>
      <c r="AE203">
        <v>3</v>
      </c>
      <c r="AF203">
        <v>0</v>
      </c>
      <c r="AG203">
        <v>0</v>
      </c>
      <c r="AH203">
        <v>1</v>
      </c>
      <c r="AI203">
        <v>0</v>
      </c>
      <c r="AJ203">
        <v>3</v>
      </c>
      <c r="AK203">
        <v>9</v>
      </c>
      <c r="AL203">
        <v>14</v>
      </c>
      <c r="AM203">
        <v>4</v>
      </c>
      <c r="AN203">
        <v>5</v>
      </c>
      <c r="AO203">
        <v>5</v>
      </c>
      <c r="AP203">
        <v>9</v>
      </c>
      <c r="AQ203">
        <v>19</v>
      </c>
      <c r="AR203">
        <v>14</v>
      </c>
      <c r="AS203">
        <v>54</v>
      </c>
      <c r="AT203">
        <v>46</v>
      </c>
      <c r="AU203">
        <v>1.07</v>
      </c>
      <c r="AV203">
        <v>1.54</v>
      </c>
      <c r="AW203">
        <v>2.09</v>
      </c>
      <c r="AX203">
        <v>43</v>
      </c>
      <c r="AY203">
        <v>68</v>
      </c>
      <c r="AZ203">
        <v>34</v>
      </c>
      <c r="BA203">
        <v>10</v>
      </c>
      <c r="BB203">
        <v>5</v>
      </c>
      <c r="BC203">
        <v>15</v>
      </c>
      <c r="BD203">
        <v>54</v>
      </c>
      <c r="BE203">
        <v>42</v>
      </c>
      <c r="BF203">
        <v>89</v>
      </c>
      <c r="BG203">
        <v>11.69</v>
      </c>
      <c r="BH203">
        <v>5.15</v>
      </c>
      <c r="BI203">
        <v>2.1</v>
      </c>
      <c r="BJ203">
        <v>2.8</v>
      </c>
      <c r="BK203">
        <v>3.75</v>
      </c>
      <c r="BL203">
        <f>(1/Table1[[#This Row],[odds_ft_home_team_win]]+1/Table1[[#This Row],[odds_ft_draw]]+1/Table1[[#This Row],[odds_ft_away_team_win]]-1)/3</f>
        <v>3.3333333333333291E-2</v>
      </c>
      <c r="BM203">
        <v>1.45</v>
      </c>
      <c r="BN203">
        <v>2.4</v>
      </c>
      <c r="BO203">
        <v>4.54</v>
      </c>
      <c r="BP203">
        <v>8.9</v>
      </c>
      <c r="BQ203">
        <v>2.0499999999999998</v>
      </c>
      <c r="BR203">
        <v>1.7</v>
      </c>
      <c r="BS203" t="s">
        <v>136</v>
      </c>
      <c r="BT203">
        <f>VLOOKUP(Table1[[#This Row],[Reference]],metron,8,FALSE)</f>
        <v>1.6395459745305552</v>
      </c>
      <c r="BU203">
        <f>VLOOKUP(Table1[[#This Row],[Reference]],metron,9,FALSE)</f>
        <v>1.0758429359324786</v>
      </c>
      <c r="BV203">
        <f>VLOOKUP(Table1[[#This Row],[Reference]],metron,10,FALSE)</f>
        <v>2.4807646356033461</v>
      </c>
      <c r="BW203">
        <f>VLOOKUP(Table1[[#This Row],[Reference]],metron,11,FALSE)</f>
        <v>1.4140979689366791</v>
      </c>
      <c r="BX203">
        <f>VLOOKUP(Table1[[#This Row],[Reference]],metron,12,FALSE)</f>
        <v>1.0666666666666671</v>
      </c>
      <c r="BY203" s="6">
        <f>VLOOKUP(Table1[[#This Row],[Reference]],metron,13,FALSE)</f>
        <v>0.62712066905615294</v>
      </c>
      <c r="BZ203" s="6">
        <f>VLOOKUP(Table1[[#This Row],[Reference]],metron,14,FALSE)</f>
        <v>0.46009557945041818</v>
      </c>
      <c r="CA203" s="6">
        <f>VLOOKUP(Table1[[#This Row],[Reference]],metron,15,FALSE)</f>
        <v>12.56969280146722</v>
      </c>
      <c r="CB203" s="6">
        <f>VLOOKUP(Table1[[#This Row],[Reference]],metron,16,FALSE)</f>
        <v>9.8695552498853729</v>
      </c>
      <c r="CC203" s="6">
        <f>VLOOKUP(Table1[[#This Row],[Reference]],metron,17,FALSE)</f>
        <v>5.2754256787850897</v>
      </c>
      <c r="CD203" s="6">
        <f>VLOOKUP(Table1[[#This Row],[Reference]],metron,18,FALSE)</f>
        <v>4.1279337321675103</v>
      </c>
      <c r="CE203" s="6">
        <f>VLOOKUP(Table1[[#This Row],[Reference]],metron,19,FALSE)</f>
        <v>7.2942671226821298</v>
      </c>
      <c r="CF203" s="6">
        <f>VLOOKUP(Table1[[#This Row],[Reference]],metron,20,FALSE)</f>
        <v>5.7416215177178627</v>
      </c>
      <c r="CG203" s="6">
        <f>VLOOKUP(Table1[[#This Row],[Reference]],metron,21,FALSE)</f>
        <v>12.897246007868549</v>
      </c>
      <c r="CH203" s="6">
        <f>VLOOKUP(Table1[[#This Row],[Reference]],metron,22,FALSE)</f>
        <v>13.507058551261281</v>
      </c>
      <c r="CI203" s="6">
        <f>VLOOKUP(Table1[[#This Row],[Reference]],metron,23,FALSE)</f>
        <v>1.576522702104098</v>
      </c>
      <c r="CJ203" s="6">
        <f>VLOOKUP(Table1[[#This Row],[Reference]],metron,24,FALSE)</f>
        <v>1.917165005537099</v>
      </c>
      <c r="CK203" s="6">
        <f>VLOOKUP(Table1[[#This Row],[Reference]],metron,25,FALSE)</f>
        <v>8.4385382059800659E-2</v>
      </c>
      <c r="CL203" s="6">
        <f>VLOOKUP(Table1[[#This Row],[Reference]],metron,26,FALSE)</f>
        <v>0.1233665559246955</v>
      </c>
    </row>
    <row r="204" spans="1:90" hidden="1" x14ac:dyDescent="0.45">
      <c r="A204" t="s">
        <v>695</v>
      </c>
      <c r="B204">
        <v>1644199200</v>
      </c>
      <c r="C204" s="23" t="s">
        <v>461</v>
      </c>
      <c r="D204" t="s">
        <v>65</v>
      </c>
      <c r="E204" t="s">
        <v>66</v>
      </c>
      <c r="F204" t="s">
        <v>107</v>
      </c>
      <c r="G204" t="s">
        <v>113</v>
      </c>
      <c r="H204" t="s">
        <v>130</v>
      </c>
      <c r="I204">
        <f>MROUND(Table1[[#This Row],[ProbH]]*100,2)/100</f>
        <v>0.7</v>
      </c>
      <c r="J204">
        <f>1/Table1[[#This Row],[odds_ft_home_team_win]]-Table1[[#This Row],[Margin]]</f>
        <v>0.69170579029733958</v>
      </c>
      <c r="K204">
        <f>1/Table1[[#This Row],[odds_ft_draw]]-Table1[[#This Row],[Margin]]</f>
        <v>0.2097026604068857</v>
      </c>
      <c r="L204">
        <f>1/Table1[[#This Row],[odds_ft_away_team_win]]-Table1[[#This Row],[Margin]]</f>
        <v>9.8591549295774614E-2</v>
      </c>
      <c r="M204">
        <v>4</v>
      </c>
      <c r="N204">
        <v>1.92</v>
      </c>
      <c r="O204">
        <v>0.56000000000000005</v>
      </c>
      <c r="P204">
        <v>2</v>
      </c>
      <c r="Q204">
        <v>0.72</v>
      </c>
      <c r="R204" t="str" cm="1">
        <f t="array" ref="R2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4">
        <v>4</v>
      </c>
      <c r="T204">
        <v>3</v>
      </c>
      <c r="U204">
        <v>7</v>
      </c>
      <c r="V204">
        <v>2</v>
      </c>
      <c r="W204">
        <v>2</v>
      </c>
      <c r="X204">
        <v>0</v>
      </c>
      <c r="Y204" t="s">
        <v>462</v>
      </c>
      <c r="Z204" t="s">
        <v>463</v>
      </c>
      <c r="AA204">
        <v>8</v>
      </c>
      <c r="AB204">
        <v>5</v>
      </c>
      <c r="AC204">
        <v>3</v>
      </c>
      <c r="AD204">
        <v>0</v>
      </c>
      <c r="AE204">
        <v>5</v>
      </c>
      <c r="AF204">
        <v>1</v>
      </c>
      <c r="AG204">
        <v>1</v>
      </c>
      <c r="AH204">
        <v>2</v>
      </c>
      <c r="AI204">
        <v>1</v>
      </c>
      <c r="AJ204">
        <v>5</v>
      </c>
      <c r="AK204">
        <v>10</v>
      </c>
      <c r="AL204">
        <v>9</v>
      </c>
      <c r="AM204">
        <v>6</v>
      </c>
      <c r="AN204">
        <v>4</v>
      </c>
      <c r="AO204">
        <v>4</v>
      </c>
      <c r="AP204">
        <v>5</v>
      </c>
      <c r="AQ204">
        <v>17</v>
      </c>
      <c r="AR204">
        <v>16</v>
      </c>
      <c r="AS204">
        <v>62</v>
      </c>
      <c r="AT204">
        <v>38</v>
      </c>
      <c r="AU204">
        <v>1.59</v>
      </c>
      <c r="AV204">
        <v>1.04</v>
      </c>
      <c r="AW204">
        <v>2.2000000000000002</v>
      </c>
      <c r="AX204">
        <v>32</v>
      </c>
      <c r="AY204">
        <v>77</v>
      </c>
      <c r="AZ204">
        <v>47</v>
      </c>
      <c r="BA204">
        <v>10</v>
      </c>
      <c r="BB204">
        <v>0</v>
      </c>
      <c r="BC204">
        <v>24</v>
      </c>
      <c r="BD204">
        <v>73</v>
      </c>
      <c r="BE204">
        <v>33</v>
      </c>
      <c r="BF204">
        <v>66</v>
      </c>
      <c r="BG204">
        <v>8.5299999999999994</v>
      </c>
      <c r="BH204">
        <v>4.8099999999999996</v>
      </c>
      <c r="BI204">
        <v>1.42</v>
      </c>
      <c r="BJ204">
        <v>4.5</v>
      </c>
      <c r="BK204">
        <v>9</v>
      </c>
      <c r="BL204">
        <f>(1/Table1[[#This Row],[odds_ft_home_team_win]]+1/Table1[[#This Row],[odds_ft_draw]]+1/Table1[[#This Row],[odds_ft_away_team_win]]-1)/3</f>
        <v>1.2519561815336496E-2</v>
      </c>
      <c r="BM204">
        <v>0</v>
      </c>
      <c r="BN204">
        <v>1.82</v>
      </c>
      <c r="BO204">
        <v>0</v>
      </c>
      <c r="BP204">
        <v>0</v>
      </c>
      <c r="BQ204">
        <v>0</v>
      </c>
      <c r="BR204">
        <v>0</v>
      </c>
      <c r="BS204" t="s">
        <v>161</v>
      </c>
      <c r="BT204">
        <f>VLOOKUP(Table1[[#This Row],[Reference]],metron,8,FALSE)</f>
        <v>2.3288743096422602</v>
      </c>
      <c r="BU204">
        <f>VLOOKUP(Table1[[#This Row],[Reference]],metron,9,FALSE)</f>
        <v>0.47695922076506025</v>
      </c>
      <c r="BV204">
        <f>VLOOKUP(Table1[[#This Row],[Reference]],metron,10,FALSE)</f>
        <v>2.9925826028320968</v>
      </c>
      <c r="BW204">
        <f>VLOOKUP(Table1[[#This Row],[Reference]],metron,11,FALSE)</f>
        <v>2.224544841537424</v>
      </c>
      <c r="BX204">
        <f>VLOOKUP(Table1[[#This Row],[Reference]],metron,12,FALSE)</f>
        <v>0.76803776129467294</v>
      </c>
      <c r="BY204" s="6">
        <f>VLOOKUP(Table1[[#This Row],[Reference]],metron,13,FALSE)</f>
        <v>0.96561024949426832</v>
      </c>
      <c r="BZ204" s="6">
        <f>VLOOKUP(Table1[[#This Row],[Reference]],metron,14,FALSE)</f>
        <v>0.34187457855697911</v>
      </c>
      <c r="CA204" s="6">
        <f>VLOOKUP(Table1[[#This Row],[Reference]],metron,15,FALSE)</f>
        <v>16.100000000000001</v>
      </c>
      <c r="CB204" s="6">
        <f>VLOOKUP(Table1[[#This Row],[Reference]],metron,16,FALSE)</f>
        <v>8.3493506493506491</v>
      </c>
      <c r="CC204" s="6">
        <f>VLOOKUP(Table1[[#This Row],[Reference]],metron,17,FALSE)</f>
        <v>7.2678100263852254</v>
      </c>
      <c r="CD204" s="6">
        <f>VLOOKUP(Table1[[#This Row],[Reference]],metron,18,FALSE)</f>
        <v>3.2770448548812658</v>
      </c>
      <c r="CE204" s="6">
        <f>VLOOKUP(Table1[[#This Row],[Reference]],metron,19,FALSE)</f>
        <v>8.832189973614776</v>
      </c>
      <c r="CF204" s="6">
        <f>VLOOKUP(Table1[[#This Row],[Reference]],metron,20,FALSE)</f>
        <v>5.0723057944693828</v>
      </c>
      <c r="CG204" s="6">
        <f>VLOOKUP(Table1[[#This Row],[Reference]],metron,21,FALSE)</f>
        <v>11.95872170439414</v>
      </c>
      <c r="CH204" s="6">
        <f>VLOOKUP(Table1[[#This Row],[Reference]],metron,22,FALSE)</f>
        <v>13.450066577896139</v>
      </c>
      <c r="CI204" s="6">
        <f>VLOOKUP(Table1[[#This Row],[Reference]],metron,23,FALSE)</f>
        <v>1.301526717557252</v>
      </c>
      <c r="CJ204" s="6">
        <f>VLOOKUP(Table1[[#This Row],[Reference]],metron,24,FALSE)</f>
        <v>1.9796437659033079</v>
      </c>
      <c r="CK204" s="6">
        <f>VLOOKUP(Table1[[#This Row],[Reference]],metron,25,FALSE)</f>
        <v>5.3435114503816793E-2</v>
      </c>
      <c r="CL204" s="6">
        <f>VLOOKUP(Table1[[#This Row],[Reference]],metron,26,FALSE)</f>
        <v>0.1183206106870229</v>
      </c>
    </row>
    <row r="205" spans="1:90" hidden="1" x14ac:dyDescent="0.45">
      <c r="A205" t="s">
        <v>695</v>
      </c>
      <c r="B205">
        <v>1644289500</v>
      </c>
      <c r="C205" s="23" t="s">
        <v>464</v>
      </c>
      <c r="D205" t="s">
        <v>65</v>
      </c>
      <c r="E205" t="s">
        <v>66</v>
      </c>
      <c r="F205" t="s">
        <v>85</v>
      </c>
      <c r="G205" t="s">
        <v>112</v>
      </c>
      <c r="H205" t="s">
        <v>138</v>
      </c>
      <c r="I205">
        <f>MROUND(Table1[[#This Row],[ProbH]]*100,2)/100</f>
        <v>0.48</v>
      </c>
      <c r="J205">
        <f>1/Table1[[#This Row],[odds_ft_home_team_win]]-Table1[[#This Row],[Margin]]</f>
        <v>0.47441966683168935</v>
      </c>
      <c r="K205">
        <f>1/Table1[[#This Row],[odds_ft_draw]]-Table1[[#This Row],[Margin]]</f>
        <v>0.28362478600510727</v>
      </c>
      <c r="L205">
        <f>1/Table1[[#This Row],[odds_ft_away_team_win]]-Table1[[#This Row],[Margin]]</f>
        <v>0.24195554716320347</v>
      </c>
      <c r="M205">
        <v>4</v>
      </c>
      <c r="N205">
        <v>1.92</v>
      </c>
      <c r="O205">
        <v>1.2</v>
      </c>
      <c r="P205">
        <v>1.55</v>
      </c>
      <c r="Q205">
        <v>1.5</v>
      </c>
      <c r="R205" t="str" cm="1">
        <f t="array" ref="R2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1</v>
      </c>
      <c r="Z205">
        <v>30</v>
      </c>
      <c r="AA205">
        <v>6</v>
      </c>
      <c r="AB205">
        <v>3</v>
      </c>
      <c r="AC205">
        <v>3</v>
      </c>
      <c r="AD205">
        <v>0</v>
      </c>
      <c r="AE205">
        <v>2</v>
      </c>
      <c r="AF205">
        <v>0</v>
      </c>
      <c r="AG205">
        <v>2</v>
      </c>
      <c r="AH205">
        <v>1</v>
      </c>
      <c r="AI205">
        <v>1</v>
      </c>
      <c r="AJ205">
        <v>1</v>
      </c>
      <c r="AK205">
        <v>17</v>
      </c>
      <c r="AL205">
        <v>4</v>
      </c>
      <c r="AM205">
        <v>7</v>
      </c>
      <c r="AN205">
        <v>2</v>
      </c>
      <c r="AO205">
        <v>10</v>
      </c>
      <c r="AP205">
        <v>2</v>
      </c>
      <c r="AQ205">
        <v>16</v>
      </c>
      <c r="AR205">
        <v>18</v>
      </c>
      <c r="AS205">
        <v>69</v>
      </c>
      <c r="AT205">
        <v>31</v>
      </c>
      <c r="AU205">
        <v>2.13</v>
      </c>
      <c r="AV205">
        <v>0.82</v>
      </c>
      <c r="AW205">
        <v>2.4300000000000002</v>
      </c>
      <c r="AX205">
        <v>66</v>
      </c>
      <c r="AY205">
        <v>78</v>
      </c>
      <c r="AZ205">
        <v>47</v>
      </c>
      <c r="BA205">
        <v>14</v>
      </c>
      <c r="BB205">
        <v>9</v>
      </c>
      <c r="BC205">
        <v>36</v>
      </c>
      <c r="BD205">
        <v>78</v>
      </c>
      <c r="BE205">
        <v>34</v>
      </c>
      <c r="BF205">
        <v>68</v>
      </c>
      <c r="BG205">
        <v>8.0500000000000007</v>
      </c>
      <c r="BH205">
        <v>5.94</v>
      </c>
      <c r="BI205">
        <v>2.04</v>
      </c>
      <c r="BJ205">
        <v>3.34</v>
      </c>
      <c r="BK205">
        <v>3.88</v>
      </c>
      <c r="BL205">
        <f>(1/Table1[[#This Row],[odds_ft_home_team_win]]+1/Table1[[#This Row],[odds_ft_draw]]+1/Table1[[#This Row],[odds_ft_away_team_win]]-1)/3</f>
        <v>1.5776411599683165E-2</v>
      </c>
      <c r="BM205">
        <v>1.44</v>
      </c>
      <c r="BN205">
        <v>2.15</v>
      </c>
      <c r="BO205">
        <v>4.4000000000000004</v>
      </c>
      <c r="BP205">
        <v>8.4</v>
      </c>
      <c r="BQ205">
        <v>2</v>
      </c>
      <c r="BR205">
        <v>1.75</v>
      </c>
      <c r="BS205" t="s">
        <v>128</v>
      </c>
      <c r="BT205">
        <f>VLOOKUP(Table1[[#This Row],[Reference]],metron,8,FALSE)</f>
        <v>1.743992017160418</v>
      </c>
      <c r="BU205">
        <f>VLOOKUP(Table1[[#This Row],[Reference]],metron,9,FALSE)</f>
        <v>0.97803937284245479</v>
      </c>
      <c r="BV205">
        <f>VLOOKUP(Table1[[#This Row],[Reference]],metron,10,FALSE)</f>
        <v>2.5271929824561399</v>
      </c>
      <c r="BW205">
        <f>VLOOKUP(Table1[[#This Row],[Reference]],metron,11,FALSE)</f>
        <v>1.510877192982456</v>
      </c>
      <c r="BX205">
        <f>VLOOKUP(Table1[[#This Row],[Reference]],metron,12,FALSE)</f>
        <v>1.0163157894736841</v>
      </c>
      <c r="BY205" s="6">
        <f>VLOOKUP(Table1[[#This Row],[Reference]],metron,13,FALSE)</f>
        <v>0.67350877192982461</v>
      </c>
      <c r="BZ205" s="6">
        <f>VLOOKUP(Table1[[#This Row],[Reference]],metron,14,FALSE)</f>
        <v>0.4442105263157895</v>
      </c>
      <c r="CA205" s="6">
        <f>VLOOKUP(Table1[[#This Row],[Reference]],metron,15,FALSE)</f>
        <v>12.80980392156863</v>
      </c>
      <c r="CB205" s="6">
        <f>VLOOKUP(Table1[[#This Row],[Reference]],metron,16,FALSE)</f>
        <v>9.6872549019607845</v>
      </c>
      <c r="CC205" s="6">
        <f>VLOOKUP(Table1[[#This Row],[Reference]],metron,17,FALSE)</f>
        <v>5.6491169610129957</v>
      </c>
      <c r="CD205" s="6">
        <f>VLOOKUP(Table1[[#This Row],[Reference]],metron,18,FALSE)</f>
        <v>4.1379540153282237</v>
      </c>
      <c r="CE205" s="6">
        <f>VLOOKUP(Table1[[#This Row],[Reference]],metron,19,FALSE)</f>
        <v>7.1606869605556343</v>
      </c>
      <c r="CF205" s="6">
        <f>VLOOKUP(Table1[[#This Row],[Reference]],metron,20,FALSE)</f>
        <v>5.5493008866325608</v>
      </c>
      <c r="CG205" s="6">
        <f>VLOOKUP(Table1[[#This Row],[Reference]],metron,21,FALSE)</f>
        <v>12.9029029029029</v>
      </c>
      <c r="CH205" s="6">
        <f>VLOOKUP(Table1[[#This Row],[Reference]],metron,22,FALSE)</f>
        <v>13.75508842175509</v>
      </c>
      <c r="CI205" s="6">
        <f>VLOOKUP(Table1[[#This Row],[Reference]],metron,23,FALSE)</f>
        <v>1.5287356321839081</v>
      </c>
      <c r="CJ205" s="6">
        <f>VLOOKUP(Table1[[#This Row],[Reference]],metron,24,FALSE)</f>
        <v>1.9664750957854411</v>
      </c>
      <c r="CK205" s="6">
        <f>VLOOKUP(Table1[[#This Row],[Reference]],metron,25,FALSE)</f>
        <v>8.8441890166028103E-2</v>
      </c>
      <c r="CL205" s="6">
        <f>VLOOKUP(Table1[[#This Row],[Reference]],metron,26,FALSE)</f>
        <v>0.13409961685823751</v>
      </c>
    </row>
    <row r="206" spans="1:90" hidden="1" x14ac:dyDescent="0.45">
      <c r="A206" t="s">
        <v>695</v>
      </c>
      <c r="B206">
        <v>1644454800</v>
      </c>
      <c r="C206" s="23" t="s">
        <v>465</v>
      </c>
      <c r="D206" t="s">
        <v>65</v>
      </c>
      <c r="E206" t="s">
        <v>66</v>
      </c>
      <c r="F206" t="s">
        <v>78</v>
      </c>
      <c r="G206" t="s">
        <v>90</v>
      </c>
      <c r="H206" t="s">
        <v>175</v>
      </c>
      <c r="I206">
        <f>MROUND(Table1[[#This Row],[ProbH]]*100,2)/100</f>
        <v>0.32</v>
      </c>
      <c r="J206">
        <f>1/Table1[[#This Row],[odds_ft_home_team_win]]-Table1[[#This Row],[Margin]]</f>
        <v>0.32532988952139408</v>
      </c>
      <c r="K206">
        <f>1/Table1[[#This Row],[odds_ft_draw]]-Table1[[#This Row],[Margin]]</f>
        <v>0.32409440644751214</v>
      </c>
      <c r="L206">
        <f>1/Table1[[#This Row],[odds_ft_away_team_win]]-Table1[[#This Row],[Margin]]</f>
        <v>0.35057570403109378</v>
      </c>
      <c r="M206">
        <v>4</v>
      </c>
      <c r="N206">
        <v>1.56</v>
      </c>
      <c r="O206">
        <v>1.0900000000000001</v>
      </c>
      <c r="P206">
        <v>0.88</v>
      </c>
      <c r="Q206">
        <v>1.32</v>
      </c>
      <c r="R206" t="str" cm="1">
        <f t="array" ref="R2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6">
        <v>1</v>
      </c>
      <c r="T206">
        <v>3</v>
      </c>
      <c r="U206">
        <v>4</v>
      </c>
      <c r="V206">
        <v>2</v>
      </c>
      <c r="W206">
        <v>1</v>
      </c>
      <c r="X206">
        <v>1</v>
      </c>
      <c r="Y206">
        <v>7</v>
      </c>
      <c r="Z206" t="s">
        <v>466</v>
      </c>
      <c r="AA206">
        <v>5</v>
      </c>
      <c r="AB206">
        <v>3</v>
      </c>
      <c r="AC206">
        <v>2</v>
      </c>
      <c r="AD206">
        <v>0</v>
      </c>
      <c r="AE206">
        <v>1</v>
      </c>
      <c r="AF206">
        <v>1</v>
      </c>
      <c r="AG206">
        <v>0</v>
      </c>
      <c r="AH206">
        <v>2</v>
      </c>
      <c r="AI206">
        <v>1</v>
      </c>
      <c r="AJ206">
        <v>1</v>
      </c>
      <c r="AK206">
        <v>8</v>
      </c>
      <c r="AL206">
        <v>11</v>
      </c>
      <c r="AM206">
        <v>2</v>
      </c>
      <c r="AN206">
        <v>6</v>
      </c>
      <c r="AO206">
        <v>6</v>
      </c>
      <c r="AP206">
        <v>5</v>
      </c>
      <c r="AQ206">
        <v>0</v>
      </c>
      <c r="AR206">
        <v>1</v>
      </c>
      <c r="AS206">
        <v>44</v>
      </c>
      <c r="AT206">
        <v>56</v>
      </c>
      <c r="AU206">
        <v>1.17</v>
      </c>
      <c r="AV206">
        <v>1.66</v>
      </c>
      <c r="AW206">
        <v>1.86</v>
      </c>
      <c r="AX206">
        <v>47</v>
      </c>
      <c r="AY206">
        <v>57</v>
      </c>
      <c r="AZ206">
        <v>42</v>
      </c>
      <c r="BA206">
        <v>16</v>
      </c>
      <c r="BB206">
        <v>0</v>
      </c>
      <c r="BC206">
        <v>37</v>
      </c>
      <c r="BD206">
        <v>53</v>
      </c>
      <c r="BE206">
        <v>30</v>
      </c>
      <c r="BF206">
        <v>56</v>
      </c>
      <c r="BG206">
        <v>7.58</v>
      </c>
      <c r="BH206">
        <v>5.31</v>
      </c>
      <c r="BI206">
        <v>2.84</v>
      </c>
      <c r="BJ206">
        <v>2.85</v>
      </c>
      <c r="BK206">
        <v>2.65</v>
      </c>
      <c r="BL206">
        <f>(1/Table1[[#This Row],[odds_ft_home_team_win]]+1/Table1[[#This Row],[odds_ft_draw]]+1/Table1[[#This Row],[odds_ft_away_team_win]]-1)/3</f>
        <v>2.6782786534943998E-2</v>
      </c>
      <c r="BM206">
        <v>1.53</v>
      </c>
      <c r="BN206">
        <v>2.41</v>
      </c>
      <c r="BO206">
        <v>5.05</v>
      </c>
      <c r="BP206">
        <v>9.9</v>
      </c>
      <c r="BQ206">
        <v>2.1</v>
      </c>
      <c r="BR206">
        <v>1.67</v>
      </c>
      <c r="BS206" t="s">
        <v>82</v>
      </c>
      <c r="BT206">
        <f>VLOOKUP(Table1[[#This Row],[Reference]],metron,8,FALSE)</f>
        <v>1.274681051426811</v>
      </c>
      <c r="BU206">
        <f>VLOOKUP(Table1[[#This Row],[Reference]],metron,9,FALSE)</f>
        <v>1.4392482240810365</v>
      </c>
      <c r="BV206">
        <f>VLOOKUP(Table1[[#This Row],[Reference]],metron,10,FALSE)</f>
        <v>2.5313454284174597</v>
      </c>
      <c r="BW206">
        <f>VLOOKUP(Table1[[#This Row],[Reference]],metron,11,FALSE)</f>
        <v>1.210167055864918</v>
      </c>
      <c r="BX206">
        <f>VLOOKUP(Table1[[#This Row],[Reference]],metron,12,FALSE)</f>
        <v>1.3211783725525419</v>
      </c>
      <c r="BY206" s="6">
        <f>VLOOKUP(Table1[[#This Row],[Reference]],metron,13,FALSE)</f>
        <v>0.53135669362084459</v>
      </c>
      <c r="BZ206" s="6">
        <f>VLOOKUP(Table1[[#This Row],[Reference]],metron,14,FALSE)</f>
        <v>0.55633423180592989</v>
      </c>
      <c r="CA206" s="6">
        <f>VLOOKUP(Table1[[#This Row],[Reference]],metron,15,FALSE)</f>
        <v>11.21109010712035</v>
      </c>
      <c r="CB206" s="6">
        <f>VLOOKUP(Table1[[#This Row],[Reference]],metron,16,FALSE)</f>
        <v>11.01700787401575</v>
      </c>
      <c r="CC206" s="6">
        <f>VLOOKUP(Table1[[#This Row],[Reference]],metron,17,FALSE)</f>
        <v>4.6792332268370611</v>
      </c>
      <c r="CD206" s="6">
        <f>VLOOKUP(Table1[[#This Row],[Reference]],metron,18,FALSE)</f>
        <v>4.7080804854679013</v>
      </c>
      <c r="CE206" s="6">
        <f>VLOOKUP(Table1[[#This Row],[Reference]],metron,19,FALSE)</f>
        <v>6.5318568802832893</v>
      </c>
      <c r="CF206" s="6">
        <f>VLOOKUP(Table1[[#This Row],[Reference]],metron,20,FALSE)</f>
        <v>6.3089273885478487</v>
      </c>
      <c r="CG206" s="6">
        <f>VLOOKUP(Table1[[#This Row],[Reference]],metron,21,FALSE)</f>
        <v>12.72547770700637</v>
      </c>
      <c r="CH206" s="6">
        <f>VLOOKUP(Table1[[#This Row],[Reference]],metron,22,FALSE)</f>
        <v>13.06847133757962</v>
      </c>
      <c r="CI206" s="6">
        <f>VLOOKUP(Table1[[#This Row],[Reference]],metron,23,FALSE)</f>
        <v>1.6902356902356901</v>
      </c>
      <c r="CJ206" s="6">
        <f>VLOOKUP(Table1[[#This Row],[Reference]],metron,24,FALSE)</f>
        <v>1.8050198959289869</v>
      </c>
      <c r="CK206" s="6">
        <f>VLOOKUP(Table1[[#This Row],[Reference]],metron,25,FALSE)</f>
        <v>0.105907560453015</v>
      </c>
      <c r="CL206" s="6">
        <f>VLOOKUP(Table1[[#This Row],[Reference]],metron,26,FALSE)</f>
        <v>0.1141720232629324</v>
      </c>
    </row>
    <row r="207" spans="1:90" hidden="1" x14ac:dyDescent="0.45">
      <c r="A207" t="s">
        <v>695</v>
      </c>
      <c r="B207">
        <v>1644627600</v>
      </c>
      <c r="C207" s="23" t="s">
        <v>467</v>
      </c>
      <c r="D207" t="s">
        <v>65</v>
      </c>
      <c r="E207" t="s">
        <v>66</v>
      </c>
      <c r="F207" t="s">
        <v>113</v>
      </c>
      <c r="G207" t="s">
        <v>106</v>
      </c>
      <c r="H207" t="s">
        <v>122</v>
      </c>
      <c r="I207">
        <f>MROUND(Table1[[#This Row],[ProbH]]*100,2)/100</f>
        <v>0.38</v>
      </c>
      <c r="J207">
        <f>1/Table1[[#This Row],[odds_ft_home_team_win]]-Table1[[#This Row],[Margin]]</f>
        <v>0.37495646116335768</v>
      </c>
      <c r="K207">
        <f>1/Table1[[#This Row],[odds_ft_draw]]-Table1[[#This Row],[Margin]]</f>
        <v>0.30311738070358757</v>
      </c>
      <c r="L207">
        <f>1/Table1[[#This Row],[odds_ft_away_team_win]]-Table1[[#This Row],[Margin]]</f>
        <v>0.32192615813305464</v>
      </c>
      <c r="M207">
        <v>5</v>
      </c>
      <c r="N207">
        <v>1.5</v>
      </c>
      <c r="O207">
        <v>0.5</v>
      </c>
      <c r="P207">
        <v>1.71</v>
      </c>
      <c r="Q207">
        <v>0.53</v>
      </c>
      <c r="R207" t="str" cm="1">
        <f t="array" ref="R2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7">
        <v>2</v>
      </c>
      <c r="T207">
        <v>0</v>
      </c>
      <c r="U207">
        <v>2</v>
      </c>
      <c r="V207">
        <v>1</v>
      </c>
      <c r="W207">
        <v>1</v>
      </c>
      <c r="X207">
        <v>0</v>
      </c>
      <c r="Y207" t="s">
        <v>468</v>
      </c>
      <c r="AA207">
        <v>1</v>
      </c>
      <c r="AB207">
        <v>4</v>
      </c>
      <c r="AC207">
        <v>2</v>
      </c>
      <c r="AD207">
        <v>0</v>
      </c>
      <c r="AE207">
        <v>3</v>
      </c>
      <c r="AF207">
        <v>0</v>
      </c>
      <c r="AG207">
        <v>1</v>
      </c>
      <c r="AH207">
        <v>1</v>
      </c>
      <c r="AI207">
        <v>1</v>
      </c>
      <c r="AJ207">
        <v>2</v>
      </c>
      <c r="AK207">
        <v>5</v>
      </c>
      <c r="AL207">
        <v>9</v>
      </c>
      <c r="AM207">
        <v>2</v>
      </c>
      <c r="AN207">
        <v>4</v>
      </c>
      <c r="AO207">
        <v>3</v>
      </c>
      <c r="AP207">
        <v>5</v>
      </c>
      <c r="AQ207">
        <v>18</v>
      </c>
      <c r="AR207">
        <v>15</v>
      </c>
      <c r="AS207">
        <v>46</v>
      </c>
      <c r="AT207">
        <v>54</v>
      </c>
      <c r="AU207">
        <v>0.69</v>
      </c>
      <c r="AV207">
        <v>1.21</v>
      </c>
      <c r="AW207">
        <v>2.85</v>
      </c>
      <c r="AX207">
        <v>65</v>
      </c>
      <c r="AY207">
        <v>90</v>
      </c>
      <c r="AZ207">
        <v>60</v>
      </c>
      <c r="BA207">
        <v>30</v>
      </c>
      <c r="BB207">
        <v>5</v>
      </c>
      <c r="BC207">
        <v>30</v>
      </c>
      <c r="BD207">
        <v>80</v>
      </c>
      <c r="BE207">
        <v>55</v>
      </c>
      <c r="BF207">
        <v>85</v>
      </c>
      <c r="BG207">
        <v>5.6</v>
      </c>
      <c r="BH207">
        <v>5.2</v>
      </c>
      <c r="BI207">
        <v>2.4</v>
      </c>
      <c r="BJ207">
        <v>2.9</v>
      </c>
      <c r="BK207">
        <v>2.75</v>
      </c>
      <c r="BL207">
        <f>(1/Table1[[#This Row],[odds_ft_home_team_win]]+1/Table1[[#This Row],[odds_ft_draw]]+1/Table1[[#This Row],[odds_ft_away_team_win]]-1)/3</f>
        <v>4.1710205503309027E-2</v>
      </c>
      <c r="BM207">
        <v>0</v>
      </c>
      <c r="BN207">
        <v>2.15</v>
      </c>
      <c r="BO207">
        <v>0</v>
      </c>
      <c r="BP207">
        <v>0</v>
      </c>
      <c r="BQ207">
        <v>0</v>
      </c>
      <c r="BR207">
        <v>0</v>
      </c>
      <c r="BS207" t="s">
        <v>120</v>
      </c>
      <c r="BT207">
        <f>VLOOKUP(Table1[[#This Row],[Reference]],metron,8,FALSE)</f>
        <v>1.464160929441638</v>
      </c>
      <c r="BU207">
        <f>VLOOKUP(Table1[[#This Row],[Reference]],metron,9,FALSE)</f>
        <v>1.2477119808919459</v>
      </c>
      <c r="BV207">
        <f>VLOOKUP(Table1[[#This Row],[Reference]],metron,10,FALSE)</f>
        <v>2.4900895140664963</v>
      </c>
      <c r="BW207">
        <f>VLOOKUP(Table1[[#This Row],[Reference]],metron,11,FALSE)</f>
        <v>1.330562659846547</v>
      </c>
      <c r="BX207">
        <f>VLOOKUP(Table1[[#This Row],[Reference]],metron,12,FALSE)</f>
        <v>1.1595268542199491</v>
      </c>
      <c r="BY207" s="6">
        <f>VLOOKUP(Table1[[#This Row],[Reference]],metron,13,FALSE)</f>
        <v>0.59053607588191415</v>
      </c>
      <c r="BZ207" s="6">
        <f>VLOOKUP(Table1[[#This Row],[Reference]],metron,14,FALSE)</f>
        <v>0.50069274219332838</v>
      </c>
      <c r="CA207" s="6">
        <f>VLOOKUP(Table1[[#This Row],[Reference]],metron,15,FALSE)</f>
        <v>11.79715236686391</v>
      </c>
      <c r="CB207" s="6">
        <f>VLOOKUP(Table1[[#This Row],[Reference]],metron,16,FALSE)</f>
        <v>10.317122781065089</v>
      </c>
      <c r="CC207" s="6">
        <f>VLOOKUP(Table1[[#This Row],[Reference]],metron,17,FALSE)</f>
        <v>5.0637025966747622</v>
      </c>
      <c r="CD207" s="6">
        <f>VLOOKUP(Table1[[#This Row],[Reference]],metron,18,FALSE)</f>
        <v>4.4674014571268454</v>
      </c>
      <c r="CE207" s="6">
        <f>VLOOKUP(Table1[[#This Row],[Reference]],metron,19,FALSE)</f>
        <v>6.7334497701891483</v>
      </c>
      <c r="CF207" s="6">
        <f>VLOOKUP(Table1[[#This Row],[Reference]],metron,20,FALSE)</f>
        <v>5.849721323938244</v>
      </c>
      <c r="CG207" s="6">
        <f>VLOOKUP(Table1[[#This Row],[Reference]],metron,21,FALSE)</f>
        <v>12.89644194756554</v>
      </c>
      <c r="CH207" s="6">
        <f>VLOOKUP(Table1[[#This Row],[Reference]],metron,22,FALSE)</f>
        <v>13.3434456928839</v>
      </c>
      <c r="CI207" s="6">
        <f>VLOOKUP(Table1[[#This Row],[Reference]],metron,23,FALSE)</f>
        <v>1.6144382124117971</v>
      </c>
      <c r="CJ207" s="6">
        <f>VLOOKUP(Table1[[#This Row],[Reference]],metron,24,FALSE)</f>
        <v>1.9032024606477289</v>
      </c>
      <c r="CK207" s="6">
        <f>VLOOKUP(Table1[[#This Row],[Reference]],metron,25,FALSE)</f>
        <v>9.372172969060974E-2</v>
      </c>
      <c r="CL207" s="6">
        <f>VLOOKUP(Table1[[#This Row],[Reference]],metron,26,FALSE)</f>
        <v>0.11669983716301791</v>
      </c>
    </row>
    <row r="208" spans="1:90" hidden="1" x14ac:dyDescent="0.45">
      <c r="A208" t="s">
        <v>695</v>
      </c>
      <c r="B208">
        <v>1644634800</v>
      </c>
      <c r="C208" s="23" t="s">
        <v>469</v>
      </c>
      <c r="D208" t="s">
        <v>65</v>
      </c>
      <c r="E208" t="s">
        <v>66</v>
      </c>
      <c r="F208" t="s">
        <v>102</v>
      </c>
      <c r="G208" t="s">
        <v>97</v>
      </c>
      <c r="H208" t="s">
        <v>138</v>
      </c>
      <c r="I208">
        <f>MROUND(Table1[[#This Row],[ProbH]]*100,2)/100</f>
        <v>0.36</v>
      </c>
      <c r="J208">
        <f>1/Table1[[#This Row],[odds_ft_home_team_win]]-Table1[[#This Row],[Margin]]</f>
        <v>0.35226683265898961</v>
      </c>
      <c r="K208">
        <f>1/Table1[[#This Row],[odds_ft_draw]]-Table1[[#This Row],[Margin]]</f>
        <v>0.31725282705674868</v>
      </c>
      <c r="L208">
        <f>1/Table1[[#This Row],[odds_ft_away_team_win]]-Table1[[#This Row],[Margin]]</f>
        <v>0.33048034028426188</v>
      </c>
      <c r="M208">
        <v>5</v>
      </c>
      <c r="N208">
        <v>1.54</v>
      </c>
      <c r="O208">
        <v>1.77</v>
      </c>
      <c r="P208">
        <v>1.38</v>
      </c>
      <c r="Q208">
        <v>1.68</v>
      </c>
      <c r="R208" t="str" cm="1">
        <f t="array" ref="R2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0</v>
      </c>
      <c r="Y208" t="s">
        <v>308</v>
      </c>
      <c r="Z208">
        <v>85</v>
      </c>
      <c r="AA208">
        <v>5</v>
      </c>
      <c r="AB208">
        <v>5</v>
      </c>
      <c r="AC208">
        <v>2</v>
      </c>
      <c r="AD208">
        <v>0</v>
      </c>
      <c r="AE208">
        <v>2</v>
      </c>
      <c r="AF208">
        <v>0</v>
      </c>
      <c r="AG208">
        <v>0</v>
      </c>
      <c r="AH208">
        <v>2</v>
      </c>
      <c r="AI208">
        <v>1</v>
      </c>
      <c r="AJ208">
        <v>1</v>
      </c>
      <c r="AK208">
        <v>18</v>
      </c>
      <c r="AL208">
        <v>14</v>
      </c>
      <c r="AM208">
        <v>6</v>
      </c>
      <c r="AN208">
        <v>4</v>
      </c>
      <c r="AO208">
        <v>12</v>
      </c>
      <c r="AP208">
        <v>10</v>
      </c>
      <c r="AQ208">
        <v>11</v>
      </c>
      <c r="AR208">
        <v>10</v>
      </c>
      <c r="AS208">
        <v>49</v>
      </c>
      <c r="AT208">
        <v>51</v>
      </c>
      <c r="AU208">
        <v>1.81</v>
      </c>
      <c r="AV208">
        <v>1.48</v>
      </c>
      <c r="AW208">
        <v>2.27</v>
      </c>
      <c r="AX208">
        <v>50</v>
      </c>
      <c r="AY208">
        <v>66</v>
      </c>
      <c r="AZ208">
        <v>31</v>
      </c>
      <c r="BA208">
        <v>19</v>
      </c>
      <c r="BB208">
        <v>8</v>
      </c>
      <c r="BC208">
        <v>31</v>
      </c>
      <c r="BD208">
        <v>70</v>
      </c>
      <c r="BE208">
        <v>31</v>
      </c>
      <c r="BF208">
        <v>70</v>
      </c>
      <c r="BG208">
        <v>10.54</v>
      </c>
      <c r="BH208">
        <v>4.53</v>
      </c>
      <c r="BI208">
        <v>2.5499999999999998</v>
      </c>
      <c r="BJ208">
        <v>2.8</v>
      </c>
      <c r="BK208">
        <v>2.7</v>
      </c>
      <c r="BL208">
        <f>(1/Table1[[#This Row],[odds_ft_home_team_win]]+1/Table1[[#This Row],[odds_ft_draw]]+1/Table1[[#This Row],[odds_ft_away_team_win]]-1)/3</f>
        <v>3.9890030086108474E-2</v>
      </c>
      <c r="BM208">
        <v>1.5</v>
      </c>
      <c r="BN208">
        <v>2.44</v>
      </c>
      <c r="BO208">
        <v>4</v>
      </c>
      <c r="BP208">
        <v>9</v>
      </c>
      <c r="BQ208">
        <v>2.1</v>
      </c>
      <c r="BR208">
        <v>1.7</v>
      </c>
      <c r="BS208" t="s">
        <v>124</v>
      </c>
      <c r="BT208">
        <f>VLOOKUP(Table1[[#This Row],[Reference]],metron,8,FALSE)</f>
        <v>1.4023864615972674</v>
      </c>
      <c r="BU208">
        <f>VLOOKUP(Table1[[#This Row],[Reference]],metron,9,FALSE)</f>
        <v>1.3093265904245279</v>
      </c>
      <c r="BV208">
        <f>VLOOKUP(Table1[[#This Row],[Reference]],metron,10,FALSE)</f>
        <v>2.5110350525197691</v>
      </c>
      <c r="BW208">
        <f>VLOOKUP(Table1[[#This Row],[Reference]],metron,11,FALSE)</f>
        <v>1.269326094653606</v>
      </c>
      <c r="BX208">
        <f>VLOOKUP(Table1[[#This Row],[Reference]],metron,12,FALSE)</f>
        <v>1.2417089578661631</v>
      </c>
      <c r="BY208" s="6">
        <f>VLOOKUP(Table1[[#This Row],[Reference]],metron,13,FALSE)</f>
        <v>0.56586402266288949</v>
      </c>
      <c r="BZ208" s="6">
        <f>VLOOKUP(Table1[[#This Row],[Reference]],metron,14,FALSE)</f>
        <v>0.55158168083097259</v>
      </c>
      <c r="CA208" s="6">
        <f>VLOOKUP(Table1[[#This Row],[Reference]],metron,15,FALSE)</f>
        <v>11.49400826446281</v>
      </c>
      <c r="CB208" s="6">
        <f>VLOOKUP(Table1[[#This Row],[Reference]],metron,16,FALSE)</f>
        <v>10.507231404958681</v>
      </c>
      <c r="CC208" s="6">
        <f>VLOOKUP(Table1[[#This Row],[Reference]],metron,17,FALSE)</f>
        <v>4.9238790406673623</v>
      </c>
      <c r="CD208" s="6">
        <f>VLOOKUP(Table1[[#This Row],[Reference]],metron,18,FALSE)</f>
        <v>4.6296141814389991</v>
      </c>
      <c r="CE208" s="6">
        <f>VLOOKUP(Table1[[#This Row],[Reference]],metron,19,FALSE)</f>
        <v>6.5701292237954476</v>
      </c>
      <c r="CF208" s="6">
        <f>VLOOKUP(Table1[[#This Row],[Reference]],metron,20,FALSE)</f>
        <v>5.8776172235196817</v>
      </c>
      <c r="CG208" s="6">
        <f>VLOOKUP(Table1[[#This Row],[Reference]],metron,21,FALSE)</f>
        <v>12.798739495798319</v>
      </c>
      <c r="CH208" s="6">
        <f>VLOOKUP(Table1[[#This Row],[Reference]],metron,22,FALSE)</f>
        <v>12.98844537815126</v>
      </c>
      <c r="CI208" s="6">
        <f>VLOOKUP(Table1[[#This Row],[Reference]],metron,23,FALSE)</f>
        <v>1.604928297313674</v>
      </c>
      <c r="CJ208" s="6">
        <f>VLOOKUP(Table1[[#This Row],[Reference]],metron,24,FALSE)</f>
        <v>1.791961219955565</v>
      </c>
      <c r="CK208" s="6">
        <f>VLOOKUP(Table1[[#This Row],[Reference]],metron,25,FALSE)</f>
        <v>8.887093516461321E-2</v>
      </c>
      <c r="CL208" s="6">
        <f>VLOOKUP(Table1[[#This Row],[Reference]],metron,26,FALSE)</f>
        <v>0.11694607150070691</v>
      </c>
    </row>
    <row r="209" spans="1:90" hidden="1" x14ac:dyDescent="0.45">
      <c r="A209" t="s">
        <v>695</v>
      </c>
      <c r="B209">
        <v>1644706800</v>
      </c>
      <c r="C209" s="23" t="s">
        <v>470</v>
      </c>
      <c r="D209" t="s">
        <v>65</v>
      </c>
      <c r="E209" t="s">
        <v>66</v>
      </c>
      <c r="F209" t="s">
        <v>91</v>
      </c>
      <c r="G209" t="s">
        <v>79</v>
      </c>
      <c r="H209" t="s">
        <v>66</v>
      </c>
      <c r="I209">
        <f>MROUND(Table1[[#This Row],[ProbH]]*100,2)/100</f>
        <v>0.36</v>
      </c>
      <c r="J209">
        <f>1/Table1[[#This Row],[odds_ft_home_team_win]]-Table1[[#This Row],[Margin]]</f>
        <v>0.36543209876543215</v>
      </c>
      <c r="K209">
        <f>1/Table1[[#This Row],[odds_ft_draw]]-Table1[[#This Row],[Margin]]</f>
        <v>0.29876543209876544</v>
      </c>
      <c r="L209">
        <f>1/Table1[[#This Row],[odds_ft_away_team_win]]-Table1[[#This Row],[Margin]]</f>
        <v>0.33580246913580247</v>
      </c>
      <c r="M209">
        <v>5</v>
      </c>
      <c r="N209">
        <v>0.6</v>
      </c>
      <c r="O209">
        <v>1.27</v>
      </c>
      <c r="P209">
        <v>1.1100000000000001</v>
      </c>
      <c r="Q209">
        <v>1.29</v>
      </c>
      <c r="R209" t="str" cm="1">
        <f t="array" ref="R2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Z209">
        <v>4</v>
      </c>
      <c r="AA209">
        <v>9</v>
      </c>
      <c r="AB209">
        <v>3</v>
      </c>
      <c r="AC209">
        <v>2</v>
      </c>
      <c r="AD209">
        <v>0</v>
      </c>
      <c r="AE209">
        <v>1</v>
      </c>
      <c r="AF209">
        <v>1</v>
      </c>
      <c r="AG209">
        <v>2</v>
      </c>
      <c r="AH209">
        <v>0</v>
      </c>
      <c r="AI209">
        <v>2</v>
      </c>
      <c r="AJ209">
        <v>0</v>
      </c>
      <c r="AK209">
        <v>20</v>
      </c>
      <c r="AL209">
        <v>8</v>
      </c>
      <c r="AM209">
        <v>8</v>
      </c>
      <c r="AN209">
        <v>3</v>
      </c>
      <c r="AO209">
        <v>12</v>
      </c>
      <c r="AP209">
        <v>5</v>
      </c>
      <c r="AQ209">
        <v>16</v>
      </c>
      <c r="AR209">
        <v>13</v>
      </c>
      <c r="AS209">
        <v>59</v>
      </c>
      <c r="AT209">
        <v>41</v>
      </c>
      <c r="AU209">
        <v>2.27</v>
      </c>
      <c r="AV209">
        <v>0.9</v>
      </c>
      <c r="AW209">
        <v>2.67</v>
      </c>
      <c r="AX209">
        <v>38</v>
      </c>
      <c r="AY209">
        <v>76</v>
      </c>
      <c r="AZ209">
        <v>43</v>
      </c>
      <c r="BA209">
        <v>28</v>
      </c>
      <c r="BB209">
        <v>15</v>
      </c>
      <c r="BC209">
        <v>24</v>
      </c>
      <c r="BD209">
        <v>71</v>
      </c>
      <c r="BE209">
        <v>33</v>
      </c>
      <c r="BF209">
        <v>91</v>
      </c>
      <c r="BG209">
        <v>7.95</v>
      </c>
      <c r="BH209">
        <v>5.34</v>
      </c>
      <c r="BI209">
        <v>2.5</v>
      </c>
      <c r="BJ209">
        <v>3</v>
      </c>
      <c r="BK209">
        <v>2.7</v>
      </c>
      <c r="BL209">
        <f>(1/Table1[[#This Row],[odds_ft_home_team_win]]+1/Table1[[#This Row],[odds_ft_draw]]+1/Table1[[#This Row],[odds_ft_away_team_win]]-1)/3</f>
        <v>3.4567901234567877E-2</v>
      </c>
      <c r="BM209">
        <v>1.4</v>
      </c>
      <c r="BN209">
        <v>2.15</v>
      </c>
      <c r="BO209">
        <v>4.2</v>
      </c>
      <c r="BP209">
        <v>7.5</v>
      </c>
      <c r="BQ209">
        <v>1.9</v>
      </c>
      <c r="BR209">
        <v>1.83</v>
      </c>
      <c r="BS209" t="s">
        <v>144</v>
      </c>
      <c r="BT209">
        <f>VLOOKUP(Table1[[#This Row],[Reference]],metron,8,FALSE)</f>
        <v>1.4023864615972674</v>
      </c>
      <c r="BU209">
        <f>VLOOKUP(Table1[[#This Row],[Reference]],metron,9,FALSE)</f>
        <v>1.3093265904245279</v>
      </c>
      <c r="BV209">
        <f>VLOOKUP(Table1[[#This Row],[Reference]],metron,10,FALSE)</f>
        <v>2.5110350525197691</v>
      </c>
      <c r="BW209">
        <f>VLOOKUP(Table1[[#This Row],[Reference]],metron,11,FALSE)</f>
        <v>1.269326094653606</v>
      </c>
      <c r="BX209">
        <f>VLOOKUP(Table1[[#This Row],[Reference]],metron,12,FALSE)</f>
        <v>1.2417089578661631</v>
      </c>
      <c r="BY209" s="6">
        <f>VLOOKUP(Table1[[#This Row],[Reference]],metron,13,FALSE)</f>
        <v>0.56586402266288949</v>
      </c>
      <c r="BZ209" s="6">
        <f>VLOOKUP(Table1[[#This Row],[Reference]],metron,14,FALSE)</f>
        <v>0.55158168083097259</v>
      </c>
      <c r="CA209" s="6">
        <f>VLOOKUP(Table1[[#This Row],[Reference]],metron,15,FALSE)</f>
        <v>11.49400826446281</v>
      </c>
      <c r="CB209" s="6">
        <f>VLOOKUP(Table1[[#This Row],[Reference]],metron,16,FALSE)</f>
        <v>10.507231404958681</v>
      </c>
      <c r="CC209" s="6">
        <f>VLOOKUP(Table1[[#This Row],[Reference]],metron,17,FALSE)</f>
        <v>4.9238790406673623</v>
      </c>
      <c r="CD209" s="6">
        <f>VLOOKUP(Table1[[#This Row],[Reference]],metron,18,FALSE)</f>
        <v>4.6296141814389991</v>
      </c>
      <c r="CE209" s="6">
        <f>VLOOKUP(Table1[[#This Row],[Reference]],metron,19,FALSE)</f>
        <v>6.5701292237954476</v>
      </c>
      <c r="CF209" s="6">
        <f>VLOOKUP(Table1[[#This Row],[Reference]],metron,20,FALSE)</f>
        <v>5.8776172235196817</v>
      </c>
      <c r="CG209" s="6">
        <f>VLOOKUP(Table1[[#This Row],[Reference]],metron,21,FALSE)</f>
        <v>12.798739495798319</v>
      </c>
      <c r="CH209" s="6">
        <f>VLOOKUP(Table1[[#This Row],[Reference]],metron,22,FALSE)</f>
        <v>12.98844537815126</v>
      </c>
      <c r="CI209" s="6">
        <f>VLOOKUP(Table1[[#This Row],[Reference]],metron,23,FALSE)</f>
        <v>1.604928297313674</v>
      </c>
      <c r="CJ209" s="6">
        <f>VLOOKUP(Table1[[#This Row],[Reference]],metron,24,FALSE)</f>
        <v>1.791961219955565</v>
      </c>
      <c r="CK209" s="6">
        <f>VLOOKUP(Table1[[#This Row],[Reference]],metron,25,FALSE)</f>
        <v>8.887093516461321E-2</v>
      </c>
      <c r="CL209" s="6">
        <f>VLOOKUP(Table1[[#This Row],[Reference]],metron,26,FALSE)</f>
        <v>0.11694607150070691</v>
      </c>
    </row>
    <row r="210" spans="1:90" hidden="1" x14ac:dyDescent="0.45">
      <c r="A210" t="s">
        <v>695</v>
      </c>
      <c r="B210">
        <v>1644706800</v>
      </c>
      <c r="C210" s="23" t="s">
        <v>470</v>
      </c>
      <c r="D210" t="s">
        <v>65</v>
      </c>
      <c r="E210" t="s">
        <v>66</v>
      </c>
      <c r="F210" t="s">
        <v>90</v>
      </c>
      <c r="G210" t="s">
        <v>107</v>
      </c>
      <c r="H210" t="s">
        <v>74</v>
      </c>
      <c r="I210">
        <f>MROUND(Table1[[#This Row],[ProbH]]*100,2)/100</f>
        <v>0.32</v>
      </c>
      <c r="J210">
        <f>1/Table1[[#This Row],[odds_ft_home_team_win]]-Table1[[#This Row],[Margin]]</f>
        <v>0.32315270935960583</v>
      </c>
      <c r="K210">
        <f>1/Table1[[#This Row],[odds_ft_draw]]-Table1[[#This Row],[Margin]]</f>
        <v>0.31083743842364525</v>
      </c>
      <c r="L210">
        <f>1/Table1[[#This Row],[odds_ft_away_team_win]]-Table1[[#This Row],[Margin]]</f>
        <v>0.3660098522167487</v>
      </c>
      <c r="M210">
        <v>5</v>
      </c>
      <c r="N210">
        <v>1.5</v>
      </c>
      <c r="O210">
        <v>1.25</v>
      </c>
      <c r="P210">
        <v>1.47</v>
      </c>
      <c r="Q210">
        <v>1.48</v>
      </c>
      <c r="R210" t="str" cm="1">
        <f t="array" ref="R2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10">
        <v>1</v>
      </c>
      <c r="T210">
        <v>3</v>
      </c>
      <c r="U210">
        <v>4</v>
      </c>
      <c r="V210">
        <v>2</v>
      </c>
      <c r="W210">
        <v>0</v>
      </c>
      <c r="X210">
        <v>2</v>
      </c>
      <c r="Y210">
        <v>73</v>
      </c>
      <c r="Z210" t="s">
        <v>471</v>
      </c>
      <c r="AA210">
        <v>4</v>
      </c>
      <c r="AB210">
        <v>6</v>
      </c>
      <c r="AC210">
        <v>2</v>
      </c>
      <c r="AD210">
        <v>0</v>
      </c>
      <c r="AE210">
        <v>2</v>
      </c>
      <c r="AF210">
        <v>0</v>
      </c>
      <c r="AG210">
        <v>1</v>
      </c>
      <c r="AH210">
        <v>1</v>
      </c>
      <c r="AI210">
        <v>2</v>
      </c>
      <c r="AJ210">
        <v>0</v>
      </c>
      <c r="AK210">
        <v>13</v>
      </c>
      <c r="AL210">
        <v>19</v>
      </c>
      <c r="AM210">
        <v>5</v>
      </c>
      <c r="AN210">
        <v>7</v>
      </c>
      <c r="AO210">
        <v>8</v>
      </c>
      <c r="AP210">
        <v>12</v>
      </c>
      <c r="AQ210">
        <v>8</v>
      </c>
      <c r="AR210">
        <v>12</v>
      </c>
      <c r="AS210">
        <v>57</v>
      </c>
      <c r="AT210">
        <v>43</v>
      </c>
      <c r="AU210">
        <v>1.55</v>
      </c>
      <c r="AV210">
        <v>1.99</v>
      </c>
      <c r="AW210">
        <v>2.4900000000000002</v>
      </c>
      <c r="AX210">
        <v>59</v>
      </c>
      <c r="AY210">
        <v>86</v>
      </c>
      <c r="AZ210">
        <v>54</v>
      </c>
      <c r="BA210">
        <v>9</v>
      </c>
      <c r="BB210">
        <v>0</v>
      </c>
      <c r="BC210">
        <v>32</v>
      </c>
      <c r="BD210">
        <v>83</v>
      </c>
      <c r="BE210">
        <v>45</v>
      </c>
      <c r="BF210">
        <v>81</v>
      </c>
      <c r="BG210">
        <v>9.32</v>
      </c>
      <c r="BH210">
        <v>4.72</v>
      </c>
      <c r="BI210">
        <v>2.8</v>
      </c>
      <c r="BJ210">
        <v>2.9</v>
      </c>
      <c r="BK210">
        <v>2.5</v>
      </c>
      <c r="BL210">
        <f>(1/Table1[[#This Row],[odds_ft_home_team_win]]+1/Table1[[#This Row],[odds_ft_draw]]+1/Table1[[#This Row],[odds_ft_away_team_win]]-1)/3</f>
        <v>3.3990147783251302E-2</v>
      </c>
      <c r="BM210">
        <v>1.4</v>
      </c>
      <c r="BN210">
        <v>2.2999999999999998</v>
      </c>
      <c r="BO210">
        <v>4</v>
      </c>
      <c r="BP210">
        <v>7.5</v>
      </c>
      <c r="BQ210">
        <v>1.91</v>
      </c>
      <c r="BR210">
        <v>1.8</v>
      </c>
      <c r="BS210" t="s">
        <v>94</v>
      </c>
      <c r="BT210">
        <f>VLOOKUP(Table1[[#This Row],[Reference]],metron,8,FALSE)</f>
        <v>1.274681051426811</v>
      </c>
      <c r="BU210">
        <f>VLOOKUP(Table1[[#This Row],[Reference]],metron,9,FALSE)</f>
        <v>1.4392482240810365</v>
      </c>
      <c r="BV210">
        <f>VLOOKUP(Table1[[#This Row],[Reference]],metron,10,FALSE)</f>
        <v>2.5313454284174597</v>
      </c>
      <c r="BW210">
        <f>VLOOKUP(Table1[[#This Row],[Reference]],metron,11,FALSE)</f>
        <v>1.210167055864918</v>
      </c>
      <c r="BX210">
        <f>VLOOKUP(Table1[[#This Row],[Reference]],metron,12,FALSE)</f>
        <v>1.3211783725525419</v>
      </c>
      <c r="BY210" s="6">
        <f>VLOOKUP(Table1[[#This Row],[Reference]],metron,13,FALSE)</f>
        <v>0.53135669362084459</v>
      </c>
      <c r="BZ210" s="6">
        <f>VLOOKUP(Table1[[#This Row],[Reference]],metron,14,FALSE)</f>
        <v>0.55633423180592989</v>
      </c>
      <c r="CA210" s="6">
        <f>VLOOKUP(Table1[[#This Row],[Reference]],metron,15,FALSE)</f>
        <v>11.21109010712035</v>
      </c>
      <c r="CB210" s="6">
        <f>VLOOKUP(Table1[[#This Row],[Reference]],metron,16,FALSE)</f>
        <v>11.01700787401575</v>
      </c>
      <c r="CC210" s="6">
        <f>VLOOKUP(Table1[[#This Row],[Reference]],metron,17,FALSE)</f>
        <v>4.6792332268370611</v>
      </c>
      <c r="CD210" s="6">
        <f>VLOOKUP(Table1[[#This Row],[Reference]],metron,18,FALSE)</f>
        <v>4.7080804854679013</v>
      </c>
      <c r="CE210" s="6">
        <f>VLOOKUP(Table1[[#This Row],[Reference]],metron,19,FALSE)</f>
        <v>6.5318568802832893</v>
      </c>
      <c r="CF210" s="6">
        <f>VLOOKUP(Table1[[#This Row],[Reference]],metron,20,FALSE)</f>
        <v>6.3089273885478487</v>
      </c>
      <c r="CG210" s="6">
        <f>VLOOKUP(Table1[[#This Row],[Reference]],metron,21,FALSE)</f>
        <v>12.72547770700637</v>
      </c>
      <c r="CH210" s="6">
        <f>VLOOKUP(Table1[[#This Row],[Reference]],metron,22,FALSE)</f>
        <v>13.06847133757962</v>
      </c>
      <c r="CI210" s="6">
        <f>VLOOKUP(Table1[[#This Row],[Reference]],metron,23,FALSE)</f>
        <v>1.6902356902356901</v>
      </c>
      <c r="CJ210" s="6">
        <f>VLOOKUP(Table1[[#This Row],[Reference]],metron,24,FALSE)</f>
        <v>1.8050198959289869</v>
      </c>
      <c r="CK210" s="6">
        <f>VLOOKUP(Table1[[#This Row],[Reference]],metron,25,FALSE)</f>
        <v>0.105907560453015</v>
      </c>
      <c r="CL210" s="6">
        <f>VLOOKUP(Table1[[#This Row],[Reference]],metron,26,FALSE)</f>
        <v>0.1141720232629324</v>
      </c>
    </row>
    <row r="211" spans="1:90" hidden="1" x14ac:dyDescent="0.45">
      <c r="A211" t="s">
        <v>695</v>
      </c>
      <c r="B211">
        <v>1644714000</v>
      </c>
      <c r="C211" s="23" t="s">
        <v>472</v>
      </c>
      <c r="D211" t="s">
        <v>65</v>
      </c>
      <c r="E211" t="s">
        <v>66</v>
      </c>
      <c r="F211" t="s">
        <v>112</v>
      </c>
      <c r="G211" t="s">
        <v>72</v>
      </c>
      <c r="H211" t="s">
        <v>215</v>
      </c>
      <c r="I211">
        <f>MROUND(Table1[[#This Row],[ProbH]]*100,2)/100</f>
        <v>0.57999999999999996</v>
      </c>
      <c r="J211">
        <f>1/Table1[[#This Row],[odds_ft_home_team_win]]-Table1[[#This Row],[Margin]]</f>
        <v>0.58621069078585419</v>
      </c>
      <c r="K211">
        <f>1/Table1[[#This Row],[odds_ft_draw]]-Table1[[#This Row],[Margin]]</f>
        <v>0.26304438722739376</v>
      </c>
      <c r="L211">
        <f>1/Table1[[#This Row],[odds_ft_away_team_win]]-Table1[[#This Row],[Margin]]</f>
        <v>0.15074492198675207</v>
      </c>
      <c r="M211">
        <v>5</v>
      </c>
      <c r="N211">
        <v>1.64</v>
      </c>
      <c r="O211">
        <v>1</v>
      </c>
      <c r="P211">
        <v>1.25</v>
      </c>
      <c r="Q211">
        <v>1.28</v>
      </c>
      <c r="R211" t="str" cm="1">
        <f t="array" ref="R2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11">
        <v>1</v>
      </c>
      <c r="T211">
        <v>2</v>
      </c>
      <c r="U211">
        <v>3</v>
      </c>
      <c r="V211">
        <v>1</v>
      </c>
      <c r="W211">
        <v>1</v>
      </c>
      <c r="X211">
        <v>0</v>
      </c>
      <c r="Y211">
        <v>34</v>
      </c>
      <c r="Z211" t="s">
        <v>473</v>
      </c>
      <c r="AA211">
        <v>6</v>
      </c>
      <c r="AB211">
        <v>5</v>
      </c>
      <c r="AC211">
        <v>1</v>
      </c>
      <c r="AD211">
        <v>0</v>
      </c>
      <c r="AE211">
        <v>4</v>
      </c>
      <c r="AF211">
        <v>0</v>
      </c>
      <c r="AG211">
        <v>0</v>
      </c>
      <c r="AH211">
        <v>1</v>
      </c>
      <c r="AI211">
        <v>1</v>
      </c>
      <c r="AJ211">
        <v>3</v>
      </c>
      <c r="AK211">
        <v>10</v>
      </c>
      <c r="AL211">
        <v>20</v>
      </c>
      <c r="AM211">
        <v>3</v>
      </c>
      <c r="AN211">
        <v>9</v>
      </c>
      <c r="AO211">
        <v>7</v>
      </c>
      <c r="AP211">
        <v>11</v>
      </c>
      <c r="AQ211">
        <v>6</v>
      </c>
      <c r="AR211">
        <v>14</v>
      </c>
      <c r="AS211">
        <v>48</v>
      </c>
      <c r="AT211">
        <v>52</v>
      </c>
      <c r="AU211">
        <v>1.1000000000000001</v>
      </c>
      <c r="AV211">
        <v>2.38</v>
      </c>
      <c r="AW211">
        <v>2.36</v>
      </c>
      <c r="AX211">
        <v>45</v>
      </c>
      <c r="AY211">
        <v>78</v>
      </c>
      <c r="AZ211">
        <v>41</v>
      </c>
      <c r="BA211">
        <v>14</v>
      </c>
      <c r="BB211">
        <v>9</v>
      </c>
      <c r="BC211">
        <v>23</v>
      </c>
      <c r="BD211">
        <v>82</v>
      </c>
      <c r="BE211">
        <v>41</v>
      </c>
      <c r="BF211">
        <v>78</v>
      </c>
      <c r="BG211">
        <v>9.4499999999999993</v>
      </c>
      <c r="BH211">
        <v>4.91</v>
      </c>
      <c r="BI211">
        <v>1.62</v>
      </c>
      <c r="BJ211">
        <v>3.4</v>
      </c>
      <c r="BK211">
        <v>5.5</v>
      </c>
      <c r="BL211">
        <f>(1/Table1[[#This Row],[odds_ft_home_team_win]]+1/Table1[[#This Row],[odds_ft_draw]]+1/Table1[[#This Row],[odds_ft_away_team_win]]-1)/3</f>
        <v>3.1073259831429761E-2</v>
      </c>
      <c r="BM211">
        <v>1.36</v>
      </c>
      <c r="BN211">
        <v>2.2000000000000002</v>
      </c>
      <c r="BO211">
        <v>3.75</v>
      </c>
      <c r="BP211">
        <v>7</v>
      </c>
      <c r="BQ211">
        <v>2.0499999999999998</v>
      </c>
      <c r="BR211">
        <v>1.72</v>
      </c>
      <c r="BS211" t="s">
        <v>116</v>
      </c>
      <c r="BT211">
        <f>VLOOKUP(Table1[[#This Row],[Reference]],metron,8,FALSE)</f>
        <v>2.0230889143600308</v>
      </c>
      <c r="BU211">
        <f>VLOOKUP(Table1[[#This Row],[Reference]],metron,9,FALSE)</f>
        <v>0.72731480520165426</v>
      </c>
      <c r="BV211">
        <f>VLOOKUP(Table1[[#This Row],[Reference]],metron,10,FALSE)</f>
        <v>2.6362999299229148</v>
      </c>
      <c r="BW211">
        <f>VLOOKUP(Table1[[#This Row],[Reference]],metron,11,FALSE)</f>
        <v>1.7619715019855171</v>
      </c>
      <c r="BX211">
        <f>VLOOKUP(Table1[[#This Row],[Reference]],metron,12,FALSE)</f>
        <v>0.87432842793739785</v>
      </c>
      <c r="BY211" s="6">
        <f>VLOOKUP(Table1[[#This Row],[Reference]],metron,13,FALSE)</f>
        <v>0.78411214953271025</v>
      </c>
      <c r="BZ211" s="6">
        <f>VLOOKUP(Table1[[#This Row],[Reference]],metron,14,FALSE)</f>
        <v>0.38060747663551397</v>
      </c>
      <c r="CA211" s="6">
        <f>VLOOKUP(Table1[[#This Row],[Reference]],metron,15,FALSE)</f>
        <v>14.215499378367181</v>
      </c>
      <c r="CB211" s="6">
        <f>VLOOKUP(Table1[[#This Row],[Reference]],metron,16,FALSE)</f>
        <v>8.9523612261806136</v>
      </c>
      <c r="CC211" s="6">
        <f>VLOOKUP(Table1[[#This Row],[Reference]],metron,17,FALSE)</f>
        <v>6.3083121289228163</v>
      </c>
      <c r="CD211" s="6">
        <f>VLOOKUP(Table1[[#This Row],[Reference]],metron,18,FALSE)</f>
        <v>3.7757524374735061</v>
      </c>
      <c r="CE211" s="6">
        <f>VLOOKUP(Table1[[#This Row],[Reference]],metron,19,FALSE)</f>
        <v>7.9071872494443642</v>
      </c>
      <c r="CF211" s="6">
        <f>VLOOKUP(Table1[[#This Row],[Reference]],metron,20,FALSE)</f>
        <v>5.1766087887071075</v>
      </c>
      <c r="CG211" s="6">
        <f>VLOOKUP(Table1[[#This Row],[Reference]],metron,21,FALSE)</f>
        <v>12.634239592183521</v>
      </c>
      <c r="CH211" s="6">
        <f>VLOOKUP(Table1[[#This Row],[Reference]],metron,22,FALSE)</f>
        <v>13.597706032285471</v>
      </c>
      <c r="CI211" s="6">
        <f>VLOOKUP(Table1[[#This Row],[Reference]],metron,23,FALSE)</f>
        <v>1.365400161681487</v>
      </c>
      <c r="CJ211" s="6">
        <f>VLOOKUP(Table1[[#This Row],[Reference]],metron,24,FALSE)</f>
        <v>1.963621665319321</v>
      </c>
      <c r="CK211" s="6">
        <f>VLOOKUP(Table1[[#This Row],[Reference]],metron,25,FALSE)</f>
        <v>7.1544058205335492E-2</v>
      </c>
      <c r="CL211" s="6">
        <f>VLOOKUP(Table1[[#This Row],[Reference]],metron,26,FALSE)</f>
        <v>0.1216653193209378</v>
      </c>
    </row>
    <row r="212" spans="1:90" hidden="1" x14ac:dyDescent="0.45">
      <c r="A212" t="s">
        <v>695</v>
      </c>
      <c r="B212">
        <v>1644721200</v>
      </c>
      <c r="C212" s="23" t="s">
        <v>474</v>
      </c>
      <c r="D212" t="s">
        <v>65</v>
      </c>
      <c r="E212" t="s">
        <v>66</v>
      </c>
      <c r="F212" t="s">
        <v>73</v>
      </c>
      <c r="G212" t="s">
        <v>68</v>
      </c>
      <c r="H212" t="s">
        <v>98</v>
      </c>
      <c r="I212">
        <f>MROUND(Table1[[#This Row],[ProbH]]*100,2)/100</f>
        <v>0.32</v>
      </c>
      <c r="J212">
        <f>1/Table1[[#This Row],[odds_ft_home_team_win]]-Table1[[#This Row],[Margin]]</f>
        <v>0.32315270935960583</v>
      </c>
      <c r="K212">
        <f>1/Table1[[#This Row],[odds_ft_draw]]-Table1[[#This Row],[Margin]]</f>
        <v>0.31083743842364525</v>
      </c>
      <c r="L212">
        <f>1/Table1[[#This Row],[odds_ft_away_team_win]]-Table1[[#This Row],[Margin]]</f>
        <v>0.3660098522167487</v>
      </c>
      <c r="M212">
        <v>5</v>
      </c>
      <c r="N212">
        <v>1.46</v>
      </c>
      <c r="O212">
        <v>1.4</v>
      </c>
      <c r="P212">
        <v>1.58</v>
      </c>
      <c r="Q212">
        <v>1.53</v>
      </c>
      <c r="R212" t="str" cm="1">
        <f t="array" ref="R2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12">
        <v>2</v>
      </c>
      <c r="T212">
        <v>3</v>
      </c>
      <c r="U212">
        <v>5</v>
      </c>
      <c r="V212">
        <v>4</v>
      </c>
      <c r="W212">
        <v>2</v>
      </c>
      <c r="X212">
        <v>2</v>
      </c>
      <c r="Y212" t="s">
        <v>475</v>
      </c>
      <c r="Z212" t="s">
        <v>476</v>
      </c>
      <c r="AA212">
        <v>5</v>
      </c>
      <c r="AB212">
        <v>3</v>
      </c>
      <c r="AC212">
        <v>1</v>
      </c>
      <c r="AD212">
        <v>0</v>
      </c>
      <c r="AE212">
        <v>3</v>
      </c>
      <c r="AF212">
        <v>0</v>
      </c>
      <c r="AG212">
        <v>1</v>
      </c>
      <c r="AH212">
        <v>0</v>
      </c>
      <c r="AI212">
        <v>2</v>
      </c>
      <c r="AJ212">
        <v>1</v>
      </c>
      <c r="AK212">
        <v>16</v>
      </c>
      <c r="AL212">
        <v>14</v>
      </c>
      <c r="AM212">
        <v>8</v>
      </c>
      <c r="AN212">
        <v>4</v>
      </c>
      <c r="AO212">
        <v>8</v>
      </c>
      <c r="AP212">
        <v>10</v>
      </c>
      <c r="AQ212">
        <v>19</v>
      </c>
      <c r="AR212">
        <v>14</v>
      </c>
      <c r="AS212">
        <v>61</v>
      </c>
      <c r="AT212">
        <v>39</v>
      </c>
      <c r="AU212">
        <v>1.83</v>
      </c>
      <c r="AV212">
        <v>1.37</v>
      </c>
      <c r="AW212">
        <v>1.98</v>
      </c>
      <c r="AX212">
        <v>61</v>
      </c>
      <c r="AY212">
        <v>69</v>
      </c>
      <c r="AZ212">
        <v>31</v>
      </c>
      <c r="BA212">
        <v>13</v>
      </c>
      <c r="BB212">
        <v>4</v>
      </c>
      <c r="BC212">
        <v>33</v>
      </c>
      <c r="BD212">
        <v>49</v>
      </c>
      <c r="BE212">
        <v>36</v>
      </c>
      <c r="BF212">
        <v>64</v>
      </c>
      <c r="BG212">
        <v>10.28</v>
      </c>
      <c r="BH212">
        <v>4.34</v>
      </c>
      <c r="BI212">
        <v>2.8</v>
      </c>
      <c r="BJ212">
        <v>2.9</v>
      </c>
      <c r="BK212">
        <v>2.5</v>
      </c>
      <c r="BL212">
        <f>(1/Table1[[#This Row],[odds_ft_home_team_win]]+1/Table1[[#This Row],[odds_ft_draw]]+1/Table1[[#This Row],[odds_ft_away_team_win]]-1)/3</f>
        <v>3.3990147783251302E-2</v>
      </c>
      <c r="BM212">
        <v>1.4</v>
      </c>
      <c r="BN212">
        <v>2.25</v>
      </c>
      <c r="BO212">
        <v>4</v>
      </c>
      <c r="BP212">
        <v>7.5</v>
      </c>
      <c r="BQ212">
        <v>1.91</v>
      </c>
      <c r="BR212">
        <v>1.8</v>
      </c>
      <c r="BS212" t="s">
        <v>142</v>
      </c>
      <c r="BT212">
        <f>VLOOKUP(Table1[[#This Row],[Reference]],metron,8,FALSE)</f>
        <v>1.274681051426811</v>
      </c>
      <c r="BU212">
        <f>VLOOKUP(Table1[[#This Row],[Reference]],metron,9,FALSE)</f>
        <v>1.4392482240810365</v>
      </c>
      <c r="BV212">
        <f>VLOOKUP(Table1[[#This Row],[Reference]],metron,10,FALSE)</f>
        <v>2.5313454284174597</v>
      </c>
      <c r="BW212">
        <f>VLOOKUP(Table1[[#This Row],[Reference]],metron,11,FALSE)</f>
        <v>1.210167055864918</v>
      </c>
      <c r="BX212">
        <f>VLOOKUP(Table1[[#This Row],[Reference]],metron,12,FALSE)</f>
        <v>1.3211783725525419</v>
      </c>
      <c r="BY212" s="6">
        <f>VLOOKUP(Table1[[#This Row],[Reference]],metron,13,FALSE)</f>
        <v>0.53135669362084459</v>
      </c>
      <c r="BZ212" s="6">
        <f>VLOOKUP(Table1[[#This Row],[Reference]],metron,14,FALSE)</f>
        <v>0.55633423180592989</v>
      </c>
      <c r="CA212" s="6">
        <f>VLOOKUP(Table1[[#This Row],[Reference]],metron,15,FALSE)</f>
        <v>11.21109010712035</v>
      </c>
      <c r="CB212" s="6">
        <f>VLOOKUP(Table1[[#This Row],[Reference]],metron,16,FALSE)</f>
        <v>11.01700787401575</v>
      </c>
      <c r="CC212" s="6">
        <f>VLOOKUP(Table1[[#This Row],[Reference]],metron,17,FALSE)</f>
        <v>4.6792332268370611</v>
      </c>
      <c r="CD212" s="6">
        <f>VLOOKUP(Table1[[#This Row],[Reference]],metron,18,FALSE)</f>
        <v>4.7080804854679013</v>
      </c>
      <c r="CE212" s="6">
        <f>VLOOKUP(Table1[[#This Row],[Reference]],metron,19,FALSE)</f>
        <v>6.5318568802832893</v>
      </c>
      <c r="CF212" s="6">
        <f>VLOOKUP(Table1[[#This Row],[Reference]],metron,20,FALSE)</f>
        <v>6.3089273885478487</v>
      </c>
      <c r="CG212" s="6">
        <f>VLOOKUP(Table1[[#This Row],[Reference]],metron,21,FALSE)</f>
        <v>12.72547770700637</v>
      </c>
      <c r="CH212" s="6">
        <f>VLOOKUP(Table1[[#This Row],[Reference]],metron,22,FALSE)</f>
        <v>13.06847133757962</v>
      </c>
      <c r="CI212" s="6">
        <f>VLOOKUP(Table1[[#This Row],[Reference]],metron,23,FALSE)</f>
        <v>1.6902356902356901</v>
      </c>
      <c r="CJ212" s="6">
        <f>VLOOKUP(Table1[[#This Row],[Reference]],metron,24,FALSE)</f>
        <v>1.8050198959289869</v>
      </c>
      <c r="CK212" s="6">
        <f>VLOOKUP(Table1[[#This Row],[Reference]],metron,25,FALSE)</f>
        <v>0.105907560453015</v>
      </c>
      <c r="CL212" s="6">
        <f>VLOOKUP(Table1[[#This Row],[Reference]],metron,26,FALSE)</f>
        <v>0.1141720232629324</v>
      </c>
    </row>
    <row r="213" spans="1:90" hidden="1" x14ac:dyDescent="0.45">
      <c r="A213" t="s">
        <v>695</v>
      </c>
      <c r="B213">
        <v>1644775200</v>
      </c>
      <c r="C213" s="23" t="s">
        <v>477</v>
      </c>
      <c r="D213" t="s">
        <v>65</v>
      </c>
      <c r="E213" t="s">
        <v>66</v>
      </c>
      <c r="F213" t="s">
        <v>96</v>
      </c>
      <c r="G213" t="s">
        <v>85</v>
      </c>
      <c r="H213" t="s">
        <v>165</v>
      </c>
      <c r="I213">
        <f>MROUND(Table1[[#This Row],[ProbH]]*100,2)/100</f>
        <v>0.34</v>
      </c>
      <c r="J213">
        <f>1/Table1[[#This Row],[odds_ft_home_team_win]]-Table1[[#This Row],[Margin]]</f>
        <v>0.33608778518992088</v>
      </c>
      <c r="K213">
        <f>1/Table1[[#This Row],[odds_ft_draw]]-Table1[[#This Row],[Margin]]</f>
        <v>0.29383587243441095</v>
      </c>
      <c r="L213">
        <f>1/Table1[[#This Row],[odds_ft_away_team_win]]-Table1[[#This Row],[Margin]]</f>
        <v>0.37007634237566828</v>
      </c>
      <c r="M213">
        <v>5</v>
      </c>
      <c r="N213">
        <v>1.46</v>
      </c>
      <c r="O213">
        <v>1.38</v>
      </c>
      <c r="P213">
        <v>1.58</v>
      </c>
      <c r="Q213">
        <v>1.4</v>
      </c>
      <c r="R213" t="str" cm="1">
        <f t="array" ref="R2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3">
        <v>2</v>
      </c>
      <c r="T213">
        <v>1</v>
      </c>
      <c r="U213">
        <v>3</v>
      </c>
      <c r="V213">
        <v>3</v>
      </c>
      <c r="W213">
        <v>2</v>
      </c>
      <c r="X213">
        <v>1</v>
      </c>
      <c r="Y213" t="s">
        <v>478</v>
      </c>
      <c r="Z213">
        <v>20</v>
      </c>
      <c r="AA213">
        <v>5</v>
      </c>
      <c r="AB213">
        <v>5</v>
      </c>
      <c r="AC213">
        <v>2</v>
      </c>
      <c r="AD213">
        <v>1</v>
      </c>
      <c r="AE213">
        <v>0</v>
      </c>
      <c r="AF213">
        <v>1</v>
      </c>
      <c r="AG213">
        <v>0</v>
      </c>
      <c r="AH213">
        <v>3</v>
      </c>
      <c r="AI213">
        <v>0</v>
      </c>
      <c r="AJ213">
        <v>1</v>
      </c>
      <c r="AK213">
        <v>13</v>
      </c>
      <c r="AL213">
        <v>14</v>
      </c>
      <c r="AM213">
        <v>5</v>
      </c>
      <c r="AN213">
        <v>5</v>
      </c>
      <c r="AO213">
        <v>8</v>
      </c>
      <c r="AP213">
        <v>9</v>
      </c>
      <c r="AQ213">
        <v>10</v>
      </c>
      <c r="AR213">
        <v>7</v>
      </c>
      <c r="AS213">
        <v>37</v>
      </c>
      <c r="AT213">
        <v>63</v>
      </c>
      <c r="AU213">
        <v>1.44</v>
      </c>
      <c r="AV213">
        <v>1.46</v>
      </c>
      <c r="AW213">
        <v>2.16</v>
      </c>
      <c r="AX213">
        <v>31</v>
      </c>
      <c r="AY213">
        <v>54</v>
      </c>
      <c r="AZ213">
        <v>42</v>
      </c>
      <c r="BA213">
        <v>23</v>
      </c>
      <c r="BB213">
        <v>8</v>
      </c>
      <c r="BC213">
        <v>15</v>
      </c>
      <c r="BD213">
        <v>58</v>
      </c>
      <c r="BE213">
        <v>35</v>
      </c>
      <c r="BF213">
        <v>66</v>
      </c>
      <c r="BG213">
        <v>9.4600000000000009</v>
      </c>
      <c r="BH213">
        <v>4.6900000000000004</v>
      </c>
      <c r="BI213">
        <v>2.78</v>
      </c>
      <c r="BJ213">
        <v>3.15</v>
      </c>
      <c r="BK213">
        <v>2.54</v>
      </c>
      <c r="BL213">
        <f>(1/Table1[[#This Row],[odds_ft_home_team_win]]+1/Table1[[#This Row],[odds_ft_draw]]+1/Table1[[#This Row],[odds_ft_away_team_win]]-1)/3</f>
        <v>2.362444502590651E-2</v>
      </c>
      <c r="BM213">
        <v>1.36</v>
      </c>
      <c r="BN213">
        <v>2.1</v>
      </c>
      <c r="BO213">
        <v>3.75</v>
      </c>
      <c r="BP213">
        <v>7</v>
      </c>
      <c r="BQ213">
        <v>1.85</v>
      </c>
      <c r="BR213">
        <v>1.85</v>
      </c>
      <c r="BS213" t="s">
        <v>99</v>
      </c>
      <c r="BT213">
        <f>VLOOKUP(Table1[[#This Row],[Reference]],metron,8,FALSE)</f>
        <v>1.3382439854569812</v>
      </c>
      <c r="BU213">
        <f>VLOOKUP(Table1[[#This Row],[Reference]],metron,9,FALSE)</f>
        <v>1.3740319615582339</v>
      </c>
      <c r="BV213">
        <f>VLOOKUP(Table1[[#This Row],[Reference]],metron,10,FALSE)</f>
        <v>2.5229727551184897</v>
      </c>
      <c r="BW213">
        <f>VLOOKUP(Table1[[#This Row],[Reference]],metron,11,FALSE)</f>
        <v>1.228921489601805</v>
      </c>
      <c r="BX213">
        <f>VLOOKUP(Table1[[#This Row],[Reference]],metron,12,FALSE)</f>
        <v>1.2940512655166849</v>
      </c>
      <c r="BY213" s="6">
        <f>VLOOKUP(Table1[[#This Row],[Reference]],metron,13,FALSE)</f>
        <v>0.53240890035472432</v>
      </c>
      <c r="BZ213" s="6">
        <f>VLOOKUP(Table1[[#This Row],[Reference]],metron,14,FALSE)</f>
        <v>0.56514027732989358</v>
      </c>
      <c r="CA213" s="6">
        <f>VLOOKUP(Table1[[#This Row],[Reference]],metron,15,FALSE)</f>
        <v>11.417888124439131</v>
      </c>
      <c r="CB213" s="6">
        <f>VLOOKUP(Table1[[#This Row],[Reference]],metron,16,FALSE)</f>
        <v>10.76308704756207</v>
      </c>
      <c r="CC213" s="6">
        <f>VLOOKUP(Table1[[#This Row],[Reference]],metron,17,FALSE)</f>
        <v>4.8317672021824798</v>
      </c>
      <c r="CD213" s="6">
        <f>VLOOKUP(Table1[[#This Row],[Reference]],metron,18,FALSE)</f>
        <v>4.6698999696877843</v>
      </c>
      <c r="CE213" s="6">
        <f>VLOOKUP(Table1[[#This Row],[Reference]],metron,19,FALSE)</f>
        <v>6.5861209222566508</v>
      </c>
      <c r="CF213" s="6">
        <f>VLOOKUP(Table1[[#This Row],[Reference]],metron,20,FALSE)</f>
        <v>6.093187077874286</v>
      </c>
      <c r="CG213" s="6">
        <f>VLOOKUP(Table1[[#This Row],[Reference]],metron,21,FALSE)</f>
        <v>12.685679611650491</v>
      </c>
      <c r="CH213" s="6">
        <f>VLOOKUP(Table1[[#This Row],[Reference]],metron,22,FALSE)</f>
        <v>13.02639563106796</v>
      </c>
      <c r="CI213" s="6">
        <f>VLOOKUP(Table1[[#This Row],[Reference]],metron,23,FALSE)</f>
        <v>1.6481211768132831</v>
      </c>
      <c r="CJ213" s="6">
        <f>VLOOKUP(Table1[[#This Row],[Reference]],metron,24,FALSE)</f>
        <v>1.8572676958928049</v>
      </c>
      <c r="CK213" s="6">
        <f>VLOOKUP(Table1[[#This Row],[Reference]],metron,25,FALSE)</f>
        <v>9.641712787649287E-2</v>
      </c>
      <c r="CL213" s="6">
        <f>VLOOKUP(Table1[[#This Row],[Reference]],metron,26,FALSE)</f>
        <v>0.11302068161957469</v>
      </c>
    </row>
    <row r="214" spans="1:90" hidden="1" x14ac:dyDescent="0.45">
      <c r="A214" t="s">
        <v>695</v>
      </c>
      <c r="B214">
        <v>1644894000</v>
      </c>
      <c r="C214" s="23" t="s">
        <v>479</v>
      </c>
      <c r="D214" t="s">
        <v>65</v>
      </c>
      <c r="E214" t="s">
        <v>66</v>
      </c>
      <c r="F214" t="s">
        <v>84</v>
      </c>
      <c r="G214" t="s">
        <v>67</v>
      </c>
      <c r="H214" t="s">
        <v>66</v>
      </c>
      <c r="I214">
        <f>MROUND(Table1[[#This Row],[ProbH]]*100,2)/100</f>
        <v>0.6</v>
      </c>
      <c r="J214">
        <f>1/Table1[[#This Row],[odds_ft_home_team_win]]-Table1[[#This Row],[Margin]]</f>
        <v>0.60179231031435487</v>
      </c>
      <c r="K214">
        <f>1/Table1[[#This Row],[odds_ft_draw]]-Table1[[#This Row],[Margin]]</f>
        <v>0.24316397128117251</v>
      </c>
      <c r="L214">
        <f>1/Table1[[#This Row],[odds_ft_away_team_win]]-Table1[[#This Row],[Margin]]</f>
        <v>0.15504371840447265</v>
      </c>
      <c r="M214">
        <v>5</v>
      </c>
      <c r="N214">
        <v>1.4</v>
      </c>
      <c r="O214">
        <v>0.55000000000000004</v>
      </c>
      <c r="P214">
        <v>1.89</v>
      </c>
      <c r="Q214">
        <v>0.65</v>
      </c>
      <c r="R214" t="str" cm="1">
        <f t="array" ref="R2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4">
        <v>2</v>
      </c>
      <c r="T214">
        <v>2</v>
      </c>
      <c r="U214">
        <v>4</v>
      </c>
      <c r="V214">
        <v>3</v>
      </c>
      <c r="W214">
        <v>2</v>
      </c>
      <c r="X214">
        <v>1</v>
      </c>
      <c r="Y214" t="s">
        <v>480</v>
      </c>
      <c r="Z214" t="s">
        <v>481</v>
      </c>
      <c r="AA214">
        <v>8</v>
      </c>
      <c r="AB214">
        <v>4</v>
      </c>
      <c r="AC214">
        <v>0</v>
      </c>
      <c r="AD214">
        <v>0</v>
      </c>
      <c r="AE214">
        <v>3</v>
      </c>
      <c r="AF214">
        <v>0</v>
      </c>
      <c r="AG214">
        <v>0</v>
      </c>
      <c r="AH214">
        <v>0</v>
      </c>
      <c r="AI214">
        <v>2</v>
      </c>
      <c r="AJ214">
        <v>1</v>
      </c>
      <c r="AK214">
        <v>14</v>
      </c>
      <c r="AL214">
        <v>12</v>
      </c>
      <c r="AM214">
        <v>6</v>
      </c>
      <c r="AN214">
        <v>5</v>
      </c>
      <c r="AO214">
        <v>8</v>
      </c>
      <c r="AP214">
        <v>7</v>
      </c>
      <c r="AQ214">
        <v>14</v>
      </c>
      <c r="AR214">
        <v>13</v>
      </c>
      <c r="AS214">
        <v>52</v>
      </c>
      <c r="AT214">
        <v>48</v>
      </c>
      <c r="AU214">
        <v>1.61</v>
      </c>
      <c r="AV214">
        <v>1.34</v>
      </c>
      <c r="AW214">
        <v>1.78</v>
      </c>
      <c r="AX214">
        <v>48</v>
      </c>
      <c r="AY214">
        <v>67</v>
      </c>
      <c r="AZ214">
        <v>24</v>
      </c>
      <c r="BA214">
        <v>5</v>
      </c>
      <c r="BB214">
        <v>0</v>
      </c>
      <c r="BC214">
        <v>20</v>
      </c>
      <c r="BD214">
        <v>58</v>
      </c>
      <c r="BE214">
        <v>28</v>
      </c>
      <c r="BF214">
        <v>62</v>
      </c>
      <c r="BG214">
        <v>9.85</v>
      </c>
      <c r="BH214">
        <v>5.47</v>
      </c>
      <c r="BI214">
        <v>1.55</v>
      </c>
      <c r="BJ214">
        <v>3.49</v>
      </c>
      <c r="BK214">
        <v>5.04</v>
      </c>
      <c r="BL214">
        <f>(1/Table1[[#This Row],[odds_ft_home_team_win]]+1/Table1[[#This Row],[odds_ft_draw]]+1/Table1[[#This Row],[odds_ft_away_team_win]]-1)/3</f>
        <v>4.3368980008225755E-2</v>
      </c>
      <c r="BM214">
        <v>1.33</v>
      </c>
      <c r="BN214">
        <v>2.1</v>
      </c>
      <c r="BO214">
        <v>3.54</v>
      </c>
      <c r="BP214">
        <v>6.65</v>
      </c>
      <c r="BQ214">
        <v>2.1</v>
      </c>
      <c r="BR214">
        <v>1.67</v>
      </c>
      <c r="BS214" t="s">
        <v>88</v>
      </c>
      <c r="BT214">
        <f>VLOOKUP(Table1[[#This Row],[Reference]],metron,8,FALSE)</f>
        <v>2.0749792289385525</v>
      </c>
      <c r="BU214">
        <f>VLOOKUP(Table1[[#This Row],[Reference]],metron,9,FALSE)</f>
        <v>0.68220664089703831</v>
      </c>
      <c r="BV214">
        <f>VLOOKUP(Table1[[#This Row],[Reference]],metron,10,FALSE)</f>
        <v>2.7310090702947849</v>
      </c>
      <c r="BW214">
        <f>VLOOKUP(Table1[[#This Row],[Reference]],metron,11,FALSE)</f>
        <v>1.841836734693878</v>
      </c>
      <c r="BX214">
        <f>VLOOKUP(Table1[[#This Row],[Reference]],metron,12,FALSE)</f>
        <v>0.88917233560090703</v>
      </c>
      <c r="BY214" s="6">
        <f>VLOOKUP(Table1[[#This Row],[Reference]],metron,13,FALSE)</f>
        <v>0.804822695035461</v>
      </c>
      <c r="BZ214" s="6">
        <f>VLOOKUP(Table1[[#This Row],[Reference]],metron,14,FALSE)</f>
        <v>0.38099290780141842</v>
      </c>
      <c r="CA214" s="6">
        <f>VLOOKUP(Table1[[#This Row],[Reference]],metron,15,FALSE)</f>
        <v>14.25174825174825</v>
      </c>
      <c r="CB214" s="6">
        <f>VLOOKUP(Table1[[#This Row],[Reference]],metron,16,FALSE)</f>
        <v>8.8316683316683324</v>
      </c>
      <c r="CC214" s="6">
        <f>VLOOKUP(Table1[[#This Row],[Reference]],metron,17,FALSE)</f>
        <v>6.2901265822784813</v>
      </c>
      <c r="CD214" s="6">
        <f>VLOOKUP(Table1[[#This Row],[Reference]],metron,18,FALSE)</f>
        <v>3.6162025316455702</v>
      </c>
      <c r="CE214" s="6">
        <f>VLOOKUP(Table1[[#This Row],[Reference]],metron,19,FALSE)</f>
        <v>7.9616216694697686</v>
      </c>
      <c r="CF214" s="6">
        <f>VLOOKUP(Table1[[#This Row],[Reference]],metron,20,FALSE)</f>
        <v>5.2154658000227627</v>
      </c>
      <c r="CG214" s="6">
        <f>VLOOKUP(Table1[[#This Row],[Reference]],metron,21,FALSE)</f>
        <v>12.444895886236671</v>
      </c>
      <c r="CH214" s="6">
        <f>VLOOKUP(Table1[[#This Row],[Reference]],metron,22,FALSE)</f>
        <v>13.620619603859829</v>
      </c>
      <c r="CI214" s="6">
        <f>VLOOKUP(Table1[[#This Row],[Reference]],metron,23,FALSE)</f>
        <v>1.406084017382907</v>
      </c>
      <c r="CJ214" s="6">
        <f>VLOOKUP(Table1[[#This Row],[Reference]],metron,24,FALSE)</f>
        <v>2.070980202800579</v>
      </c>
      <c r="CK214" s="6">
        <f>VLOOKUP(Table1[[#This Row],[Reference]],metron,25,FALSE)</f>
        <v>6.1323032351521013E-2</v>
      </c>
      <c r="CL214" s="6">
        <f>VLOOKUP(Table1[[#This Row],[Reference]],metron,26,FALSE)</f>
        <v>0.1313375181071946</v>
      </c>
    </row>
    <row r="215" spans="1:90" hidden="1" x14ac:dyDescent="0.45">
      <c r="A215" t="s">
        <v>695</v>
      </c>
      <c r="B215">
        <v>1645059600</v>
      </c>
      <c r="C215" s="23" t="s">
        <v>482</v>
      </c>
      <c r="D215" t="s">
        <v>65</v>
      </c>
      <c r="E215" t="s">
        <v>66</v>
      </c>
      <c r="F215" t="s">
        <v>113</v>
      </c>
      <c r="G215" t="s">
        <v>68</v>
      </c>
      <c r="H215" t="s">
        <v>74</v>
      </c>
      <c r="I215">
        <f>MROUND(Table1[[#This Row],[ProbH]]*100,2)/100</f>
        <v>0.24</v>
      </c>
      <c r="J215">
        <f>1/Table1[[#This Row],[odds_ft_home_team_win]]-Table1[[#This Row],[Margin]]</f>
        <v>0.24839001078182824</v>
      </c>
      <c r="K215">
        <f>1/Table1[[#This Row],[odds_ft_draw]]-Table1[[#This Row],[Margin]]</f>
        <v>0.29319287816534079</v>
      </c>
      <c r="L215">
        <f>1/Table1[[#This Row],[odds_ft_away_team_win]]-Table1[[#This Row],[Margin]]</f>
        <v>0.45841711105283101</v>
      </c>
      <c r="M215">
        <v>2</v>
      </c>
      <c r="N215">
        <v>1.64</v>
      </c>
      <c r="O215">
        <v>1.55</v>
      </c>
      <c r="P215">
        <v>1.71</v>
      </c>
      <c r="Q215">
        <v>1.53</v>
      </c>
      <c r="R215" t="str" cm="1">
        <f t="array" ref="R2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5">
        <v>2</v>
      </c>
      <c r="T215">
        <v>1</v>
      </c>
      <c r="U215">
        <v>3</v>
      </c>
      <c r="V215">
        <v>2</v>
      </c>
      <c r="W215">
        <v>2</v>
      </c>
      <c r="X215">
        <v>0</v>
      </c>
      <c r="Y215" t="s">
        <v>483</v>
      </c>
      <c r="Z215" t="s">
        <v>419</v>
      </c>
      <c r="AA215">
        <v>1</v>
      </c>
      <c r="AB215">
        <v>6</v>
      </c>
      <c r="AC215">
        <v>4</v>
      </c>
      <c r="AD215">
        <v>1</v>
      </c>
      <c r="AE215">
        <v>2</v>
      </c>
      <c r="AF215">
        <v>0</v>
      </c>
      <c r="AG215">
        <v>2</v>
      </c>
      <c r="AH215">
        <v>3</v>
      </c>
      <c r="AI215">
        <v>0</v>
      </c>
      <c r="AJ215">
        <v>2</v>
      </c>
      <c r="AK215">
        <v>5</v>
      </c>
      <c r="AL215">
        <v>8</v>
      </c>
      <c r="AM215">
        <v>2</v>
      </c>
      <c r="AN215">
        <v>2</v>
      </c>
      <c r="AO215">
        <v>3</v>
      </c>
      <c r="AP215">
        <v>6</v>
      </c>
      <c r="AQ215">
        <v>18</v>
      </c>
      <c r="AR215">
        <v>14</v>
      </c>
      <c r="AS215">
        <v>38</v>
      </c>
      <c r="AT215">
        <v>62</v>
      </c>
      <c r="AU215">
        <v>0.68</v>
      </c>
      <c r="AV215">
        <v>1.0900000000000001</v>
      </c>
      <c r="AW215">
        <v>2.41</v>
      </c>
      <c r="AX215">
        <v>64</v>
      </c>
      <c r="AY215">
        <v>73</v>
      </c>
      <c r="AZ215">
        <v>50</v>
      </c>
      <c r="BA215">
        <v>23</v>
      </c>
      <c r="BB215">
        <v>5</v>
      </c>
      <c r="BC215">
        <v>46</v>
      </c>
      <c r="BD215">
        <v>73</v>
      </c>
      <c r="BE215">
        <v>32</v>
      </c>
      <c r="BF215">
        <v>69</v>
      </c>
      <c r="BG215">
        <v>5.91</v>
      </c>
      <c r="BH215">
        <v>5.46</v>
      </c>
      <c r="BI215">
        <v>3.6</v>
      </c>
      <c r="BJ215">
        <v>3.1</v>
      </c>
      <c r="BK215">
        <v>2.0499999999999998</v>
      </c>
      <c r="BL215">
        <f>(1/Table1[[#This Row],[odds_ft_home_team_win]]+1/Table1[[#This Row],[odds_ft_draw]]+1/Table1[[#This Row],[odds_ft_away_team_win]]-1)/3</f>
        <v>2.9387766995949544E-2</v>
      </c>
      <c r="BM215">
        <v>0</v>
      </c>
      <c r="BN215">
        <v>2.11</v>
      </c>
      <c r="BO215">
        <v>0</v>
      </c>
      <c r="BP215">
        <v>0</v>
      </c>
      <c r="BQ215">
        <v>0</v>
      </c>
      <c r="BR215">
        <v>0</v>
      </c>
      <c r="BS215" t="s">
        <v>120</v>
      </c>
      <c r="BT215">
        <f>VLOOKUP(Table1[[#This Row],[Reference]],metron,8,FALSE)</f>
        <v>1.0221684690062811</v>
      </c>
      <c r="BU215">
        <f>VLOOKUP(Table1[[#This Row],[Reference]],metron,9,FALSE)</f>
        <v>1.7036119427882386</v>
      </c>
      <c r="BV215">
        <f>VLOOKUP(Table1[[#This Row],[Reference]],metron,10,FALSE)</f>
        <v>2.6014437689969609</v>
      </c>
      <c r="BW215">
        <f>VLOOKUP(Table1[[#This Row],[Reference]],metron,11,FALSE)</f>
        <v>1.067249240121581</v>
      </c>
      <c r="BX215">
        <f>VLOOKUP(Table1[[#This Row],[Reference]],metron,12,FALSE)</f>
        <v>1.53419452887538</v>
      </c>
      <c r="BY215" s="6">
        <f>VLOOKUP(Table1[[#This Row],[Reference]],metron,13,FALSE)</f>
        <v>0.45589353612167299</v>
      </c>
      <c r="BZ215" s="6">
        <f>VLOOKUP(Table1[[#This Row],[Reference]],metron,14,FALSE)</f>
        <v>0.65133079847908748</v>
      </c>
      <c r="CA215" s="6">
        <f>VLOOKUP(Table1[[#This Row],[Reference]],metron,15,FALSE)</f>
        <v>10.75886524822695</v>
      </c>
      <c r="CB215" s="6">
        <f>VLOOKUP(Table1[[#This Row],[Reference]],metron,16,FALSE)</f>
        <v>12.46679561573179</v>
      </c>
      <c r="CC215" s="6">
        <f>VLOOKUP(Table1[[#This Row],[Reference]],metron,17,FALSE)</f>
        <v>4.1157347204161248</v>
      </c>
      <c r="CD215" s="6">
        <f>VLOOKUP(Table1[[#This Row],[Reference]],metron,18,FALSE)</f>
        <v>5.1072821846553964</v>
      </c>
      <c r="CE215" s="6">
        <f>VLOOKUP(Table1[[#This Row],[Reference]],metron,19,FALSE)</f>
        <v>6.6431305278108255</v>
      </c>
      <c r="CF215" s="6">
        <f>VLOOKUP(Table1[[#This Row],[Reference]],metron,20,FALSE)</f>
        <v>7.3595134310763939</v>
      </c>
      <c r="CG215" s="6">
        <f>VLOOKUP(Table1[[#This Row],[Reference]],metron,21,FALSE)</f>
        <v>13.11140235910878</v>
      </c>
      <c r="CH215" s="6">
        <f>VLOOKUP(Table1[[#This Row],[Reference]],metron,22,FALSE)</f>
        <v>12.93184796854522</v>
      </c>
      <c r="CI215" s="6">
        <f>VLOOKUP(Table1[[#This Row],[Reference]],metron,23,FALSE)</f>
        <v>1.8341677096370459</v>
      </c>
      <c r="CJ215" s="6">
        <f>VLOOKUP(Table1[[#This Row],[Reference]],metron,24,FALSE)</f>
        <v>1.7903629536921151</v>
      </c>
      <c r="CK215" s="6">
        <f>VLOOKUP(Table1[[#This Row],[Reference]],metron,25,FALSE)</f>
        <v>0.1095118898623279</v>
      </c>
      <c r="CL215" s="6">
        <f>VLOOKUP(Table1[[#This Row],[Reference]],metron,26,FALSE)</f>
        <v>9.3241551939924908E-2</v>
      </c>
    </row>
    <row r="216" spans="1:90" hidden="1" x14ac:dyDescent="0.45">
      <c r="A216" t="s">
        <v>695</v>
      </c>
      <c r="B216">
        <v>1645232400</v>
      </c>
      <c r="C216" s="23" t="s">
        <v>484</v>
      </c>
      <c r="D216" t="s">
        <v>65</v>
      </c>
      <c r="E216" t="s">
        <v>66</v>
      </c>
      <c r="F216" t="s">
        <v>102</v>
      </c>
      <c r="G216" t="s">
        <v>101</v>
      </c>
      <c r="H216" t="s">
        <v>103</v>
      </c>
      <c r="I216">
        <f>MROUND(Table1[[#This Row],[ProbH]]*100,2)/100</f>
        <v>0.36</v>
      </c>
      <c r="J216">
        <f>1/Table1[[#This Row],[odds_ft_home_team_win]]-Table1[[#This Row],[Margin]]</f>
        <v>0.35495283018867924</v>
      </c>
      <c r="K216">
        <f>1/Table1[[#This Row],[odds_ft_draw]]-Table1[[#This Row],[Margin]]</f>
        <v>0.29009433962264147</v>
      </c>
      <c r="L216">
        <f>1/Table1[[#This Row],[odds_ft_away_team_win]]-Table1[[#This Row],[Margin]]</f>
        <v>0.35495283018867924</v>
      </c>
      <c r="M216">
        <v>6</v>
      </c>
      <c r="N216">
        <v>1.5</v>
      </c>
      <c r="O216">
        <v>1.25</v>
      </c>
      <c r="P216">
        <v>1.38</v>
      </c>
      <c r="Q216">
        <v>1.05</v>
      </c>
      <c r="R216" t="str" cm="1">
        <f t="array" ref="R2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3</v>
      </c>
      <c r="AA216">
        <v>3</v>
      </c>
      <c r="AB216">
        <v>11</v>
      </c>
      <c r="AC216">
        <v>4</v>
      </c>
      <c r="AD216">
        <v>1</v>
      </c>
      <c r="AE216">
        <v>4</v>
      </c>
      <c r="AF216">
        <v>0</v>
      </c>
      <c r="AG216">
        <v>2</v>
      </c>
      <c r="AH216">
        <v>3</v>
      </c>
      <c r="AI216">
        <v>1</v>
      </c>
      <c r="AJ216">
        <v>3</v>
      </c>
      <c r="AK216">
        <v>14</v>
      </c>
      <c r="AL216">
        <v>25</v>
      </c>
      <c r="AM216">
        <v>8</v>
      </c>
      <c r="AN216">
        <v>5</v>
      </c>
      <c r="AO216">
        <v>6</v>
      </c>
      <c r="AP216">
        <v>20</v>
      </c>
      <c r="AQ216">
        <v>16</v>
      </c>
      <c r="AR216">
        <v>7</v>
      </c>
      <c r="AS216">
        <v>38</v>
      </c>
      <c r="AT216">
        <v>62</v>
      </c>
      <c r="AU216">
        <v>1.64</v>
      </c>
      <c r="AV216">
        <v>2.42</v>
      </c>
      <c r="AW216">
        <v>2.52</v>
      </c>
      <c r="AX216">
        <v>70</v>
      </c>
      <c r="AY216">
        <v>81</v>
      </c>
      <c r="AZ216">
        <v>43</v>
      </c>
      <c r="BA216">
        <v>27</v>
      </c>
      <c r="BB216">
        <v>4</v>
      </c>
      <c r="BC216">
        <v>39</v>
      </c>
      <c r="BD216">
        <v>66</v>
      </c>
      <c r="BE216">
        <v>38</v>
      </c>
      <c r="BF216">
        <v>81</v>
      </c>
      <c r="BG216">
        <v>10.15</v>
      </c>
      <c r="BH216">
        <v>5.28</v>
      </c>
      <c r="BI216">
        <v>2.65</v>
      </c>
      <c r="BJ216">
        <v>3.2</v>
      </c>
      <c r="BK216">
        <v>2.65</v>
      </c>
      <c r="BL216">
        <f>(1/Table1[[#This Row],[odds_ft_home_team_win]]+1/Table1[[#This Row],[odds_ft_draw]]+1/Table1[[#This Row],[odds_ft_away_team_win]]-1)/3</f>
        <v>2.240566037735851E-2</v>
      </c>
      <c r="BM216">
        <v>1.38</v>
      </c>
      <c r="BN216">
        <v>1.92</v>
      </c>
      <c r="BO216">
        <v>4</v>
      </c>
      <c r="BP216">
        <v>7</v>
      </c>
      <c r="BQ216">
        <v>1.87</v>
      </c>
      <c r="BR216">
        <v>1.87</v>
      </c>
      <c r="BS216" t="s">
        <v>124</v>
      </c>
      <c r="BT216">
        <f>VLOOKUP(Table1[[#This Row],[Reference]],metron,8,FALSE)</f>
        <v>1.4023864615972674</v>
      </c>
      <c r="BU216">
        <f>VLOOKUP(Table1[[#This Row],[Reference]],metron,9,FALSE)</f>
        <v>1.3093265904245279</v>
      </c>
      <c r="BV216">
        <f>VLOOKUP(Table1[[#This Row],[Reference]],metron,10,FALSE)</f>
        <v>2.5110350525197691</v>
      </c>
      <c r="BW216">
        <f>VLOOKUP(Table1[[#This Row],[Reference]],metron,11,FALSE)</f>
        <v>1.269326094653606</v>
      </c>
      <c r="BX216">
        <f>VLOOKUP(Table1[[#This Row],[Reference]],metron,12,FALSE)</f>
        <v>1.2417089578661631</v>
      </c>
      <c r="BY216" s="6">
        <f>VLOOKUP(Table1[[#This Row],[Reference]],metron,13,FALSE)</f>
        <v>0.56586402266288949</v>
      </c>
      <c r="BZ216" s="6">
        <f>VLOOKUP(Table1[[#This Row],[Reference]],metron,14,FALSE)</f>
        <v>0.55158168083097259</v>
      </c>
      <c r="CA216" s="6">
        <f>VLOOKUP(Table1[[#This Row],[Reference]],metron,15,FALSE)</f>
        <v>11.49400826446281</v>
      </c>
      <c r="CB216" s="6">
        <f>VLOOKUP(Table1[[#This Row],[Reference]],metron,16,FALSE)</f>
        <v>10.507231404958681</v>
      </c>
      <c r="CC216" s="6">
        <f>VLOOKUP(Table1[[#This Row],[Reference]],metron,17,FALSE)</f>
        <v>4.9238790406673623</v>
      </c>
      <c r="CD216" s="6">
        <f>VLOOKUP(Table1[[#This Row],[Reference]],metron,18,FALSE)</f>
        <v>4.6296141814389991</v>
      </c>
      <c r="CE216" s="6">
        <f>VLOOKUP(Table1[[#This Row],[Reference]],metron,19,FALSE)</f>
        <v>6.5701292237954476</v>
      </c>
      <c r="CF216" s="6">
        <f>VLOOKUP(Table1[[#This Row],[Reference]],metron,20,FALSE)</f>
        <v>5.8776172235196817</v>
      </c>
      <c r="CG216" s="6">
        <f>VLOOKUP(Table1[[#This Row],[Reference]],metron,21,FALSE)</f>
        <v>12.798739495798319</v>
      </c>
      <c r="CH216" s="6">
        <f>VLOOKUP(Table1[[#This Row],[Reference]],metron,22,FALSE)</f>
        <v>12.98844537815126</v>
      </c>
      <c r="CI216" s="6">
        <f>VLOOKUP(Table1[[#This Row],[Reference]],metron,23,FALSE)</f>
        <v>1.604928297313674</v>
      </c>
      <c r="CJ216" s="6">
        <f>VLOOKUP(Table1[[#This Row],[Reference]],metron,24,FALSE)</f>
        <v>1.791961219955565</v>
      </c>
      <c r="CK216" s="6">
        <f>VLOOKUP(Table1[[#This Row],[Reference]],metron,25,FALSE)</f>
        <v>8.887093516461321E-2</v>
      </c>
      <c r="CL216" s="6">
        <f>VLOOKUP(Table1[[#This Row],[Reference]],metron,26,FALSE)</f>
        <v>0.11694607150070691</v>
      </c>
    </row>
    <row r="217" spans="1:90" hidden="1" x14ac:dyDescent="0.45">
      <c r="A217" t="s">
        <v>695</v>
      </c>
      <c r="B217">
        <v>1645239600</v>
      </c>
      <c r="C217" s="23" t="s">
        <v>485</v>
      </c>
      <c r="D217" t="s">
        <v>65</v>
      </c>
      <c r="E217" t="s">
        <v>66</v>
      </c>
      <c r="F217" t="s">
        <v>78</v>
      </c>
      <c r="G217" t="s">
        <v>73</v>
      </c>
      <c r="H217" t="s">
        <v>130</v>
      </c>
      <c r="I217">
        <f>MROUND(Table1[[#This Row],[ProbH]]*100,2)/100</f>
        <v>0.34</v>
      </c>
      <c r="J217">
        <f>1/Table1[[#This Row],[odds_ft_home_team_win]]-Table1[[#This Row],[Margin]]</f>
        <v>0.34001820560960344</v>
      </c>
      <c r="K217">
        <f>1/Table1[[#This Row],[odds_ft_draw]]-Table1[[#This Row],[Margin]]</f>
        <v>0.28710815269955053</v>
      </c>
      <c r="L217">
        <f>1/Table1[[#This Row],[odds_ft_away_team_win]]-Table1[[#This Row],[Margin]]</f>
        <v>0.37287364169084602</v>
      </c>
      <c r="M217">
        <v>6</v>
      </c>
      <c r="N217">
        <v>1.4</v>
      </c>
      <c r="O217">
        <v>1.0900000000000001</v>
      </c>
      <c r="P217">
        <v>0.88</v>
      </c>
      <c r="Q217">
        <v>1.1100000000000001</v>
      </c>
      <c r="R217" t="str" cm="1">
        <f t="array" ref="R2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AA217">
        <v>0</v>
      </c>
      <c r="AB217">
        <v>8</v>
      </c>
      <c r="AC217">
        <v>4</v>
      </c>
      <c r="AD217">
        <v>0</v>
      </c>
      <c r="AE217">
        <v>4</v>
      </c>
      <c r="AF217">
        <v>0</v>
      </c>
      <c r="AG217">
        <v>1</v>
      </c>
      <c r="AH217">
        <v>3</v>
      </c>
      <c r="AI217">
        <v>2</v>
      </c>
      <c r="AJ217">
        <v>2</v>
      </c>
      <c r="AK217">
        <v>9</v>
      </c>
      <c r="AL217">
        <v>12</v>
      </c>
      <c r="AM217">
        <v>2</v>
      </c>
      <c r="AN217">
        <v>4</v>
      </c>
      <c r="AO217">
        <v>7</v>
      </c>
      <c r="AP217">
        <v>8</v>
      </c>
      <c r="AQ217">
        <v>15</v>
      </c>
      <c r="AR217">
        <v>16</v>
      </c>
      <c r="AS217">
        <v>52</v>
      </c>
      <c r="AT217">
        <v>48</v>
      </c>
      <c r="AU217">
        <v>0.96</v>
      </c>
      <c r="AV217">
        <v>1.45</v>
      </c>
      <c r="AW217">
        <v>2.71</v>
      </c>
      <c r="AX217">
        <v>72</v>
      </c>
      <c r="AY217">
        <v>86</v>
      </c>
      <c r="AZ217">
        <v>62</v>
      </c>
      <c r="BA217">
        <v>24</v>
      </c>
      <c r="BB217">
        <v>5</v>
      </c>
      <c r="BC217">
        <v>48</v>
      </c>
      <c r="BD217">
        <v>77</v>
      </c>
      <c r="BE217">
        <v>48</v>
      </c>
      <c r="BF217">
        <v>80</v>
      </c>
      <c r="BG217">
        <v>9.9499999999999993</v>
      </c>
      <c r="BH217">
        <v>5.6</v>
      </c>
      <c r="BI217">
        <v>2.7</v>
      </c>
      <c r="BJ217">
        <v>3.15</v>
      </c>
      <c r="BK217">
        <v>2.48</v>
      </c>
      <c r="BL217">
        <f>(1/Table1[[#This Row],[odds_ft_home_team_win]]+1/Table1[[#This Row],[odds_ft_draw]]+1/Table1[[#This Row],[odds_ft_away_team_win]]-1)/3</f>
        <v>3.0352164760766891E-2</v>
      </c>
      <c r="BM217">
        <v>1.5</v>
      </c>
      <c r="BN217">
        <v>2.12</v>
      </c>
      <c r="BO217">
        <v>3.5</v>
      </c>
      <c r="BP217">
        <v>6.5</v>
      </c>
      <c r="BQ217">
        <v>1.8</v>
      </c>
      <c r="BR217">
        <v>1.91</v>
      </c>
      <c r="BS217" t="s">
        <v>82</v>
      </c>
      <c r="BT217">
        <f>VLOOKUP(Table1[[#This Row],[Reference]],metron,8,FALSE)</f>
        <v>1.3382439854569812</v>
      </c>
      <c r="BU217">
        <f>VLOOKUP(Table1[[#This Row],[Reference]],metron,9,FALSE)</f>
        <v>1.3740319615582339</v>
      </c>
      <c r="BV217">
        <f>VLOOKUP(Table1[[#This Row],[Reference]],metron,10,FALSE)</f>
        <v>2.5229727551184897</v>
      </c>
      <c r="BW217">
        <f>VLOOKUP(Table1[[#This Row],[Reference]],metron,11,FALSE)</f>
        <v>1.228921489601805</v>
      </c>
      <c r="BX217">
        <f>VLOOKUP(Table1[[#This Row],[Reference]],metron,12,FALSE)</f>
        <v>1.2940512655166849</v>
      </c>
      <c r="BY217" s="6">
        <f>VLOOKUP(Table1[[#This Row],[Reference]],metron,13,FALSE)</f>
        <v>0.53240890035472432</v>
      </c>
      <c r="BZ217" s="6">
        <f>VLOOKUP(Table1[[#This Row],[Reference]],metron,14,FALSE)</f>
        <v>0.56514027732989358</v>
      </c>
      <c r="CA217" s="6">
        <f>VLOOKUP(Table1[[#This Row],[Reference]],metron,15,FALSE)</f>
        <v>11.417888124439131</v>
      </c>
      <c r="CB217" s="6">
        <f>VLOOKUP(Table1[[#This Row],[Reference]],metron,16,FALSE)</f>
        <v>10.76308704756207</v>
      </c>
      <c r="CC217" s="6">
        <f>VLOOKUP(Table1[[#This Row],[Reference]],metron,17,FALSE)</f>
        <v>4.8317672021824798</v>
      </c>
      <c r="CD217" s="6">
        <f>VLOOKUP(Table1[[#This Row],[Reference]],metron,18,FALSE)</f>
        <v>4.6698999696877843</v>
      </c>
      <c r="CE217" s="6">
        <f>VLOOKUP(Table1[[#This Row],[Reference]],metron,19,FALSE)</f>
        <v>6.5861209222566508</v>
      </c>
      <c r="CF217" s="6">
        <f>VLOOKUP(Table1[[#This Row],[Reference]],metron,20,FALSE)</f>
        <v>6.093187077874286</v>
      </c>
      <c r="CG217" s="6">
        <f>VLOOKUP(Table1[[#This Row],[Reference]],metron,21,FALSE)</f>
        <v>12.685679611650491</v>
      </c>
      <c r="CH217" s="6">
        <f>VLOOKUP(Table1[[#This Row],[Reference]],metron,22,FALSE)</f>
        <v>13.02639563106796</v>
      </c>
      <c r="CI217" s="6">
        <f>VLOOKUP(Table1[[#This Row],[Reference]],metron,23,FALSE)</f>
        <v>1.6481211768132831</v>
      </c>
      <c r="CJ217" s="6">
        <f>VLOOKUP(Table1[[#This Row],[Reference]],metron,24,FALSE)</f>
        <v>1.8572676958928049</v>
      </c>
      <c r="CK217" s="6">
        <f>VLOOKUP(Table1[[#This Row],[Reference]],metron,25,FALSE)</f>
        <v>9.641712787649287E-2</v>
      </c>
      <c r="CL217" s="6">
        <f>VLOOKUP(Table1[[#This Row],[Reference]],metron,26,FALSE)</f>
        <v>0.11302068161957469</v>
      </c>
    </row>
    <row r="218" spans="1:90" hidden="1" x14ac:dyDescent="0.45">
      <c r="A218" t="s">
        <v>695</v>
      </c>
      <c r="B218">
        <v>1645239960</v>
      </c>
      <c r="C218" s="23" t="s">
        <v>486</v>
      </c>
      <c r="D218" t="s">
        <v>65</v>
      </c>
      <c r="E218" t="s">
        <v>66</v>
      </c>
      <c r="F218" t="s">
        <v>106</v>
      </c>
      <c r="G218" t="s">
        <v>72</v>
      </c>
      <c r="H218" t="s">
        <v>66</v>
      </c>
      <c r="I218">
        <f>MROUND(Table1[[#This Row],[ProbH]]*100,2)/100</f>
        <v>0.46</v>
      </c>
      <c r="J218">
        <f>1/Table1[[#This Row],[odds_ft_home_team_win]]-Table1[[#This Row],[Margin]]</f>
        <v>0.46724549158355161</v>
      </c>
      <c r="K218">
        <f>1/Table1[[#This Row],[odds_ft_draw]]-Table1[[#This Row],[Margin]]</f>
        <v>0.26205105909682469</v>
      </c>
      <c r="L218">
        <f>1/Table1[[#This Row],[odds_ft_away_team_win]]-Table1[[#This Row],[Margin]]</f>
        <v>0.2707034493196237</v>
      </c>
      <c r="M218">
        <v>6</v>
      </c>
      <c r="N218">
        <v>1.27</v>
      </c>
      <c r="O218">
        <v>1.17</v>
      </c>
      <c r="P218">
        <v>1.35</v>
      </c>
      <c r="Q218">
        <v>1.28</v>
      </c>
      <c r="R218" t="str" cm="1">
        <f t="array" ref="R2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8">
        <v>1</v>
      </c>
      <c r="T218">
        <v>1</v>
      </c>
      <c r="U218">
        <v>2</v>
      </c>
      <c r="V218">
        <v>0</v>
      </c>
      <c r="W218">
        <v>0</v>
      </c>
      <c r="X218">
        <v>0</v>
      </c>
      <c r="Y218">
        <v>57</v>
      </c>
      <c r="Z218">
        <v>69</v>
      </c>
      <c r="AA218">
        <v>3</v>
      </c>
      <c r="AB218">
        <v>5</v>
      </c>
      <c r="AC218">
        <v>2</v>
      </c>
      <c r="AD218">
        <v>0</v>
      </c>
      <c r="AE218">
        <v>2</v>
      </c>
      <c r="AF218">
        <v>0</v>
      </c>
      <c r="AG218">
        <v>0</v>
      </c>
      <c r="AH218">
        <v>2</v>
      </c>
      <c r="AI218">
        <v>0</v>
      </c>
      <c r="AJ218">
        <v>2</v>
      </c>
      <c r="AK218">
        <v>16</v>
      </c>
      <c r="AL218">
        <v>10</v>
      </c>
      <c r="AM218">
        <v>4</v>
      </c>
      <c r="AN218">
        <v>4</v>
      </c>
      <c r="AO218">
        <v>12</v>
      </c>
      <c r="AP218">
        <v>6</v>
      </c>
      <c r="AQ218">
        <v>15</v>
      </c>
      <c r="AR218">
        <v>12</v>
      </c>
      <c r="AS218">
        <v>53</v>
      </c>
      <c r="AT218">
        <v>47</v>
      </c>
      <c r="AU218">
        <v>1.6</v>
      </c>
      <c r="AV218">
        <v>1.44</v>
      </c>
      <c r="AW218">
        <v>2.2599999999999998</v>
      </c>
      <c r="AX218">
        <v>53</v>
      </c>
      <c r="AY218">
        <v>70</v>
      </c>
      <c r="AZ218">
        <v>47</v>
      </c>
      <c r="BA218">
        <v>13</v>
      </c>
      <c r="BB218">
        <v>9</v>
      </c>
      <c r="BC218">
        <v>18</v>
      </c>
      <c r="BD218">
        <v>74</v>
      </c>
      <c r="BE218">
        <v>43</v>
      </c>
      <c r="BF218">
        <v>78</v>
      </c>
      <c r="BG218">
        <v>10.35</v>
      </c>
      <c r="BH218">
        <v>4.83</v>
      </c>
      <c r="BI218">
        <v>2.02</v>
      </c>
      <c r="BJ218">
        <v>3.45</v>
      </c>
      <c r="BK218">
        <v>3.35</v>
      </c>
      <c r="BL218">
        <f>(1/Table1[[#This Row],[odds_ft_home_team_win]]+1/Table1[[#This Row],[odds_ft_draw]]+1/Table1[[#This Row],[odds_ft_away_team_win]]-1)/3</f>
        <v>2.7804013366943419E-2</v>
      </c>
      <c r="BM218">
        <v>1.28</v>
      </c>
      <c r="BN218">
        <v>1.8</v>
      </c>
      <c r="BO218">
        <v>3.3</v>
      </c>
      <c r="BP218">
        <v>5</v>
      </c>
      <c r="BQ218">
        <v>1.72</v>
      </c>
      <c r="BR218">
        <v>2.0499999999999998</v>
      </c>
      <c r="BS218" t="s">
        <v>110</v>
      </c>
      <c r="BT218">
        <f>VLOOKUP(Table1[[#This Row],[Reference]],metron,8,FALSE)</f>
        <v>1.6955772349985931</v>
      </c>
      <c r="BU218">
        <f>VLOOKUP(Table1[[#This Row],[Reference]],metron,9,FALSE)</f>
        <v>1.0239029519551039</v>
      </c>
      <c r="BV218">
        <f>VLOOKUP(Table1[[#This Row],[Reference]],metron,10,FALSE)</f>
        <v>2.5405629139072849</v>
      </c>
      <c r="BW218">
        <f>VLOOKUP(Table1[[#This Row],[Reference]],metron,11,FALSE)</f>
        <v>1.4888836329233679</v>
      </c>
      <c r="BX218">
        <f>VLOOKUP(Table1[[#This Row],[Reference]],metron,12,FALSE)</f>
        <v>1.0516792809839171</v>
      </c>
      <c r="BY218" s="6">
        <f>VLOOKUP(Table1[[#This Row],[Reference]],metron,13,FALSE)</f>
        <v>0.64581362346263005</v>
      </c>
      <c r="BZ218" s="6">
        <f>VLOOKUP(Table1[[#This Row],[Reference]],metron,14,FALSE)</f>
        <v>0.45364238410596031</v>
      </c>
      <c r="CA218" s="6">
        <f>VLOOKUP(Table1[[#This Row],[Reference]],metron,15,FALSE)</f>
        <v>12.686892177589851</v>
      </c>
      <c r="CB218" s="6">
        <f>VLOOKUP(Table1[[#This Row],[Reference]],metron,16,FALSE)</f>
        <v>9.8059196617336148</v>
      </c>
      <c r="CC218" s="6">
        <f>VLOOKUP(Table1[[#This Row],[Reference]],metron,17,FALSE)</f>
        <v>5.3198121263877027</v>
      </c>
      <c r="CD218" s="6">
        <f>VLOOKUP(Table1[[#This Row],[Reference]],metron,18,FALSE)</f>
        <v>4.0954312553373189</v>
      </c>
      <c r="CE218" s="6">
        <f>VLOOKUP(Table1[[#This Row],[Reference]],metron,19,FALSE)</f>
        <v>7.3670800512021479</v>
      </c>
      <c r="CF218" s="6">
        <f>VLOOKUP(Table1[[#This Row],[Reference]],metron,20,FALSE)</f>
        <v>5.710488406396296</v>
      </c>
      <c r="CG218" s="6">
        <f>VLOOKUP(Table1[[#This Row],[Reference]],metron,21,FALSE)</f>
        <v>13.0488908033599</v>
      </c>
      <c r="CH218" s="6">
        <f>VLOOKUP(Table1[[#This Row],[Reference]],metron,22,FALSE)</f>
        <v>13.714839543398661</v>
      </c>
      <c r="CI218" s="6">
        <f>VLOOKUP(Table1[[#This Row],[Reference]],metron,23,FALSE)</f>
        <v>1.567523459812322</v>
      </c>
      <c r="CJ218" s="6">
        <f>VLOOKUP(Table1[[#This Row],[Reference]],metron,24,FALSE)</f>
        <v>1.951040391676867</v>
      </c>
      <c r="CK218" s="6">
        <f>VLOOKUP(Table1[[#This Row],[Reference]],metron,25,FALSE)</f>
        <v>8.3027335781313744E-2</v>
      </c>
      <c r="CL218" s="6">
        <f>VLOOKUP(Table1[[#This Row],[Reference]],metron,26,FALSE)</f>
        <v>0.13117095063239501</v>
      </c>
    </row>
    <row r="219" spans="1:90" hidden="1" x14ac:dyDescent="0.45">
      <c r="A219" t="s">
        <v>695</v>
      </c>
      <c r="B219">
        <v>1645311600</v>
      </c>
      <c r="C219" s="23" t="s">
        <v>487</v>
      </c>
      <c r="D219" t="s">
        <v>65</v>
      </c>
      <c r="E219" t="s">
        <v>66</v>
      </c>
      <c r="F219" t="s">
        <v>67</v>
      </c>
      <c r="G219" t="s">
        <v>113</v>
      </c>
      <c r="H219" t="s">
        <v>98</v>
      </c>
      <c r="I219">
        <f>MROUND(Table1[[#This Row],[ProbH]]*100,2)/100</f>
        <v>0.44</v>
      </c>
      <c r="J219">
        <f>1/Table1[[#This Row],[odds_ft_home_team_win]]-Table1[[#This Row],[Margin]]</f>
        <v>0.44721944721944717</v>
      </c>
      <c r="K219">
        <f>1/Table1[[#This Row],[odds_ft_draw]]-Table1[[#This Row],[Margin]]</f>
        <v>0.27405927405927405</v>
      </c>
      <c r="L219">
        <f>1/Table1[[#This Row],[odds_ft_away_team_win]]-Table1[[#This Row],[Margin]]</f>
        <v>0.27872127872127872</v>
      </c>
      <c r="M219">
        <v>6</v>
      </c>
      <c r="N219">
        <v>1.1000000000000001</v>
      </c>
      <c r="O219">
        <v>0.5</v>
      </c>
      <c r="P219">
        <v>1.24</v>
      </c>
      <c r="Q219">
        <v>0.72</v>
      </c>
      <c r="R219" t="str" cm="1">
        <f t="array" ref="R2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9">
        <v>2</v>
      </c>
      <c r="T219">
        <v>0</v>
      </c>
      <c r="U219">
        <v>2</v>
      </c>
      <c r="V219">
        <v>0</v>
      </c>
      <c r="W219">
        <v>0</v>
      </c>
      <c r="X219">
        <v>0</v>
      </c>
      <c r="Y219" t="s">
        <v>488</v>
      </c>
      <c r="AA219">
        <v>8</v>
      </c>
      <c r="AB219">
        <v>3</v>
      </c>
      <c r="AC219">
        <v>2</v>
      </c>
      <c r="AD219">
        <v>0</v>
      </c>
      <c r="AE219">
        <v>3</v>
      </c>
      <c r="AF219">
        <v>0</v>
      </c>
      <c r="AG219">
        <v>1</v>
      </c>
      <c r="AH219">
        <v>1</v>
      </c>
      <c r="AI219">
        <v>2</v>
      </c>
      <c r="AJ219">
        <v>1</v>
      </c>
      <c r="AK219">
        <v>6</v>
      </c>
      <c r="AL219">
        <v>4</v>
      </c>
      <c r="AM219">
        <v>0</v>
      </c>
      <c r="AN219">
        <v>4</v>
      </c>
      <c r="AO219">
        <v>6</v>
      </c>
      <c r="AP219">
        <v>0</v>
      </c>
      <c r="AQ219">
        <v>5</v>
      </c>
      <c r="AR219">
        <v>8</v>
      </c>
      <c r="AS219">
        <v>63</v>
      </c>
      <c r="AT219">
        <v>37</v>
      </c>
      <c r="AU219">
        <v>0.77</v>
      </c>
      <c r="AV219">
        <v>0.74</v>
      </c>
      <c r="AW219">
        <v>2.4</v>
      </c>
      <c r="AX219">
        <v>30</v>
      </c>
      <c r="AY219">
        <v>70</v>
      </c>
      <c r="AZ219">
        <v>40</v>
      </c>
      <c r="BA219">
        <v>20</v>
      </c>
      <c r="BB219">
        <v>10</v>
      </c>
      <c r="BC219">
        <v>35</v>
      </c>
      <c r="BD219">
        <v>80</v>
      </c>
      <c r="BE219">
        <v>25</v>
      </c>
      <c r="BF219">
        <v>60</v>
      </c>
      <c r="BG219">
        <v>6.1</v>
      </c>
      <c r="BH219">
        <v>5.5</v>
      </c>
      <c r="BI219">
        <v>2.1</v>
      </c>
      <c r="BJ219">
        <v>3.3</v>
      </c>
      <c r="BK219">
        <v>3.25</v>
      </c>
      <c r="BL219">
        <f>(1/Table1[[#This Row],[odds_ft_home_team_win]]+1/Table1[[#This Row],[odds_ft_draw]]+1/Table1[[#This Row],[odds_ft_away_team_win]]-1)/3</f>
        <v>2.8971028971028989E-2</v>
      </c>
      <c r="BM219">
        <v>0</v>
      </c>
      <c r="BN219">
        <v>1.78</v>
      </c>
      <c r="BO219">
        <v>0</v>
      </c>
      <c r="BP219">
        <v>0</v>
      </c>
      <c r="BQ219">
        <v>0</v>
      </c>
      <c r="BR219">
        <v>0</v>
      </c>
      <c r="BS219" t="s">
        <v>70</v>
      </c>
      <c r="BT219">
        <f>VLOOKUP(Table1[[#This Row],[Reference]],metron,8,FALSE)</f>
        <v>1.6395459745305552</v>
      </c>
      <c r="BU219">
        <f>VLOOKUP(Table1[[#This Row],[Reference]],metron,9,FALSE)</f>
        <v>1.0758429359324786</v>
      </c>
      <c r="BV219">
        <f>VLOOKUP(Table1[[#This Row],[Reference]],metron,10,FALSE)</f>
        <v>2.4807646356033461</v>
      </c>
      <c r="BW219">
        <f>VLOOKUP(Table1[[#This Row],[Reference]],metron,11,FALSE)</f>
        <v>1.4140979689366791</v>
      </c>
      <c r="BX219">
        <f>VLOOKUP(Table1[[#This Row],[Reference]],metron,12,FALSE)</f>
        <v>1.0666666666666671</v>
      </c>
      <c r="BY219" s="6">
        <f>VLOOKUP(Table1[[#This Row],[Reference]],metron,13,FALSE)</f>
        <v>0.62712066905615294</v>
      </c>
      <c r="BZ219" s="6">
        <f>VLOOKUP(Table1[[#This Row],[Reference]],metron,14,FALSE)</f>
        <v>0.46009557945041818</v>
      </c>
      <c r="CA219" s="6">
        <f>VLOOKUP(Table1[[#This Row],[Reference]],metron,15,FALSE)</f>
        <v>12.56969280146722</v>
      </c>
      <c r="CB219" s="6">
        <f>VLOOKUP(Table1[[#This Row],[Reference]],metron,16,FALSE)</f>
        <v>9.8695552498853729</v>
      </c>
      <c r="CC219" s="6">
        <f>VLOOKUP(Table1[[#This Row],[Reference]],metron,17,FALSE)</f>
        <v>5.2754256787850897</v>
      </c>
      <c r="CD219" s="6">
        <f>VLOOKUP(Table1[[#This Row],[Reference]],metron,18,FALSE)</f>
        <v>4.1279337321675103</v>
      </c>
      <c r="CE219" s="6">
        <f>VLOOKUP(Table1[[#This Row],[Reference]],metron,19,FALSE)</f>
        <v>7.2942671226821298</v>
      </c>
      <c r="CF219" s="6">
        <f>VLOOKUP(Table1[[#This Row],[Reference]],metron,20,FALSE)</f>
        <v>5.7416215177178627</v>
      </c>
      <c r="CG219" s="6">
        <f>VLOOKUP(Table1[[#This Row],[Reference]],metron,21,FALSE)</f>
        <v>12.897246007868549</v>
      </c>
      <c r="CH219" s="6">
        <f>VLOOKUP(Table1[[#This Row],[Reference]],metron,22,FALSE)</f>
        <v>13.507058551261281</v>
      </c>
      <c r="CI219" s="6">
        <f>VLOOKUP(Table1[[#This Row],[Reference]],metron,23,FALSE)</f>
        <v>1.576522702104098</v>
      </c>
      <c r="CJ219" s="6">
        <f>VLOOKUP(Table1[[#This Row],[Reference]],metron,24,FALSE)</f>
        <v>1.917165005537099</v>
      </c>
      <c r="CK219" s="6">
        <f>VLOOKUP(Table1[[#This Row],[Reference]],metron,25,FALSE)</f>
        <v>8.4385382059800659E-2</v>
      </c>
      <c r="CL219" s="6">
        <f>VLOOKUP(Table1[[#This Row],[Reference]],metron,26,FALSE)</f>
        <v>0.1233665559246955</v>
      </c>
    </row>
    <row r="220" spans="1:90" hidden="1" x14ac:dyDescent="0.45">
      <c r="A220" t="s">
        <v>695</v>
      </c>
      <c r="B220">
        <v>1645318800</v>
      </c>
      <c r="C220" s="23" t="s">
        <v>489</v>
      </c>
      <c r="D220" t="s">
        <v>65</v>
      </c>
      <c r="E220" t="s">
        <v>66</v>
      </c>
      <c r="F220" t="s">
        <v>107</v>
      </c>
      <c r="G220" t="s">
        <v>91</v>
      </c>
      <c r="H220" t="s">
        <v>69</v>
      </c>
      <c r="I220">
        <f>MROUND(Table1[[#This Row],[ProbH]]*100,2)/100</f>
        <v>0.64</v>
      </c>
      <c r="J220">
        <f>1/Table1[[#This Row],[odds_ft_home_team_win]]-Table1[[#This Row],[Margin]]</f>
        <v>0.64289848853607245</v>
      </c>
      <c r="K220">
        <f>1/Table1[[#This Row],[odds_ft_draw]]-Table1[[#This Row],[Margin]]</f>
        <v>0.23149780867901673</v>
      </c>
      <c r="L220">
        <f>1/Table1[[#This Row],[odds_ft_away_team_win]]-Table1[[#This Row],[Margin]]</f>
        <v>0.12560370278491087</v>
      </c>
      <c r="M220">
        <v>6</v>
      </c>
      <c r="N220">
        <v>2</v>
      </c>
      <c r="O220">
        <v>1.42</v>
      </c>
      <c r="P220">
        <v>2</v>
      </c>
      <c r="Q220">
        <v>1.25</v>
      </c>
      <c r="R220" t="str" cm="1">
        <f t="array" ref="R2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0">
        <v>2</v>
      </c>
      <c r="T220">
        <v>1</v>
      </c>
      <c r="U220">
        <v>3</v>
      </c>
      <c r="V220">
        <v>0</v>
      </c>
      <c r="W220">
        <v>0</v>
      </c>
      <c r="X220">
        <v>0</v>
      </c>
      <c r="Y220" t="s">
        <v>490</v>
      </c>
      <c r="Z220">
        <v>56</v>
      </c>
      <c r="AA220">
        <v>15</v>
      </c>
      <c r="AB220">
        <v>2</v>
      </c>
      <c r="AC220">
        <v>4</v>
      </c>
      <c r="AD220">
        <v>0</v>
      </c>
      <c r="AE220">
        <v>6</v>
      </c>
      <c r="AF220">
        <v>1</v>
      </c>
      <c r="AG220">
        <v>2</v>
      </c>
      <c r="AH220">
        <v>2</v>
      </c>
      <c r="AI220">
        <v>4</v>
      </c>
      <c r="AJ220">
        <v>3</v>
      </c>
      <c r="AK220">
        <v>17</v>
      </c>
      <c r="AL220">
        <v>6</v>
      </c>
      <c r="AM220">
        <v>9</v>
      </c>
      <c r="AN220">
        <v>3</v>
      </c>
      <c r="AO220">
        <v>8</v>
      </c>
      <c r="AP220">
        <v>3</v>
      </c>
      <c r="AQ220">
        <v>8</v>
      </c>
      <c r="AR220">
        <v>11</v>
      </c>
      <c r="AS220">
        <v>63</v>
      </c>
      <c r="AT220">
        <v>37</v>
      </c>
      <c r="AU220">
        <v>2.0099999999999998</v>
      </c>
      <c r="AV220">
        <v>0.78</v>
      </c>
      <c r="AW220">
        <v>2.4</v>
      </c>
      <c r="AX220">
        <v>48</v>
      </c>
      <c r="AY220">
        <v>68</v>
      </c>
      <c r="AZ220">
        <v>52</v>
      </c>
      <c r="BA220">
        <v>24</v>
      </c>
      <c r="BB220">
        <v>8</v>
      </c>
      <c r="BC220">
        <v>28</v>
      </c>
      <c r="BD220">
        <v>64</v>
      </c>
      <c r="BE220">
        <v>40</v>
      </c>
      <c r="BF220">
        <v>68</v>
      </c>
      <c r="BG220">
        <v>9.8699999999999992</v>
      </c>
      <c r="BH220">
        <v>4.5599999999999996</v>
      </c>
      <c r="BI220">
        <v>1.49</v>
      </c>
      <c r="BJ220">
        <v>3.85</v>
      </c>
      <c r="BK220">
        <v>6.5</v>
      </c>
      <c r="BL220">
        <f>(1/Table1[[#This Row],[odds_ft_home_team_win]]+1/Table1[[#This Row],[odds_ft_draw]]+1/Table1[[#This Row],[odds_ft_away_team_win]]-1)/3</f>
        <v>2.8242451061242974E-2</v>
      </c>
      <c r="BM220">
        <v>1.33</v>
      </c>
      <c r="BN220">
        <v>1.98</v>
      </c>
      <c r="BO220">
        <v>3.4</v>
      </c>
      <c r="BP220">
        <v>6.5</v>
      </c>
      <c r="BQ220">
        <v>2.1</v>
      </c>
      <c r="BR220">
        <v>1.67</v>
      </c>
      <c r="BS220" t="s">
        <v>161</v>
      </c>
      <c r="BT220">
        <f>VLOOKUP(Table1[[#This Row],[Reference]],metron,8,FALSE)</f>
        <v>2.1745910991837163</v>
      </c>
      <c r="BU220">
        <f>VLOOKUP(Table1[[#This Row],[Reference]],metron,9,FALSE)</f>
        <v>0.59796358565236019</v>
      </c>
      <c r="BV220">
        <f>VLOOKUP(Table1[[#This Row],[Reference]],metron,10,FALSE)</f>
        <v>2.8343749999999996</v>
      </c>
      <c r="BW220">
        <f>VLOOKUP(Table1[[#This Row],[Reference]],metron,11,FALSE)</f>
        <v>1.980803571428571</v>
      </c>
      <c r="BX220">
        <f>VLOOKUP(Table1[[#This Row],[Reference]],metron,12,FALSE)</f>
        <v>0.85357142857142854</v>
      </c>
      <c r="BY220" s="6">
        <f>VLOOKUP(Table1[[#This Row],[Reference]],metron,13,FALSE)</f>
        <v>0.8683035714285714</v>
      </c>
      <c r="BZ220" s="6">
        <f>VLOOKUP(Table1[[#This Row],[Reference]],metron,14,FALSE)</f>
        <v>0.36607142857142849</v>
      </c>
      <c r="CA220" s="6">
        <f>VLOOKUP(Table1[[#This Row],[Reference]],metron,15,FALSE)</f>
        <v>15.03980099502488</v>
      </c>
      <c r="CB220" s="6">
        <f>VLOOKUP(Table1[[#This Row],[Reference]],metron,16,FALSE)</f>
        <v>8.6326699834162515</v>
      </c>
      <c r="CC220" s="6">
        <f>VLOOKUP(Table1[[#This Row],[Reference]],metron,17,FALSE)</f>
        <v>6.5189234650967203</v>
      </c>
      <c r="CD220" s="6">
        <f>VLOOKUP(Table1[[#This Row],[Reference]],metron,18,FALSE)</f>
        <v>3.4507989907485279</v>
      </c>
      <c r="CE220" s="6">
        <f>VLOOKUP(Table1[[#This Row],[Reference]],metron,19,FALSE)</f>
        <v>8.5208775299281605</v>
      </c>
      <c r="CF220" s="6">
        <f>VLOOKUP(Table1[[#This Row],[Reference]],metron,20,FALSE)</f>
        <v>5.181870992667724</v>
      </c>
      <c r="CG220" s="6">
        <f>VLOOKUP(Table1[[#This Row],[Reference]],metron,21,FALSE)</f>
        <v>12.48566610455312</v>
      </c>
      <c r="CH220" s="6">
        <f>VLOOKUP(Table1[[#This Row],[Reference]],metron,22,FALSE)</f>
        <v>13.573355817875211</v>
      </c>
      <c r="CI220" s="6">
        <f>VLOOKUP(Table1[[#This Row],[Reference]],metron,23,FALSE)</f>
        <v>1.395273023634882</v>
      </c>
      <c r="CJ220" s="6">
        <f>VLOOKUP(Table1[[#This Row],[Reference]],metron,24,FALSE)</f>
        <v>2.0586797066014668</v>
      </c>
      <c r="CK220" s="6">
        <f>VLOOKUP(Table1[[#This Row],[Reference]],metron,25,FALSE)</f>
        <v>6.8459657701711488E-2</v>
      </c>
      <c r="CL220" s="6">
        <f>VLOOKUP(Table1[[#This Row],[Reference]],metron,26,FALSE)</f>
        <v>0.12713936430317849</v>
      </c>
    </row>
    <row r="221" spans="1:90" hidden="1" x14ac:dyDescent="0.45">
      <c r="A221" t="s">
        <v>695</v>
      </c>
      <c r="B221">
        <v>1645326000</v>
      </c>
      <c r="C221" s="23" t="s">
        <v>491</v>
      </c>
      <c r="D221" t="s">
        <v>65</v>
      </c>
      <c r="E221" t="s">
        <v>66</v>
      </c>
      <c r="F221" t="s">
        <v>85</v>
      </c>
      <c r="G221" t="s">
        <v>90</v>
      </c>
      <c r="H221" t="s">
        <v>122</v>
      </c>
      <c r="I221">
        <f>MROUND(Table1[[#This Row],[ProbH]]*100,2)/100</f>
        <v>0.46</v>
      </c>
      <c r="J221">
        <f>1/Table1[[#This Row],[odds_ft_home_team_win]]-Table1[[#This Row],[Margin]]</f>
        <v>0.45795295367821093</v>
      </c>
      <c r="K221">
        <f>1/Table1[[#This Row],[odds_ft_draw]]-Table1[[#This Row],[Margin]]</f>
        <v>0.27102352316089456</v>
      </c>
      <c r="L221">
        <f>1/Table1[[#This Row],[odds_ft_away_team_win]]-Table1[[#This Row],[Margin]]</f>
        <v>0.27102352316089456</v>
      </c>
      <c r="M221">
        <v>6</v>
      </c>
      <c r="N221">
        <v>1.79</v>
      </c>
      <c r="O221">
        <v>1.25</v>
      </c>
      <c r="P221">
        <v>1.55</v>
      </c>
      <c r="Q221">
        <v>1.32</v>
      </c>
      <c r="R221" t="str" cm="1">
        <f t="array" ref="R2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1">
        <v>2</v>
      </c>
      <c r="T221">
        <v>1</v>
      </c>
      <c r="U221">
        <v>3</v>
      </c>
      <c r="V221">
        <v>1</v>
      </c>
      <c r="W221">
        <v>1</v>
      </c>
      <c r="X221">
        <v>0</v>
      </c>
      <c r="Y221" t="s">
        <v>492</v>
      </c>
      <c r="Z221">
        <v>81</v>
      </c>
      <c r="AA221">
        <v>2</v>
      </c>
      <c r="AB221">
        <v>4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7</v>
      </c>
      <c r="AL221">
        <v>11</v>
      </c>
      <c r="AM221">
        <v>4</v>
      </c>
      <c r="AN221">
        <v>7</v>
      </c>
      <c r="AO221">
        <v>3</v>
      </c>
      <c r="AP221">
        <v>4</v>
      </c>
      <c r="AQ221">
        <v>15</v>
      </c>
      <c r="AR221">
        <v>10</v>
      </c>
      <c r="AS221">
        <v>44</v>
      </c>
      <c r="AT221">
        <v>56</v>
      </c>
      <c r="AU221">
        <v>1</v>
      </c>
      <c r="AV221">
        <v>1.49</v>
      </c>
      <c r="AW221">
        <v>1.93</v>
      </c>
      <c r="AX221">
        <v>45</v>
      </c>
      <c r="AY221">
        <v>61</v>
      </c>
      <c r="AZ221">
        <v>42</v>
      </c>
      <c r="BA221">
        <v>12</v>
      </c>
      <c r="BB221">
        <v>4</v>
      </c>
      <c r="BC221">
        <v>27</v>
      </c>
      <c r="BD221">
        <v>60</v>
      </c>
      <c r="BE221">
        <v>35</v>
      </c>
      <c r="BF221">
        <v>69</v>
      </c>
      <c r="BG221">
        <v>9.18</v>
      </c>
      <c r="BH221">
        <v>5.15</v>
      </c>
      <c r="BI221">
        <v>2.06</v>
      </c>
      <c r="BJ221">
        <v>3.35</v>
      </c>
      <c r="BK221">
        <v>3.35</v>
      </c>
      <c r="BL221">
        <f>(1/Table1[[#This Row],[odds_ft_home_team_win]]+1/Table1[[#This Row],[odds_ft_draw]]+1/Table1[[#This Row],[odds_ft_away_team_win]]-1)/3</f>
        <v>2.7483939525672591E-2</v>
      </c>
      <c r="BM221">
        <v>1.24</v>
      </c>
      <c r="BN221">
        <v>1.83</v>
      </c>
      <c r="BO221">
        <v>2.85</v>
      </c>
      <c r="BP221">
        <v>5.15</v>
      </c>
      <c r="BQ221">
        <v>1.7</v>
      </c>
      <c r="BR221">
        <v>2.0499999999999998</v>
      </c>
      <c r="BS221" t="s">
        <v>128</v>
      </c>
      <c r="BT221">
        <f>VLOOKUP(Table1[[#This Row],[Reference]],metron,8,FALSE)</f>
        <v>1.6955772349985931</v>
      </c>
      <c r="BU221">
        <f>VLOOKUP(Table1[[#This Row],[Reference]],metron,9,FALSE)</f>
        <v>1.0239029519551039</v>
      </c>
      <c r="BV221">
        <f>VLOOKUP(Table1[[#This Row],[Reference]],metron,10,FALSE)</f>
        <v>2.5405629139072849</v>
      </c>
      <c r="BW221">
        <f>VLOOKUP(Table1[[#This Row],[Reference]],metron,11,FALSE)</f>
        <v>1.4888836329233679</v>
      </c>
      <c r="BX221">
        <f>VLOOKUP(Table1[[#This Row],[Reference]],metron,12,FALSE)</f>
        <v>1.0516792809839171</v>
      </c>
      <c r="BY221" s="6">
        <f>VLOOKUP(Table1[[#This Row],[Reference]],metron,13,FALSE)</f>
        <v>0.64581362346263005</v>
      </c>
      <c r="BZ221" s="6">
        <f>VLOOKUP(Table1[[#This Row],[Reference]],metron,14,FALSE)</f>
        <v>0.45364238410596031</v>
      </c>
      <c r="CA221" s="6">
        <f>VLOOKUP(Table1[[#This Row],[Reference]],metron,15,FALSE)</f>
        <v>12.686892177589851</v>
      </c>
      <c r="CB221" s="6">
        <f>VLOOKUP(Table1[[#This Row],[Reference]],metron,16,FALSE)</f>
        <v>9.8059196617336148</v>
      </c>
      <c r="CC221" s="6">
        <f>VLOOKUP(Table1[[#This Row],[Reference]],metron,17,FALSE)</f>
        <v>5.3198121263877027</v>
      </c>
      <c r="CD221" s="6">
        <f>VLOOKUP(Table1[[#This Row],[Reference]],metron,18,FALSE)</f>
        <v>4.0954312553373189</v>
      </c>
      <c r="CE221" s="6">
        <f>VLOOKUP(Table1[[#This Row],[Reference]],metron,19,FALSE)</f>
        <v>7.3670800512021479</v>
      </c>
      <c r="CF221" s="6">
        <f>VLOOKUP(Table1[[#This Row],[Reference]],metron,20,FALSE)</f>
        <v>5.710488406396296</v>
      </c>
      <c r="CG221" s="6">
        <f>VLOOKUP(Table1[[#This Row],[Reference]],metron,21,FALSE)</f>
        <v>13.0488908033599</v>
      </c>
      <c r="CH221" s="6">
        <f>VLOOKUP(Table1[[#This Row],[Reference]],metron,22,FALSE)</f>
        <v>13.714839543398661</v>
      </c>
      <c r="CI221" s="6">
        <f>VLOOKUP(Table1[[#This Row],[Reference]],metron,23,FALSE)</f>
        <v>1.567523459812322</v>
      </c>
      <c r="CJ221" s="6">
        <f>VLOOKUP(Table1[[#This Row],[Reference]],metron,24,FALSE)</f>
        <v>1.951040391676867</v>
      </c>
      <c r="CK221" s="6">
        <f>VLOOKUP(Table1[[#This Row],[Reference]],metron,25,FALSE)</f>
        <v>8.3027335781313744E-2</v>
      </c>
      <c r="CL221" s="6">
        <f>VLOOKUP(Table1[[#This Row],[Reference]],metron,26,FALSE)</f>
        <v>0.13117095063239501</v>
      </c>
    </row>
    <row r="222" spans="1:90" hidden="1" x14ac:dyDescent="0.45">
      <c r="A222" t="s">
        <v>695</v>
      </c>
      <c r="B222">
        <v>1645394400</v>
      </c>
      <c r="C222" s="23" t="s">
        <v>493</v>
      </c>
      <c r="D222" t="s">
        <v>65</v>
      </c>
      <c r="E222" t="s">
        <v>66</v>
      </c>
      <c r="F222" t="s">
        <v>68</v>
      </c>
      <c r="G222" t="s">
        <v>84</v>
      </c>
      <c r="H222" t="s">
        <v>114</v>
      </c>
      <c r="I222">
        <f>MROUND(Table1[[#This Row],[ProbH]]*100,2)/100</f>
        <v>0.46</v>
      </c>
      <c r="J222">
        <f>1/Table1[[#This Row],[odds_ft_home_team_win]]-Table1[[#This Row],[Margin]]</f>
        <v>0.46724549158355161</v>
      </c>
      <c r="K222">
        <f>1/Table1[[#This Row],[odds_ft_draw]]-Table1[[#This Row],[Margin]]</f>
        <v>0.2707034493196237</v>
      </c>
      <c r="L222">
        <f>1/Table1[[#This Row],[odds_ft_away_team_win]]-Table1[[#This Row],[Margin]]</f>
        <v>0.26205105909682469</v>
      </c>
      <c r="M222">
        <v>6</v>
      </c>
      <c r="N222">
        <v>1.92</v>
      </c>
      <c r="O222">
        <v>1.18</v>
      </c>
      <c r="P222">
        <v>1.9</v>
      </c>
      <c r="Q222">
        <v>1.42</v>
      </c>
      <c r="R222" t="str" cm="1">
        <f t="array" ref="R2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2">
        <v>1</v>
      </c>
      <c r="T222">
        <v>3</v>
      </c>
      <c r="U222">
        <v>4</v>
      </c>
      <c r="V222">
        <v>2</v>
      </c>
      <c r="W222">
        <v>0</v>
      </c>
      <c r="X222">
        <v>2</v>
      </c>
      <c r="Y222">
        <v>55</v>
      </c>
      <c r="Z222" t="s">
        <v>494</v>
      </c>
      <c r="AA222">
        <v>12</v>
      </c>
      <c r="AB222">
        <v>3</v>
      </c>
      <c r="AC222">
        <v>1</v>
      </c>
      <c r="AD222">
        <v>0</v>
      </c>
      <c r="AE222">
        <v>2</v>
      </c>
      <c r="AF222">
        <v>0</v>
      </c>
      <c r="AG222">
        <v>0</v>
      </c>
      <c r="AH222">
        <v>1</v>
      </c>
      <c r="AI222">
        <v>0</v>
      </c>
      <c r="AJ222">
        <v>2</v>
      </c>
      <c r="AK222">
        <v>13</v>
      </c>
      <c r="AL222">
        <v>10</v>
      </c>
      <c r="AM222">
        <v>6</v>
      </c>
      <c r="AN222">
        <v>3</v>
      </c>
      <c r="AO222">
        <v>7</v>
      </c>
      <c r="AP222">
        <v>7</v>
      </c>
      <c r="AQ222">
        <v>7</v>
      </c>
      <c r="AR222">
        <v>13</v>
      </c>
      <c r="AS222">
        <v>54</v>
      </c>
      <c r="AT222">
        <v>46</v>
      </c>
      <c r="AU222">
        <v>0</v>
      </c>
      <c r="AV222">
        <v>0</v>
      </c>
      <c r="AW222">
        <v>2.54</v>
      </c>
      <c r="AX222">
        <v>49</v>
      </c>
      <c r="AY222">
        <v>83</v>
      </c>
      <c r="AZ222">
        <v>49</v>
      </c>
      <c r="BA222">
        <v>22</v>
      </c>
      <c r="BB222">
        <v>9</v>
      </c>
      <c r="BC222">
        <v>32</v>
      </c>
      <c r="BD222">
        <v>66</v>
      </c>
      <c r="BE222">
        <v>39</v>
      </c>
      <c r="BF222">
        <v>92</v>
      </c>
      <c r="BG222">
        <v>10.83</v>
      </c>
      <c r="BH222">
        <v>4.4800000000000004</v>
      </c>
      <c r="BI222">
        <v>2.02</v>
      </c>
      <c r="BJ222">
        <v>3.35</v>
      </c>
      <c r="BK222">
        <v>3.45</v>
      </c>
      <c r="BL222">
        <f>(1/Table1[[#This Row],[odds_ft_home_team_win]]+1/Table1[[#This Row],[odds_ft_draw]]+1/Table1[[#This Row],[odds_ft_away_team_win]]-1)/3</f>
        <v>2.7804013366943419E-2</v>
      </c>
      <c r="BM222">
        <v>1.25</v>
      </c>
      <c r="BN222">
        <v>1.78</v>
      </c>
      <c r="BO222">
        <v>3</v>
      </c>
      <c r="BP222">
        <v>5</v>
      </c>
      <c r="BQ222">
        <v>1.62</v>
      </c>
      <c r="BR222">
        <v>2.2000000000000002</v>
      </c>
      <c r="BS222" t="s">
        <v>116</v>
      </c>
      <c r="BT222">
        <f>VLOOKUP(Table1[[#This Row],[Reference]],metron,8,FALSE)</f>
        <v>1.6955772349985931</v>
      </c>
      <c r="BU222">
        <f>VLOOKUP(Table1[[#This Row],[Reference]],metron,9,FALSE)</f>
        <v>1.0239029519551039</v>
      </c>
      <c r="BV222">
        <f>VLOOKUP(Table1[[#This Row],[Reference]],metron,10,FALSE)</f>
        <v>2.5405629139072849</v>
      </c>
      <c r="BW222">
        <f>VLOOKUP(Table1[[#This Row],[Reference]],metron,11,FALSE)</f>
        <v>1.4888836329233679</v>
      </c>
      <c r="BX222">
        <f>VLOOKUP(Table1[[#This Row],[Reference]],metron,12,FALSE)</f>
        <v>1.0516792809839171</v>
      </c>
      <c r="BY222" s="6">
        <f>VLOOKUP(Table1[[#This Row],[Reference]],metron,13,FALSE)</f>
        <v>0.64581362346263005</v>
      </c>
      <c r="BZ222" s="6">
        <f>VLOOKUP(Table1[[#This Row],[Reference]],metron,14,FALSE)</f>
        <v>0.45364238410596031</v>
      </c>
      <c r="CA222" s="6">
        <f>VLOOKUP(Table1[[#This Row],[Reference]],metron,15,FALSE)</f>
        <v>12.686892177589851</v>
      </c>
      <c r="CB222" s="6">
        <f>VLOOKUP(Table1[[#This Row],[Reference]],metron,16,FALSE)</f>
        <v>9.8059196617336148</v>
      </c>
      <c r="CC222" s="6">
        <f>VLOOKUP(Table1[[#This Row],[Reference]],metron,17,FALSE)</f>
        <v>5.3198121263877027</v>
      </c>
      <c r="CD222" s="6">
        <f>VLOOKUP(Table1[[#This Row],[Reference]],metron,18,FALSE)</f>
        <v>4.0954312553373189</v>
      </c>
      <c r="CE222" s="6">
        <f>VLOOKUP(Table1[[#This Row],[Reference]],metron,19,FALSE)</f>
        <v>7.3670800512021479</v>
      </c>
      <c r="CF222" s="6">
        <f>VLOOKUP(Table1[[#This Row],[Reference]],metron,20,FALSE)</f>
        <v>5.710488406396296</v>
      </c>
      <c r="CG222" s="6">
        <f>VLOOKUP(Table1[[#This Row],[Reference]],metron,21,FALSE)</f>
        <v>13.0488908033599</v>
      </c>
      <c r="CH222" s="6">
        <f>VLOOKUP(Table1[[#This Row],[Reference]],metron,22,FALSE)</f>
        <v>13.714839543398661</v>
      </c>
      <c r="CI222" s="6">
        <f>VLOOKUP(Table1[[#This Row],[Reference]],metron,23,FALSE)</f>
        <v>1.567523459812322</v>
      </c>
      <c r="CJ222" s="6">
        <f>VLOOKUP(Table1[[#This Row],[Reference]],metron,24,FALSE)</f>
        <v>1.951040391676867</v>
      </c>
      <c r="CK222" s="6">
        <f>VLOOKUP(Table1[[#This Row],[Reference]],metron,25,FALSE)</f>
        <v>8.3027335781313744E-2</v>
      </c>
      <c r="CL222" s="6">
        <f>VLOOKUP(Table1[[#This Row],[Reference]],metron,26,FALSE)</f>
        <v>0.13117095063239501</v>
      </c>
    </row>
    <row r="223" spans="1:90" hidden="1" x14ac:dyDescent="0.45">
      <c r="A223" t="s">
        <v>695</v>
      </c>
      <c r="B223">
        <v>1645401900</v>
      </c>
      <c r="C223" s="23" t="s">
        <v>495</v>
      </c>
      <c r="D223" t="s">
        <v>65</v>
      </c>
      <c r="E223" t="s">
        <v>66</v>
      </c>
      <c r="F223" t="s">
        <v>79</v>
      </c>
      <c r="G223" t="s">
        <v>112</v>
      </c>
      <c r="H223" t="s">
        <v>74</v>
      </c>
      <c r="I223">
        <f>MROUND(Table1[[#This Row],[ProbH]]*100,2)/100</f>
        <v>0.32</v>
      </c>
      <c r="J223">
        <f>1/Table1[[#This Row],[odds_ft_home_team_win]]-Table1[[#This Row],[Margin]]</f>
        <v>0.31556775509426055</v>
      </c>
      <c r="K223">
        <f>1/Table1[[#This Row],[odds_ft_draw]]-Table1[[#This Row],[Margin]]</f>
        <v>0.26924763157393111</v>
      </c>
      <c r="L223">
        <f>1/Table1[[#This Row],[odds_ft_away_team_win]]-Table1[[#This Row],[Margin]]</f>
        <v>0.41518461333180839</v>
      </c>
      <c r="M223">
        <v>6</v>
      </c>
      <c r="N223">
        <v>1.6</v>
      </c>
      <c r="O223">
        <v>1.36</v>
      </c>
      <c r="P223">
        <v>1.17</v>
      </c>
      <c r="Q223">
        <v>1.5</v>
      </c>
      <c r="R223" t="str" cm="1">
        <f t="array" ref="R2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3">
        <v>1</v>
      </c>
      <c r="T223">
        <v>4</v>
      </c>
      <c r="U223">
        <v>5</v>
      </c>
      <c r="V223">
        <v>2</v>
      </c>
      <c r="W223">
        <v>1</v>
      </c>
      <c r="X223">
        <v>1</v>
      </c>
      <c r="Y223">
        <v>20</v>
      </c>
      <c r="Z223" t="s">
        <v>496</v>
      </c>
      <c r="AA223">
        <v>1</v>
      </c>
      <c r="AB223">
        <v>5</v>
      </c>
      <c r="AC223">
        <v>3</v>
      </c>
      <c r="AD223">
        <v>0</v>
      </c>
      <c r="AE223">
        <v>4</v>
      </c>
      <c r="AF223">
        <v>0</v>
      </c>
      <c r="AG223">
        <v>2</v>
      </c>
      <c r="AH223">
        <v>1</v>
      </c>
      <c r="AI223">
        <v>2</v>
      </c>
      <c r="AJ223">
        <v>2</v>
      </c>
      <c r="AK223">
        <v>10</v>
      </c>
      <c r="AL223">
        <v>4</v>
      </c>
      <c r="AM223">
        <v>5</v>
      </c>
      <c r="AN223">
        <v>2</v>
      </c>
      <c r="AO223">
        <v>5</v>
      </c>
      <c r="AP223">
        <v>2</v>
      </c>
      <c r="AQ223">
        <v>17</v>
      </c>
      <c r="AR223">
        <v>14</v>
      </c>
      <c r="AS223">
        <v>45</v>
      </c>
      <c r="AT223">
        <v>55</v>
      </c>
      <c r="AU223">
        <v>0</v>
      </c>
      <c r="AV223">
        <v>0</v>
      </c>
      <c r="AW223">
        <v>2.59</v>
      </c>
      <c r="AX223">
        <v>77</v>
      </c>
      <c r="AY223">
        <v>77</v>
      </c>
      <c r="AZ223">
        <v>53</v>
      </c>
      <c r="BA223">
        <v>29</v>
      </c>
      <c r="BB223">
        <v>5</v>
      </c>
      <c r="BC223">
        <v>48</v>
      </c>
      <c r="BD223">
        <v>72</v>
      </c>
      <c r="BE223">
        <v>39</v>
      </c>
      <c r="BF223">
        <v>58</v>
      </c>
      <c r="BG223">
        <v>7.68</v>
      </c>
      <c r="BH223">
        <v>6.27</v>
      </c>
      <c r="BI223">
        <v>2.9</v>
      </c>
      <c r="BJ223">
        <v>3.35</v>
      </c>
      <c r="BK223">
        <v>2.25</v>
      </c>
      <c r="BL223">
        <f>(1/Table1[[#This Row],[odds_ft_home_team_win]]+1/Table1[[#This Row],[odds_ft_draw]]+1/Table1[[#This Row],[odds_ft_away_team_win]]-1)/3</f>
        <v>2.9259831112636043E-2</v>
      </c>
      <c r="BM223">
        <v>1.3</v>
      </c>
      <c r="BN223">
        <v>1.93</v>
      </c>
      <c r="BO223">
        <v>3.5</v>
      </c>
      <c r="BP223">
        <v>6</v>
      </c>
      <c r="BQ223">
        <v>1.75</v>
      </c>
      <c r="BR223">
        <v>2</v>
      </c>
      <c r="BS223" t="s">
        <v>140</v>
      </c>
      <c r="BT223">
        <f>VLOOKUP(Table1[[#This Row],[Reference]],metron,8,FALSE)</f>
        <v>1.274681051426811</v>
      </c>
      <c r="BU223">
        <f>VLOOKUP(Table1[[#This Row],[Reference]],metron,9,FALSE)</f>
        <v>1.4392482240810365</v>
      </c>
      <c r="BV223">
        <f>VLOOKUP(Table1[[#This Row],[Reference]],metron,10,FALSE)</f>
        <v>2.5313454284174597</v>
      </c>
      <c r="BW223">
        <f>VLOOKUP(Table1[[#This Row],[Reference]],metron,11,FALSE)</f>
        <v>1.210167055864918</v>
      </c>
      <c r="BX223">
        <f>VLOOKUP(Table1[[#This Row],[Reference]],metron,12,FALSE)</f>
        <v>1.3211783725525419</v>
      </c>
      <c r="BY223" s="6">
        <f>VLOOKUP(Table1[[#This Row],[Reference]],metron,13,FALSE)</f>
        <v>0.53135669362084459</v>
      </c>
      <c r="BZ223" s="6">
        <f>VLOOKUP(Table1[[#This Row],[Reference]],metron,14,FALSE)</f>
        <v>0.55633423180592989</v>
      </c>
      <c r="CA223" s="6">
        <f>VLOOKUP(Table1[[#This Row],[Reference]],metron,15,FALSE)</f>
        <v>11.21109010712035</v>
      </c>
      <c r="CB223" s="6">
        <f>VLOOKUP(Table1[[#This Row],[Reference]],metron,16,FALSE)</f>
        <v>11.01700787401575</v>
      </c>
      <c r="CC223" s="6">
        <f>VLOOKUP(Table1[[#This Row],[Reference]],metron,17,FALSE)</f>
        <v>4.6792332268370611</v>
      </c>
      <c r="CD223" s="6">
        <f>VLOOKUP(Table1[[#This Row],[Reference]],metron,18,FALSE)</f>
        <v>4.7080804854679013</v>
      </c>
      <c r="CE223" s="6">
        <f>VLOOKUP(Table1[[#This Row],[Reference]],metron,19,FALSE)</f>
        <v>6.5318568802832893</v>
      </c>
      <c r="CF223" s="6">
        <f>VLOOKUP(Table1[[#This Row],[Reference]],metron,20,FALSE)</f>
        <v>6.3089273885478487</v>
      </c>
      <c r="CG223" s="6">
        <f>VLOOKUP(Table1[[#This Row],[Reference]],metron,21,FALSE)</f>
        <v>12.72547770700637</v>
      </c>
      <c r="CH223" s="6">
        <f>VLOOKUP(Table1[[#This Row],[Reference]],metron,22,FALSE)</f>
        <v>13.06847133757962</v>
      </c>
      <c r="CI223" s="6">
        <f>VLOOKUP(Table1[[#This Row],[Reference]],metron,23,FALSE)</f>
        <v>1.6902356902356901</v>
      </c>
      <c r="CJ223" s="6">
        <f>VLOOKUP(Table1[[#This Row],[Reference]],metron,24,FALSE)</f>
        <v>1.8050198959289869</v>
      </c>
      <c r="CK223" s="6">
        <f>VLOOKUP(Table1[[#This Row],[Reference]],metron,25,FALSE)</f>
        <v>0.105907560453015</v>
      </c>
      <c r="CL223" s="6">
        <f>VLOOKUP(Table1[[#This Row],[Reference]],metron,26,FALSE)</f>
        <v>0.1141720232629324</v>
      </c>
    </row>
    <row r="224" spans="1:90" hidden="1" x14ac:dyDescent="0.45">
      <c r="A224" t="s">
        <v>695</v>
      </c>
      <c r="B224">
        <v>1645408800</v>
      </c>
      <c r="C224" s="23" t="s">
        <v>497</v>
      </c>
      <c r="D224" t="s">
        <v>65</v>
      </c>
      <c r="E224" t="s">
        <v>66</v>
      </c>
      <c r="F224" t="s">
        <v>97</v>
      </c>
      <c r="G224" t="s">
        <v>96</v>
      </c>
      <c r="H224" t="s">
        <v>66</v>
      </c>
      <c r="I224">
        <f>MROUND(Table1[[#This Row],[ProbH]]*100,2)/100</f>
        <v>0.48</v>
      </c>
      <c r="J224">
        <f>1/Table1[[#This Row],[odds_ft_home_team_win]]-Table1[[#This Row],[Margin]]</f>
        <v>0.47908861614445369</v>
      </c>
      <c r="K224">
        <f>1/Table1[[#This Row],[odds_ft_draw]]-Table1[[#This Row],[Margin]]</f>
        <v>0.27916671063879189</v>
      </c>
      <c r="L224">
        <f>1/Table1[[#This Row],[odds_ft_away_team_win]]-Table1[[#This Row],[Margin]]</f>
        <v>0.24174467321675444</v>
      </c>
      <c r="M224">
        <v>6</v>
      </c>
      <c r="N224">
        <v>1.71</v>
      </c>
      <c r="O224">
        <v>1.38</v>
      </c>
      <c r="P224">
        <v>1.55</v>
      </c>
      <c r="Q224">
        <v>1.1000000000000001</v>
      </c>
      <c r="R224" t="str" cm="1">
        <f t="array" ref="R2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AA224">
        <v>2</v>
      </c>
      <c r="AB224">
        <v>4</v>
      </c>
      <c r="AC224">
        <v>2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1</v>
      </c>
      <c r="AK224">
        <v>6</v>
      </c>
      <c r="AL224">
        <v>13</v>
      </c>
      <c r="AM224">
        <v>5</v>
      </c>
      <c r="AN224">
        <v>8</v>
      </c>
      <c r="AO224">
        <v>1</v>
      </c>
      <c r="AP224">
        <v>5</v>
      </c>
      <c r="AQ224">
        <v>7</v>
      </c>
      <c r="AR224">
        <v>13</v>
      </c>
      <c r="AS224">
        <v>50</v>
      </c>
      <c r="AT224">
        <v>50</v>
      </c>
      <c r="AU224">
        <v>0</v>
      </c>
      <c r="AV224">
        <v>0</v>
      </c>
      <c r="AW224">
        <v>1.98</v>
      </c>
      <c r="AX224">
        <v>38</v>
      </c>
      <c r="AY224">
        <v>64</v>
      </c>
      <c r="AZ224">
        <v>34</v>
      </c>
      <c r="BA224">
        <v>12</v>
      </c>
      <c r="BB224">
        <v>0</v>
      </c>
      <c r="BC224">
        <v>15</v>
      </c>
      <c r="BD224">
        <v>60</v>
      </c>
      <c r="BE224">
        <v>26</v>
      </c>
      <c r="BF224">
        <v>86</v>
      </c>
      <c r="BG224">
        <v>8.27</v>
      </c>
      <c r="BH224">
        <v>5.38</v>
      </c>
      <c r="BI224">
        <v>1.97</v>
      </c>
      <c r="BJ224">
        <v>3.25</v>
      </c>
      <c r="BK224">
        <v>3.7</v>
      </c>
      <c r="BL224">
        <f>(1/Table1[[#This Row],[odds_ft_home_team_win]]+1/Table1[[#This Row],[odds_ft_draw]]+1/Table1[[#This Row],[odds_ft_away_team_win]]-1)/3</f>
        <v>2.8525597053515799E-2</v>
      </c>
      <c r="BM224">
        <v>1.44</v>
      </c>
      <c r="BN224">
        <v>2.3199999999999998</v>
      </c>
      <c r="BO224">
        <v>4.5</v>
      </c>
      <c r="BP224">
        <v>8</v>
      </c>
      <c r="BQ224">
        <v>2</v>
      </c>
      <c r="BR224">
        <v>1.75</v>
      </c>
      <c r="BS224" t="s">
        <v>136</v>
      </c>
      <c r="BT224">
        <f>VLOOKUP(Table1[[#This Row],[Reference]],metron,8,FALSE)</f>
        <v>1.743992017160418</v>
      </c>
      <c r="BU224">
        <f>VLOOKUP(Table1[[#This Row],[Reference]],metron,9,FALSE)</f>
        <v>0.97803937284245479</v>
      </c>
      <c r="BV224">
        <f>VLOOKUP(Table1[[#This Row],[Reference]],metron,10,FALSE)</f>
        <v>2.5271929824561399</v>
      </c>
      <c r="BW224">
        <f>VLOOKUP(Table1[[#This Row],[Reference]],metron,11,FALSE)</f>
        <v>1.510877192982456</v>
      </c>
      <c r="BX224">
        <f>VLOOKUP(Table1[[#This Row],[Reference]],metron,12,FALSE)</f>
        <v>1.0163157894736841</v>
      </c>
      <c r="BY224" s="6">
        <f>VLOOKUP(Table1[[#This Row],[Reference]],metron,13,FALSE)</f>
        <v>0.67350877192982461</v>
      </c>
      <c r="BZ224" s="6">
        <f>VLOOKUP(Table1[[#This Row],[Reference]],metron,14,FALSE)</f>
        <v>0.4442105263157895</v>
      </c>
      <c r="CA224" s="6">
        <f>VLOOKUP(Table1[[#This Row],[Reference]],metron,15,FALSE)</f>
        <v>12.80980392156863</v>
      </c>
      <c r="CB224" s="6">
        <f>VLOOKUP(Table1[[#This Row],[Reference]],metron,16,FALSE)</f>
        <v>9.6872549019607845</v>
      </c>
      <c r="CC224" s="6">
        <f>VLOOKUP(Table1[[#This Row],[Reference]],metron,17,FALSE)</f>
        <v>5.6491169610129957</v>
      </c>
      <c r="CD224" s="6">
        <f>VLOOKUP(Table1[[#This Row],[Reference]],metron,18,FALSE)</f>
        <v>4.1379540153282237</v>
      </c>
      <c r="CE224" s="6">
        <f>VLOOKUP(Table1[[#This Row],[Reference]],metron,19,FALSE)</f>
        <v>7.1606869605556343</v>
      </c>
      <c r="CF224" s="6">
        <f>VLOOKUP(Table1[[#This Row],[Reference]],metron,20,FALSE)</f>
        <v>5.5493008866325608</v>
      </c>
      <c r="CG224" s="6">
        <f>VLOOKUP(Table1[[#This Row],[Reference]],metron,21,FALSE)</f>
        <v>12.9029029029029</v>
      </c>
      <c r="CH224" s="6">
        <f>VLOOKUP(Table1[[#This Row],[Reference]],metron,22,FALSE)</f>
        <v>13.75508842175509</v>
      </c>
      <c r="CI224" s="6">
        <f>VLOOKUP(Table1[[#This Row],[Reference]],metron,23,FALSE)</f>
        <v>1.5287356321839081</v>
      </c>
      <c r="CJ224" s="6">
        <f>VLOOKUP(Table1[[#This Row],[Reference]],metron,24,FALSE)</f>
        <v>1.9664750957854411</v>
      </c>
      <c r="CK224" s="6">
        <f>VLOOKUP(Table1[[#This Row],[Reference]],metron,25,FALSE)</f>
        <v>8.8441890166028103E-2</v>
      </c>
      <c r="CL224" s="6">
        <f>VLOOKUP(Table1[[#This Row],[Reference]],metron,26,FALSE)</f>
        <v>0.13409961685823751</v>
      </c>
    </row>
    <row r="225" spans="1:90" hidden="1" x14ac:dyDescent="0.45">
      <c r="A225" t="s">
        <v>695</v>
      </c>
      <c r="B225">
        <v>1645750800</v>
      </c>
      <c r="C225" s="23" t="s">
        <v>498</v>
      </c>
      <c r="D225" t="s">
        <v>65</v>
      </c>
      <c r="E225" t="s">
        <v>66</v>
      </c>
      <c r="F225" t="s">
        <v>84</v>
      </c>
      <c r="G225" t="s">
        <v>113</v>
      </c>
      <c r="H225" t="s">
        <v>66</v>
      </c>
      <c r="I225">
        <f>MROUND(Table1[[#This Row],[ProbH]]*100,2)/100</f>
        <v>0.57999999999999996</v>
      </c>
      <c r="J225">
        <f>1/Table1[[#This Row],[odds_ft_home_team_win]]-Table1[[#This Row],[Margin]]</f>
        <v>0.57509959919598475</v>
      </c>
      <c r="K225">
        <f>1/Table1[[#This Row],[odds_ft_draw]]-Table1[[#This Row],[Margin]]</f>
        <v>0.23243022038202754</v>
      </c>
      <c r="L225">
        <f>1/Table1[[#This Row],[odds_ft_away_team_win]]-Table1[[#This Row],[Margin]]</f>
        <v>0.1924701804219876</v>
      </c>
      <c r="M225">
        <v>7</v>
      </c>
      <c r="N225">
        <v>1.36</v>
      </c>
      <c r="O225">
        <v>0.45</v>
      </c>
      <c r="P225">
        <v>1.89</v>
      </c>
      <c r="Q225">
        <v>0.72</v>
      </c>
      <c r="R225" t="str" cm="1">
        <f t="array" ref="R2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5">
        <v>3</v>
      </c>
      <c r="T225">
        <v>1</v>
      </c>
      <c r="U225">
        <v>4</v>
      </c>
      <c r="V225">
        <v>3</v>
      </c>
      <c r="W225">
        <v>2</v>
      </c>
      <c r="X225">
        <v>1</v>
      </c>
      <c r="Y225" t="s">
        <v>499</v>
      </c>
      <c r="Z225" t="s">
        <v>149</v>
      </c>
      <c r="AA225">
        <v>3</v>
      </c>
      <c r="AB225">
        <v>1</v>
      </c>
      <c r="AC225">
        <v>2</v>
      </c>
      <c r="AD225">
        <v>0</v>
      </c>
      <c r="AE225">
        <v>4</v>
      </c>
      <c r="AF225">
        <v>0</v>
      </c>
      <c r="AG225">
        <v>0</v>
      </c>
      <c r="AH225">
        <v>2</v>
      </c>
      <c r="AI225">
        <v>1</v>
      </c>
      <c r="AJ225">
        <v>3</v>
      </c>
      <c r="AK225">
        <v>12</v>
      </c>
      <c r="AL225">
        <v>10</v>
      </c>
      <c r="AM225">
        <v>5</v>
      </c>
      <c r="AN225">
        <v>4</v>
      </c>
      <c r="AO225">
        <v>7</v>
      </c>
      <c r="AP225">
        <v>6</v>
      </c>
      <c r="AQ225">
        <v>22</v>
      </c>
      <c r="AR225">
        <v>10</v>
      </c>
      <c r="AS225">
        <v>58</v>
      </c>
      <c r="AT225">
        <v>42</v>
      </c>
      <c r="AU225">
        <v>1.42</v>
      </c>
      <c r="AV225">
        <v>1.1599999999999999</v>
      </c>
      <c r="AW225">
        <v>2.41</v>
      </c>
      <c r="AX225">
        <v>46</v>
      </c>
      <c r="AY225">
        <v>78</v>
      </c>
      <c r="AZ225">
        <v>41</v>
      </c>
      <c r="BA225">
        <v>18</v>
      </c>
      <c r="BB225">
        <v>5</v>
      </c>
      <c r="BC225">
        <v>32</v>
      </c>
      <c r="BD225">
        <v>73</v>
      </c>
      <c r="BE225">
        <v>32</v>
      </c>
      <c r="BF225">
        <v>64</v>
      </c>
      <c r="BG225">
        <v>8.09</v>
      </c>
      <c r="BH225">
        <v>4.91</v>
      </c>
      <c r="BI225">
        <v>1.66</v>
      </c>
      <c r="BJ225">
        <v>3.85</v>
      </c>
      <c r="BK225">
        <v>4.55</v>
      </c>
      <c r="BL225">
        <f>(1/Table1[[#This Row],[odds_ft_home_team_win]]+1/Table1[[#This Row],[odds_ft_draw]]+1/Table1[[#This Row],[odds_ft_away_team_win]]-1)/3</f>
        <v>2.7310039358232174E-2</v>
      </c>
      <c r="BM225">
        <v>0</v>
      </c>
      <c r="BN225">
        <v>1.84</v>
      </c>
      <c r="BO225">
        <v>0</v>
      </c>
      <c r="BP225">
        <v>0</v>
      </c>
      <c r="BQ225">
        <v>0</v>
      </c>
      <c r="BR225">
        <v>0</v>
      </c>
      <c r="BS225" t="s">
        <v>88</v>
      </c>
      <c r="BT225">
        <f>VLOOKUP(Table1[[#This Row],[Reference]],metron,8,FALSE)</f>
        <v>2.0230889143600308</v>
      </c>
      <c r="BU225">
        <f>VLOOKUP(Table1[[#This Row],[Reference]],metron,9,FALSE)</f>
        <v>0.72731480520165426</v>
      </c>
      <c r="BV225">
        <f>VLOOKUP(Table1[[#This Row],[Reference]],metron,10,FALSE)</f>
        <v>2.6362999299229148</v>
      </c>
      <c r="BW225">
        <f>VLOOKUP(Table1[[#This Row],[Reference]],metron,11,FALSE)</f>
        <v>1.7619715019855171</v>
      </c>
      <c r="BX225">
        <f>VLOOKUP(Table1[[#This Row],[Reference]],metron,12,FALSE)</f>
        <v>0.87432842793739785</v>
      </c>
      <c r="BY225" s="6">
        <f>VLOOKUP(Table1[[#This Row],[Reference]],metron,13,FALSE)</f>
        <v>0.78411214953271025</v>
      </c>
      <c r="BZ225" s="6">
        <f>VLOOKUP(Table1[[#This Row],[Reference]],metron,14,FALSE)</f>
        <v>0.38060747663551397</v>
      </c>
      <c r="CA225" s="6">
        <f>VLOOKUP(Table1[[#This Row],[Reference]],metron,15,FALSE)</f>
        <v>14.215499378367181</v>
      </c>
      <c r="CB225" s="6">
        <f>VLOOKUP(Table1[[#This Row],[Reference]],metron,16,FALSE)</f>
        <v>8.9523612261806136</v>
      </c>
      <c r="CC225" s="6">
        <f>VLOOKUP(Table1[[#This Row],[Reference]],metron,17,FALSE)</f>
        <v>6.3083121289228163</v>
      </c>
      <c r="CD225" s="6">
        <f>VLOOKUP(Table1[[#This Row],[Reference]],metron,18,FALSE)</f>
        <v>3.7757524374735061</v>
      </c>
      <c r="CE225" s="6">
        <f>VLOOKUP(Table1[[#This Row],[Reference]],metron,19,FALSE)</f>
        <v>7.9071872494443642</v>
      </c>
      <c r="CF225" s="6">
        <f>VLOOKUP(Table1[[#This Row],[Reference]],metron,20,FALSE)</f>
        <v>5.1766087887071075</v>
      </c>
      <c r="CG225" s="6">
        <f>VLOOKUP(Table1[[#This Row],[Reference]],metron,21,FALSE)</f>
        <v>12.634239592183521</v>
      </c>
      <c r="CH225" s="6">
        <f>VLOOKUP(Table1[[#This Row],[Reference]],metron,22,FALSE)</f>
        <v>13.597706032285471</v>
      </c>
      <c r="CI225" s="6">
        <f>VLOOKUP(Table1[[#This Row],[Reference]],metron,23,FALSE)</f>
        <v>1.365400161681487</v>
      </c>
      <c r="CJ225" s="6">
        <f>VLOOKUP(Table1[[#This Row],[Reference]],metron,24,FALSE)</f>
        <v>1.963621665319321</v>
      </c>
      <c r="CK225" s="6">
        <f>VLOOKUP(Table1[[#This Row],[Reference]],metron,25,FALSE)</f>
        <v>7.1544058205335492E-2</v>
      </c>
      <c r="CL225" s="6">
        <f>VLOOKUP(Table1[[#This Row],[Reference]],metron,26,FALSE)</f>
        <v>0.1216653193209378</v>
      </c>
    </row>
    <row r="226" spans="1:90" hidden="1" x14ac:dyDescent="0.45">
      <c r="A226" t="s">
        <v>695</v>
      </c>
      <c r="B226">
        <v>1645758300</v>
      </c>
      <c r="C226" s="23" t="s">
        <v>500</v>
      </c>
      <c r="D226" t="s">
        <v>65</v>
      </c>
      <c r="E226" t="s">
        <v>66</v>
      </c>
      <c r="F226" t="s">
        <v>67</v>
      </c>
      <c r="G226" t="s">
        <v>79</v>
      </c>
      <c r="H226" t="s">
        <v>103</v>
      </c>
      <c r="I226">
        <f>MROUND(Table1[[#This Row],[ProbH]]*100,2)/100</f>
        <v>0.38</v>
      </c>
      <c r="J226">
        <f>1/Table1[[#This Row],[odds_ft_home_team_win]]-Table1[[#This Row],[Margin]]</f>
        <v>0.37842309562655208</v>
      </c>
      <c r="K226">
        <f>1/Table1[[#This Row],[odds_ft_draw]]-Table1[[#This Row],[Margin]]</f>
        <v>0.27207225871797752</v>
      </c>
      <c r="L226">
        <f>1/Table1[[#This Row],[odds_ft_away_team_win]]-Table1[[#This Row],[Margin]]</f>
        <v>0.34950464565547051</v>
      </c>
      <c r="M226">
        <v>7</v>
      </c>
      <c r="N226">
        <v>1.27</v>
      </c>
      <c r="O226">
        <v>1.42</v>
      </c>
      <c r="P226">
        <v>1.24</v>
      </c>
      <c r="Q226">
        <v>1.29</v>
      </c>
      <c r="R226" t="str" cm="1">
        <f t="array" ref="R2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26">
        <v>1</v>
      </c>
      <c r="T226">
        <v>1</v>
      </c>
      <c r="U226">
        <v>2</v>
      </c>
      <c r="V226">
        <v>1</v>
      </c>
      <c r="W226">
        <v>1</v>
      </c>
      <c r="X226">
        <v>0</v>
      </c>
      <c r="Y226">
        <v>10</v>
      </c>
      <c r="Z226" t="s">
        <v>308</v>
      </c>
      <c r="AA226">
        <v>5</v>
      </c>
      <c r="AB226">
        <v>5</v>
      </c>
      <c r="AC226">
        <v>4</v>
      </c>
      <c r="AD226">
        <v>1</v>
      </c>
      <c r="AE226">
        <v>1</v>
      </c>
      <c r="AF226">
        <v>0</v>
      </c>
      <c r="AG226">
        <v>0</v>
      </c>
      <c r="AH226">
        <v>5</v>
      </c>
      <c r="AI226">
        <v>1</v>
      </c>
      <c r="AJ226">
        <v>0</v>
      </c>
      <c r="AK226">
        <v>6</v>
      </c>
      <c r="AL226">
        <v>15</v>
      </c>
      <c r="AM226">
        <v>4</v>
      </c>
      <c r="AN226">
        <v>8</v>
      </c>
      <c r="AO226">
        <v>2</v>
      </c>
      <c r="AP226">
        <v>7</v>
      </c>
      <c r="AQ226">
        <v>14</v>
      </c>
      <c r="AR226">
        <v>14</v>
      </c>
      <c r="AS226">
        <v>39</v>
      </c>
      <c r="AT226">
        <v>61</v>
      </c>
      <c r="AU226">
        <v>0.81</v>
      </c>
      <c r="AV226">
        <v>1.77</v>
      </c>
      <c r="AW226">
        <v>2.34</v>
      </c>
      <c r="AX226">
        <v>30</v>
      </c>
      <c r="AY226">
        <v>70</v>
      </c>
      <c r="AZ226">
        <v>39</v>
      </c>
      <c r="BA226">
        <v>26</v>
      </c>
      <c r="BB226">
        <v>9</v>
      </c>
      <c r="BC226">
        <v>31</v>
      </c>
      <c r="BD226">
        <v>78</v>
      </c>
      <c r="BE226">
        <v>26</v>
      </c>
      <c r="BF226">
        <v>74</v>
      </c>
      <c r="BG226">
        <v>7.51</v>
      </c>
      <c r="BH226">
        <v>5.22</v>
      </c>
      <c r="BI226">
        <v>2.4700000000000002</v>
      </c>
      <c r="BJ226">
        <v>3.35</v>
      </c>
      <c r="BK226">
        <v>2.66</v>
      </c>
      <c r="BL226">
        <f>(1/Table1[[#This Row],[odds_ft_home_team_win]]+1/Table1[[#This Row],[odds_ft_draw]]+1/Table1[[#This Row],[odds_ft_away_team_win]]-1)/3</f>
        <v>2.6435203968589633E-2</v>
      </c>
      <c r="BM226">
        <v>1.3</v>
      </c>
      <c r="BN226">
        <v>1.98</v>
      </c>
      <c r="BO226">
        <v>3.2</v>
      </c>
      <c r="BP226">
        <v>6</v>
      </c>
      <c r="BQ226">
        <v>1.67</v>
      </c>
      <c r="BR226">
        <v>2.1</v>
      </c>
      <c r="BS226" t="s">
        <v>70</v>
      </c>
      <c r="BT226">
        <f>VLOOKUP(Table1[[#This Row],[Reference]],metron,8,FALSE)</f>
        <v>1.464160929441638</v>
      </c>
      <c r="BU226">
        <f>VLOOKUP(Table1[[#This Row],[Reference]],metron,9,FALSE)</f>
        <v>1.2477119808919459</v>
      </c>
      <c r="BV226">
        <f>VLOOKUP(Table1[[#This Row],[Reference]],metron,10,FALSE)</f>
        <v>2.4900895140664963</v>
      </c>
      <c r="BW226">
        <f>VLOOKUP(Table1[[#This Row],[Reference]],metron,11,FALSE)</f>
        <v>1.330562659846547</v>
      </c>
      <c r="BX226">
        <f>VLOOKUP(Table1[[#This Row],[Reference]],metron,12,FALSE)</f>
        <v>1.1595268542199491</v>
      </c>
      <c r="BY226" s="6">
        <f>VLOOKUP(Table1[[#This Row],[Reference]],metron,13,FALSE)</f>
        <v>0.59053607588191415</v>
      </c>
      <c r="BZ226" s="6">
        <f>VLOOKUP(Table1[[#This Row],[Reference]],metron,14,FALSE)</f>
        <v>0.50069274219332838</v>
      </c>
      <c r="CA226" s="6">
        <f>VLOOKUP(Table1[[#This Row],[Reference]],metron,15,FALSE)</f>
        <v>11.79715236686391</v>
      </c>
      <c r="CB226" s="6">
        <f>VLOOKUP(Table1[[#This Row],[Reference]],metron,16,FALSE)</f>
        <v>10.317122781065089</v>
      </c>
      <c r="CC226" s="6">
        <f>VLOOKUP(Table1[[#This Row],[Reference]],metron,17,FALSE)</f>
        <v>5.0637025966747622</v>
      </c>
      <c r="CD226" s="6">
        <f>VLOOKUP(Table1[[#This Row],[Reference]],metron,18,FALSE)</f>
        <v>4.4674014571268454</v>
      </c>
      <c r="CE226" s="6">
        <f>VLOOKUP(Table1[[#This Row],[Reference]],metron,19,FALSE)</f>
        <v>6.7334497701891483</v>
      </c>
      <c r="CF226" s="6">
        <f>VLOOKUP(Table1[[#This Row],[Reference]],metron,20,FALSE)</f>
        <v>5.849721323938244</v>
      </c>
      <c r="CG226" s="6">
        <f>VLOOKUP(Table1[[#This Row],[Reference]],metron,21,FALSE)</f>
        <v>12.89644194756554</v>
      </c>
      <c r="CH226" s="6">
        <f>VLOOKUP(Table1[[#This Row],[Reference]],metron,22,FALSE)</f>
        <v>13.3434456928839</v>
      </c>
      <c r="CI226" s="6">
        <f>VLOOKUP(Table1[[#This Row],[Reference]],metron,23,FALSE)</f>
        <v>1.6144382124117971</v>
      </c>
      <c r="CJ226" s="6">
        <f>VLOOKUP(Table1[[#This Row],[Reference]],metron,24,FALSE)</f>
        <v>1.9032024606477289</v>
      </c>
      <c r="CK226" s="6">
        <f>VLOOKUP(Table1[[#This Row],[Reference]],metron,25,FALSE)</f>
        <v>9.372172969060974E-2</v>
      </c>
      <c r="CL226" s="6">
        <f>VLOOKUP(Table1[[#This Row],[Reference]],metron,26,FALSE)</f>
        <v>0.11669983716301791</v>
      </c>
    </row>
    <row r="227" spans="1:90" hidden="1" x14ac:dyDescent="0.45">
      <c r="A227" t="s">
        <v>695</v>
      </c>
      <c r="B227">
        <v>1645837200</v>
      </c>
      <c r="C227" s="23" t="s">
        <v>501</v>
      </c>
      <c r="D227" t="s">
        <v>65</v>
      </c>
      <c r="E227" t="s">
        <v>66</v>
      </c>
      <c r="F227" t="s">
        <v>72</v>
      </c>
      <c r="G227" t="s">
        <v>85</v>
      </c>
      <c r="H227" t="s">
        <v>108</v>
      </c>
      <c r="I227">
        <f>MROUND(Table1[[#This Row],[ProbH]]*100,2)/100</f>
        <v>0.32</v>
      </c>
      <c r="J227">
        <f>1/Table1[[#This Row],[odds_ft_home_team_win]]-Table1[[#This Row],[Margin]]</f>
        <v>0.32305275933461841</v>
      </c>
      <c r="K227">
        <f>1/Table1[[#This Row],[odds_ft_draw]]-Table1[[#This Row],[Margin]]</f>
        <v>0.26393945884200753</v>
      </c>
      <c r="L227">
        <f>1/Table1[[#This Row],[odds_ft_away_team_win]]-Table1[[#This Row],[Margin]]</f>
        <v>0.41300778182337405</v>
      </c>
      <c r="M227">
        <v>7</v>
      </c>
      <c r="N227">
        <v>1.2</v>
      </c>
      <c r="O227">
        <v>1.29</v>
      </c>
      <c r="P227">
        <v>1.24</v>
      </c>
      <c r="Q227">
        <v>1.4</v>
      </c>
      <c r="R227" t="str" cm="1">
        <f t="array" ref="R2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1</v>
      </c>
      <c r="Z227">
        <v>33</v>
      </c>
      <c r="AA227">
        <v>7</v>
      </c>
      <c r="AB227">
        <v>4</v>
      </c>
      <c r="AC227">
        <v>5</v>
      </c>
      <c r="AD227">
        <v>0</v>
      </c>
      <c r="AE227">
        <v>3</v>
      </c>
      <c r="AF227">
        <v>0</v>
      </c>
      <c r="AG227">
        <v>0</v>
      </c>
      <c r="AH227">
        <v>5</v>
      </c>
      <c r="AI227">
        <v>0</v>
      </c>
      <c r="AJ227">
        <v>3</v>
      </c>
      <c r="AK227">
        <v>15</v>
      </c>
      <c r="AL227">
        <v>9</v>
      </c>
      <c r="AM227">
        <v>9</v>
      </c>
      <c r="AN227">
        <v>3</v>
      </c>
      <c r="AO227">
        <v>6</v>
      </c>
      <c r="AP227">
        <v>6</v>
      </c>
      <c r="AQ227">
        <v>22</v>
      </c>
      <c r="AR227">
        <v>11</v>
      </c>
      <c r="AS227">
        <v>44</v>
      </c>
      <c r="AT227">
        <v>56</v>
      </c>
      <c r="AU227">
        <v>1.87</v>
      </c>
      <c r="AV227">
        <v>1</v>
      </c>
      <c r="AW227">
        <v>2.44</v>
      </c>
      <c r="AX227">
        <v>33</v>
      </c>
      <c r="AY227">
        <v>69</v>
      </c>
      <c r="AZ227">
        <v>62</v>
      </c>
      <c r="BA227">
        <v>17</v>
      </c>
      <c r="BB227">
        <v>0</v>
      </c>
      <c r="BC227">
        <v>36</v>
      </c>
      <c r="BD227">
        <v>67</v>
      </c>
      <c r="BE227">
        <v>31</v>
      </c>
      <c r="BF227">
        <v>82</v>
      </c>
      <c r="BG227">
        <v>9.7100000000000009</v>
      </c>
      <c r="BH227">
        <v>3.74</v>
      </c>
      <c r="BI227">
        <v>2.9</v>
      </c>
      <c r="BJ227">
        <v>3.5</v>
      </c>
      <c r="BK227">
        <v>2.2999999999999998</v>
      </c>
      <c r="BL227">
        <f>(1/Table1[[#This Row],[odds_ft_home_team_win]]+1/Table1[[#This Row],[odds_ft_draw]]+1/Table1[[#This Row],[odds_ft_away_team_win]]-1)/3</f>
        <v>2.1774826872278163E-2</v>
      </c>
      <c r="BM227">
        <v>1.28</v>
      </c>
      <c r="BN227">
        <v>1.83</v>
      </c>
      <c r="BO227">
        <v>3.2</v>
      </c>
      <c r="BP227">
        <v>5.5</v>
      </c>
      <c r="BQ227">
        <v>1.67</v>
      </c>
      <c r="BR227">
        <v>2.1</v>
      </c>
      <c r="BS227" t="s">
        <v>76</v>
      </c>
      <c r="BT227">
        <f>VLOOKUP(Table1[[#This Row],[Reference]],metron,8,FALSE)</f>
        <v>1.274681051426811</v>
      </c>
      <c r="BU227">
        <f>VLOOKUP(Table1[[#This Row],[Reference]],metron,9,FALSE)</f>
        <v>1.4392482240810365</v>
      </c>
      <c r="BV227">
        <f>VLOOKUP(Table1[[#This Row],[Reference]],metron,10,FALSE)</f>
        <v>2.5313454284174597</v>
      </c>
      <c r="BW227">
        <f>VLOOKUP(Table1[[#This Row],[Reference]],metron,11,FALSE)</f>
        <v>1.210167055864918</v>
      </c>
      <c r="BX227">
        <f>VLOOKUP(Table1[[#This Row],[Reference]],metron,12,FALSE)</f>
        <v>1.3211783725525419</v>
      </c>
      <c r="BY227" s="6">
        <f>VLOOKUP(Table1[[#This Row],[Reference]],metron,13,FALSE)</f>
        <v>0.53135669362084459</v>
      </c>
      <c r="BZ227" s="6">
        <f>VLOOKUP(Table1[[#This Row],[Reference]],metron,14,FALSE)</f>
        <v>0.55633423180592989</v>
      </c>
      <c r="CA227" s="6">
        <f>VLOOKUP(Table1[[#This Row],[Reference]],metron,15,FALSE)</f>
        <v>11.21109010712035</v>
      </c>
      <c r="CB227" s="6">
        <f>VLOOKUP(Table1[[#This Row],[Reference]],metron,16,FALSE)</f>
        <v>11.01700787401575</v>
      </c>
      <c r="CC227" s="6">
        <f>VLOOKUP(Table1[[#This Row],[Reference]],metron,17,FALSE)</f>
        <v>4.6792332268370611</v>
      </c>
      <c r="CD227" s="6">
        <f>VLOOKUP(Table1[[#This Row],[Reference]],metron,18,FALSE)</f>
        <v>4.7080804854679013</v>
      </c>
      <c r="CE227" s="6">
        <f>VLOOKUP(Table1[[#This Row],[Reference]],metron,19,FALSE)</f>
        <v>6.5318568802832893</v>
      </c>
      <c r="CF227" s="6">
        <f>VLOOKUP(Table1[[#This Row],[Reference]],metron,20,FALSE)</f>
        <v>6.3089273885478487</v>
      </c>
      <c r="CG227" s="6">
        <f>VLOOKUP(Table1[[#This Row],[Reference]],metron,21,FALSE)</f>
        <v>12.72547770700637</v>
      </c>
      <c r="CH227" s="6">
        <f>VLOOKUP(Table1[[#This Row],[Reference]],metron,22,FALSE)</f>
        <v>13.06847133757962</v>
      </c>
      <c r="CI227" s="6">
        <f>VLOOKUP(Table1[[#This Row],[Reference]],metron,23,FALSE)</f>
        <v>1.6902356902356901</v>
      </c>
      <c r="CJ227" s="6">
        <f>VLOOKUP(Table1[[#This Row],[Reference]],metron,24,FALSE)</f>
        <v>1.8050198959289869</v>
      </c>
      <c r="CK227" s="6">
        <f>VLOOKUP(Table1[[#This Row],[Reference]],metron,25,FALSE)</f>
        <v>0.105907560453015</v>
      </c>
      <c r="CL227" s="6">
        <f>VLOOKUP(Table1[[#This Row],[Reference]],metron,26,FALSE)</f>
        <v>0.1141720232629324</v>
      </c>
    </row>
    <row r="228" spans="1:90" hidden="1" x14ac:dyDescent="0.45">
      <c r="A228" t="s">
        <v>695</v>
      </c>
      <c r="B228">
        <v>1645844400</v>
      </c>
      <c r="C228" s="23" t="s">
        <v>502</v>
      </c>
      <c r="D228" t="s">
        <v>65</v>
      </c>
      <c r="E228" t="s">
        <v>66</v>
      </c>
      <c r="F228" t="s">
        <v>78</v>
      </c>
      <c r="G228" t="s">
        <v>107</v>
      </c>
      <c r="H228" t="s">
        <v>66</v>
      </c>
      <c r="I228">
        <f>MROUND(Table1[[#This Row],[ProbH]]*100,2)/100</f>
        <v>0.28000000000000003</v>
      </c>
      <c r="J228">
        <f>1/Table1[[#This Row],[odds_ft_home_team_win]]-Table1[[#This Row],[Margin]]</f>
        <v>0.28763828763828764</v>
      </c>
      <c r="K228">
        <f>1/Table1[[#This Row],[odds_ft_draw]]-Table1[[#This Row],[Margin]]</f>
        <v>0.28763828763828764</v>
      </c>
      <c r="L228">
        <f>1/Table1[[#This Row],[odds_ft_away_team_win]]-Table1[[#This Row],[Margin]]</f>
        <v>0.42472342472342473</v>
      </c>
      <c r="M228">
        <v>7</v>
      </c>
      <c r="N228">
        <v>1.36</v>
      </c>
      <c r="O228">
        <v>1.38</v>
      </c>
      <c r="P228">
        <v>0.88</v>
      </c>
      <c r="Q228">
        <v>1.48</v>
      </c>
      <c r="R228" t="str" cm="1">
        <f t="array" ref="R2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8">
        <v>2</v>
      </c>
      <c r="T228">
        <v>3</v>
      </c>
      <c r="U228">
        <v>5</v>
      </c>
      <c r="V228">
        <v>3</v>
      </c>
      <c r="W228">
        <v>0</v>
      </c>
      <c r="X228">
        <v>3</v>
      </c>
      <c r="Y228" t="s">
        <v>503</v>
      </c>
      <c r="Z228" t="s">
        <v>504</v>
      </c>
      <c r="AA228">
        <v>3</v>
      </c>
      <c r="AB228">
        <v>7</v>
      </c>
      <c r="AC228">
        <v>2</v>
      </c>
      <c r="AD228">
        <v>0</v>
      </c>
      <c r="AE228">
        <v>3</v>
      </c>
      <c r="AF228">
        <v>0</v>
      </c>
      <c r="AG228">
        <v>0</v>
      </c>
      <c r="AH228">
        <v>2</v>
      </c>
      <c r="AI228">
        <v>0</v>
      </c>
      <c r="AJ228">
        <v>3</v>
      </c>
      <c r="AK228">
        <v>6</v>
      </c>
      <c r="AL228">
        <v>9</v>
      </c>
      <c r="AM228">
        <v>3</v>
      </c>
      <c r="AN228">
        <v>6</v>
      </c>
      <c r="AO228">
        <v>3</v>
      </c>
      <c r="AP228">
        <v>3</v>
      </c>
      <c r="AQ228">
        <v>12</v>
      </c>
      <c r="AR228">
        <v>15</v>
      </c>
      <c r="AS228">
        <v>40</v>
      </c>
      <c r="AT228">
        <v>60</v>
      </c>
      <c r="AU228">
        <v>0.83</v>
      </c>
      <c r="AV228">
        <v>1.28</v>
      </c>
      <c r="AW228">
        <v>2.5299999999999998</v>
      </c>
      <c r="AX228">
        <v>67</v>
      </c>
      <c r="AY228">
        <v>83</v>
      </c>
      <c r="AZ228">
        <v>59</v>
      </c>
      <c r="BA228">
        <v>21</v>
      </c>
      <c r="BB228">
        <v>0</v>
      </c>
      <c r="BC228">
        <v>47</v>
      </c>
      <c r="BD228">
        <v>75</v>
      </c>
      <c r="BE228">
        <v>45</v>
      </c>
      <c r="BF228">
        <v>74</v>
      </c>
      <c r="BG228">
        <v>7.17</v>
      </c>
      <c r="BH228">
        <v>5.1100000000000003</v>
      </c>
      <c r="BI228">
        <v>3.15</v>
      </c>
      <c r="BJ228">
        <v>3.15</v>
      </c>
      <c r="BK228">
        <v>2.2000000000000002</v>
      </c>
      <c r="BL228">
        <f>(1/Table1[[#This Row],[odds_ft_home_team_win]]+1/Table1[[#This Row],[odds_ft_draw]]+1/Table1[[#This Row],[odds_ft_away_team_win]]-1)/3</f>
        <v>2.9822029822029823E-2</v>
      </c>
      <c r="BM228">
        <v>1.36</v>
      </c>
      <c r="BN228">
        <v>1.9</v>
      </c>
      <c r="BO228">
        <v>4</v>
      </c>
      <c r="BP228">
        <v>7</v>
      </c>
      <c r="BQ228">
        <v>1.8</v>
      </c>
      <c r="BR228">
        <v>1.95</v>
      </c>
      <c r="BS228" t="s">
        <v>82</v>
      </c>
      <c r="BT228">
        <f>VLOOKUP(Table1[[#This Row],[Reference]],metron,8,FALSE)</f>
        <v>1.1529533168233341</v>
      </c>
      <c r="BU228">
        <f>VLOOKUP(Table1[[#This Row],[Reference]],metron,9,FALSE)</f>
        <v>1.5628535554286829</v>
      </c>
      <c r="BV228">
        <f>VLOOKUP(Table1[[#This Row],[Reference]],metron,10,FALSE)</f>
        <v>2.5445607358071678</v>
      </c>
      <c r="BW228">
        <f>VLOOKUP(Table1[[#This Row],[Reference]],metron,11,FALSE)</f>
        <v>1.128766254360926</v>
      </c>
      <c r="BX228">
        <f>VLOOKUP(Table1[[#This Row],[Reference]],metron,12,FALSE)</f>
        <v>1.415794481446242</v>
      </c>
      <c r="BY228" s="6">
        <f>VLOOKUP(Table1[[#This Row],[Reference]],metron,13,FALSE)</f>
        <v>0.49635267998731369</v>
      </c>
      <c r="BZ228" s="6">
        <f>VLOOKUP(Table1[[#This Row],[Reference]],metron,14,FALSE)</f>
        <v>0.61084681255946716</v>
      </c>
      <c r="CA228" s="6">
        <f>VLOOKUP(Table1[[#This Row],[Reference]],metron,15,FALSE)</f>
        <v>11.04442036836403</v>
      </c>
      <c r="CB228" s="6">
        <f>VLOOKUP(Table1[[#This Row],[Reference]],metron,16,FALSE)</f>
        <v>11.38840736728061</v>
      </c>
      <c r="CC228" s="6">
        <f>VLOOKUP(Table1[[#This Row],[Reference]],metron,17,FALSE)</f>
        <v>4.5379574003276897</v>
      </c>
      <c r="CD228" s="6">
        <f>VLOOKUP(Table1[[#This Row],[Reference]],metron,18,FALSE)</f>
        <v>4.8481703986892413</v>
      </c>
      <c r="CE228" s="6">
        <f>VLOOKUP(Table1[[#This Row],[Reference]],metron,19,FALSE)</f>
        <v>6.5064629680363399</v>
      </c>
      <c r="CF228" s="6">
        <f>VLOOKUP(Table1[[#This Row],[Reference]],metron,20,FALSE)</f>
        <v>6.540236968591369</v>
      </c>
      <c r="CG228" s="6">
        <f>VLOOKUP(Table1[[#This Row],[Reference]],metron,21,FALSE)</f>
        <v>13.117582417582421</v>
      </c>
      <c r="CH228" s="6">
        <f>VLOOKUP(Table1[[#This Row],[Reference]],metron,22,FALSE)</f>
        <v>13.28241758241758</v>
      </c>
      <c r="CI228" s="6">
        <f>VLOOKUP(Table1[[#This Row],[Reference]],metron,23,FALSE)</f>
        <v>1.792592592592593</v>
      </c>
      <c r="CJ228" s="6">
        <f>VLOOKUP(Table1[[#This Row],[Reference]],metron,24,FALSE)</f>
        <v>1.806980433632998</v>
      </c>
      <c r="CK228" s="6">
        <f>VLOOKUP(Table1[[#This Row],[Reference]],metron,25,FALSE)</f>
        <v>0.1047065044949762</v>
      </c>
      <c r="CL228" s="6">
        <f>VLOOKUP(Table1[[#This Row],[Reference]],metron,26,FALSE)</f>
        <v>0.1073506081438392</v>
      </c>
    </row>
    <row r="229" spans="1:90" hidden="1" x14ac:dyDescent="0.45">
      <c r="A229" t="s">
        <v>695</v>
      </c>
      <c r="B229">
        <v>1645844760</v>
      </c>
      <c r="C229" s="23" t="s">
        <v>505</v>
      </c>
      <c r="D229" t="s">
        <v>65</v>
      </c>
      <c r="E229" t="s">
        <v>66</v>
      </c>
      <c r="F229" t="s">
        <v>106</v>
      </c>
      <c r="G229" t="s">
        <v>97</v>
      </c>
      <c r="H229" t="s">
        <v>74</v>
      </c>
      <c r="I229">
        <f>MROUND(Table1[[#This Row],[ProbH]]*100,2)/100</f>
        <v>0.24</v>
      </c>
      <c r="J229">
        <f>1/Table1[[#This Row],[odds_ft_home_team_win]]-Table1[[#This Row],[Margin]]</f>
        <v>0.24897249077576952</v>
      </c>
      <c r="K229">
        <f>1/Table1[[#This Row],[odds_ft_draw]]-Table1[[#This Row],[Margin]]</f>
        <v>0.29906356545700813</v>
      </c>
      <c r="L229">
        <f>1/Table1[[#This Row],[odds_ft_away_team_win]]-Table1[[#This Row],[Margin]]</f>
        <v>0.45196394376722243</v>
      </c>
      <c r="M229">
        <v>7</v>
      </c>
      <c r="N229">
        <v>1.25</v>
      </c>
      <c r="O229">
        <v>1.71</v>
      </c>
      <c r="P229">
        <v>1.35</v>
      </c>
      <c r="Q229">
        <v>1.68</v>
      </c>
      <c r="R229" t="str" cm="1">
        <f t="array" ref="R2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9">
        <v>2</v>
      </c>
      <c r="T229">
        <v>0</v>
      </c>
      <c r="U229">
        <v>2</v>
      </c>
      <c r="V229">
        <v>2</v>
      </c>
      <c r="W229">
        <v>2</v>
      </c>
      <c r="X229">
        <v>0</v>
      </c>
      <c r="Y229" t="s">
        <v>506</v>
      </c>
      <c r="AA229">
        <v>1</v>
      </c>
      <c r="AB229">
        <v>6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12</v>
      </c>
      <c r="AL229">
        <v>5</v>
      </c>
      <c r="AM229">
        <v>6</v>
      </c>
      <c r="AN229">
        <v>0</v>
      </c>
      <c r="AO229">
        <v>6</v>
      </c>
      <c r="AP229">
        <v>5</v>
      </c>
      <c r="AQ229">
        <v>13</v>
      </c>
      <c r="AR229">
        <v>10</v>
      </c>
      <c r="AS229">
        <v>47</v>
      </c>
      <c r="AT229">
        <v>53</v>
      </c>
      <c r="AU229">
        <v>1.43</v>
      </c>
      <c r="AV229">
        <v>0.72</v>
      </c>
      <c r="AW229">
        <v>2.11</v>
      </c>
      <c r="AX229">
        <v>51</v>
      </c>
      <c r="AY229">
        <v>62</v>
      </c>
      <c r="AZ229">
        <v>27</v>
      </c>
      <c r="BA229">
        <v>16</v>
      </c>
      <c r="BB229">
        <v>11</v>
      </c>
      <c r="BC229">
        <v>19</v>
      </c>
      <c r="BD229">
        <v>69</v>
      </c>
      <c r="BE229">
        <v>31</v>
      </c>
      <c r="BF229">
        <v>66</v>
      </c>
      <c r="BG229">
        <v>10.01</v>
      </c>
      <c r="BH229">
        <v>4.1399999999999997</v>
      </c>
      <c r="BI229">
        <v>3.6</v>
      </c>
      <c r="BJ229">
        <v>3.05</v>
      </c>
      <c r="BK229">
        <v>2.08</v>
      </c>
      <c r="BL229">
        <f>(1/Table1[[#This Row],[odds_ft_home_team_win]]+1/Table1[[#This Row],[odds_ft_draw]]+1/Table1[[#This Row],[odds_ft_away_team_win]]-1)/3</f>
        <v>2.8805287002008278E-2</v>
      </c>
      <c r="BM229">
        <v>1.53</v>
      </c>
      <c r="BN229">
        <v>2.16</v>
      </c>
      <c r="BO229">
        <v>4.33</v>
      </c>
      <c r="BP229">
        <v>8</v>
      </c>
      <c r="BQ229">
        <v>1.95</v>
      </c>
      <c r="BR229">
        <v>1.8</v>
      </c>
      <c r="BS229" t="s">
        <v>110</v>
      </c>
      <c r="BT229">
        <f>VLOOKUP(Table1[[#This Row],[Reference]],metron,8,FALSE)</f>
        <v>1.0221684690062811</v>
      </c>
      <c r="BU229">
        <f>VLOOKUP(Table1[[#This Row],[Reference]],metron,9,FALSE)</f>
        <v>1.7036119427882386</v>
      </c>
      <c r="BV229">
        <f>VLOOKUP(Table1[[#This Row],[Reference]],metron,10,FALSE)</f>
        <v>2.6014437689969609</v>
      </c>
      <c r="BW229">
        <f>VLOOKUP(Table1[[#This Row],[Reference]],metron,11,FALSE)</f>
        <v>1.067249240121581</v>
      </c>
      <c r="BX229">
        <f>VLOOKUP(Table1[[#This Row],[Reference]],metron,12,FALSE)</f>
        <v>1.53419452887538</v>
      </c>
      <c r="BY229" s="6">
        <f>VLOOKUP(Table1[[#This Row],[Reference]],metron,13,FALSE)</f>
        <v>0.45589353612167299</v>
      </c>
      <c r="BZ229" s="6">
        <f>VLOOKUP(Table1[[#This Row],[Reference]],metron,14,FALSE)</f>
        <v>0.65133079847908748</v>
      </c>
      <c r="CA229" s="6">
        <f>VLOOKUP(Table1[[#This Row],[Reference]],metron,15,FALSE)</f>
        <v>10.75886524822695</v>
      </c>
      <c r="CB229" s="6">
        <f>VLOOKUP(Table1[[#This Row],[Reference]],metron,16,FALSE)</f>
        <v>12.46679561573179</v>
      </c>
      <c r="CC229" s="6">
        <f>VLOOKUP(Table1[[#This Row],[Reference]],metron,17,FALSE)</f>
        <v>4.1157347204161248</v>
      </c>
      <c r="CD229" s="6">
        <f>VLOOKUP(Table1[[#This Row],[Reference]],metron,18,FALSE)</f>
        <v>5.1072821846553964</v>
      </c>
      <c r="CE229" s="6">
        <f>VLOOKUP(Table1[[#This Row],[Reference]],metron,19,FALSE)</f>
        <v>6.6431305278108255</v>
      </c>
      <c r="CF229" s="6">
        <f>VLOOKUP(Table1[[#This Row],[Reference]],metron,20,FALSE)</f>
        <v>7.3595134310763939</v>
      </c>
      <c r="CG229" s="6">
        <f>VLOOKUP(Table1[[#This Row],[Reference]],metron,21,FALSE)</f>
        <v>13.11140235910878</v>
      </c>
      <c r="CH229" s="6">
        <f>VLOOKUP(Table1[[#This Row],[Reference]],metron,22,FALSE)</f>
        <v>12.93184796854522</v>
      </c>
      <c r="CI229" s="6">
        <f>VLOOKUP(Table1[[#This Row],[Reference]],metron,23,FALSE)</f>
        <v>1.8341677096370459</v>
      </c>
      <c r="CJ229" s="6">
        <f>VLOOKUP(Table1[[#This Row],[Reference]],metron,24,FALSE)</f>
        <v>1.7903629536921151</v>
      </c>
      <c r="CK229" s="6">
        <f>VLOOKUP(Table1[[#This Row],[Reference]],metron,25,FALSE)</f>
        <v>0.1095118898623279</v>
      </c>
      <c r="CL229" s="6">
        <f>VLOOKUP(Table1[[#This Row],[Reference]],metron,26,FALSE)</f>
        <v>9.3241551939924908E-2</v>
      </c>
    </row>
    <row r="230" spans="1:90" hidden="1" x14ac:dyDescent="0.45">
      <c r="A230" t="s">
        <v>695</v>
      </c>
      <c r="B230">
        <v>1645916760</v>
      </c>
      <c r="C230" s="23" t="s">
        <v>507</v>
      </c>
      <c r="D230" t="s">
        <v>65</v>
      </c>
      <c r="E230" t="s">
        <v>66</v>
      </c>
      <c r="F230" t="s">
        <v>101</v>
      </c>
      <c r="G230" t="s">
        <v>91</v>
      </c>
      <c r="H230" t="s">
        <v>114</v>
      </c>
      <c r="I230">
        <f>MROUND(Table1[[#This Row],[ProbH]]*100,2)/100</f>
        <v>0.52</v>
      </c>
      <c r="J230">
        <f>1/Table1[[#This Row],[odds_ft_home_team_win]]-Table1[[#This Row],[Margin]]</f>
        <v>0.52209107764663321</v>
      </c>
      <c r="K230">
        <f>1/Table1[[#This Row],[odds_ft_draw]]-Table1[[#This Row],[Margin]]</f>
        <v>0.25835481391036946</v>
      </c>
      <c r="L230">
        <f>1/Table1[[#This Row],[odds_ft_away_team_win]]-Table1[[#This Row],[Margin]]</f>
        <v>0.21955410844299739</v>
      </c>
      <c r="M230">
        <v>7</v>
      </c>
      <c r="N230">
        <v>1.55</v>
      </c>
      <c r="O230">
        <v>1.31</v>
      </c>
      <c r="P230">
        <v>1.79</v>
      </c>
      <c r="Q230">
        <v>1.25</v>
      </c>
      <c r="R230" t="str" cm="1">
        <f t="array" ref="R2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0">
        <v>0</v>
      </c>
      <c r="T230">
        <v>2</v>
      </c>
      <c r="U230">
        <v>2</v>
      </c>
      <c r="V230">
        <v>1</v>
      </c>
      <c r="W230">
        <v>0</v>
      </c>
      <c r="X230">
        <v>1</v>
      </c>
      <c r="Z230" t="s">
        <v>508</v>
      </c>
      <c r="AA230">
        <v>11</v>
      </c>
      <c r="AB230">
        <v>2</v>
      </c>
      <c r="AC230">
        <v>3</v>
      </c>
      <c r="AD230">
        <v>0</v>
      </c>
      <c r="AE230">
        <v>1</v>
      </c>
      <c r="AF230">
        <v>0</v>
      </c>
      <c r="AG230">
        <v>1</v>
      </c>
      <c r="AH230">
        <v>2</v>
      </c>
      <c r="AI230">
        <v>0</v>
      </c>
      <c r="AJ230">
        <v>1</v>
      </c>
      <c r="AK230">
        <v>18</v>
      </c>
      <c r="AL230">
        <v>8</v>
      </c>
      <c r="AM230">
        <v>9</v>
      </c>
      <c r="AN230">
        <v>4</v>
      </c>
      <c r="AO230">
        <v>9</v>
      </c>
      <c r="AP230">
        <v>4</v>
      </c>
      <c r="AQ230">
        <v>16</v>
      </c>
      <c r="AR230">
        <v>13</v>
      </c>
      <c r="AS230">
        <v>59</v>
      </c>
      <c r="AT230">
        <v>41</v>
      </c>
      <c r="AU230">
        <v>2.31</v>
      </c>
      <c r="AV230">
        <v>0.92</v>
      </c>
      <c r="AW230">
        <v>1.98</v>
      </c>
      <c r="AX230">
        <v>41</v>
      </c>
      <c r="AY230">
        <v>59</v>
      </c>
      <c r="AZ230">
        <v>36</v>
      </c>
      <c r="BA230">
        <v>25</v>
      </c>
      <c r="BB230">
        <v>4</v>
      </c>
      <c r="BC230">
        <v>12</v>
      </c>
      <c r="BD230">
        <v>55</v>
      </c>
      <c r="BE230">
        <v>37</v>
      </c>
      <c r="BF230">
        <v>63</v>
      </c>
      <c r="BG230">
        <v>7.96</v>
      </c>
      <c r="BH230">
        <v>5.07</v>
      </c>
      <c r="BI230">
        <v>1.82</v>
      </c>
      <c r="BJ230">
        <v>3.5</v>
      </c>
      <c r="BK230">
        <v>4.05</v>
      </c>
      <c r="BL230">
        <f>(1/Table1[[#This Row],[odds_ft_home_team_win]]+1/Table1[[#This Row],[odds_ft_draw]]+1/Table1[[#This Row],[odds_ft_away_team_win]]-1)/3</f>
        <v>2.7359471803916218E-2</v>
      </c>
      <c r="BM230">
        <v>1.33</v>
      </c>
      <c r="BN230">
        <v>1.95</v>
      </c>
      <c r="BO230">
        <v>3.75</v>
      </c>
      <c r="BP230">
        <v>7</v>
      </c>
      <c r="BQ230">
        <v>2</v>
      </c>
      <c r="BR230">
        <v>1.75</v>
      </c>
      <c r="BS230" t="s">
        <v>104</v>
      </c>
      <c r="BT230">
        <f>VLOOKUP(Table1[[#This Row],[Reference]],metron,8,FALSE)</f>
        <v>1.8614830167843088</v>
      </c>
      <c r="BU230">
        <f>VLOOKUP(Table1[[#This Row],[Reference]],metron,9,FALSE)</f>
        <v>0.87079851622593896</v>
      </c>
      <c r="BV230">
        <f>VLOOKUP(Table1[[#This Row],[Reference]],metron,10,FALSE)</f>
        <v>2.5967403582378576</v>
      </c>
      <c r="BW230">
        <f>VLOOKUP(Table1[[#This Row],[Reference]],metron,11,FALSE)</f>
        <v>1.625948039373891</v>
      </c>
      <c r="BX230">
        <f>VLOOKUP(Table1[[#This Row],[Reference]],metron,12,FALSE)</f>
        <v>0.97079231886396644</v>
      </c>
      <c r="BY230" s="6">
        <f>VLOOKUP(Table1[[#This Row],[Reference]],metron,13,FALSE)</f>
        <v>0.71433182698515174</v>
      </c>
      <c r="BZ230" s="6">
        <f>VLOOKUP(Table1[[#This Row],[Reference]],metron,14,FALSE)</f>
        <v>0.43011620400258233</v>
      </c>
      <c r="CA230" s="6">
        <f>VLOOKUP(Table1[[#This Row],[Reference]],metron,15,FALSE)</f>
        <v>13.39951055368614</v>
      </c>
      <c r="CB230" s="6">
        <f>VLOOKUP(Table1[[#This Row],[Reference]],metron,16,FALSE)</f>
        <v>9.4252064851636579</v>
      </c>
      <c r="CC230" s="6">
        <f>VLOOKUP(Table1[[#This Row],[Reference]],metron,17,FALSE)</f>
        <v>5.7628422023992618</v>
      </c>
      <c r="CD230" s="6">
        <f>VLOOKUP(Table1[[#This Row],[Reference]],metron,18,FALSE)</f>
        <v>3.9375576745616732</v>
      </c>
      <c r="CE230" s="6">
        <f>VLOOKUP(Table1[[#This Row],[Reference]],metron,19,FALSE)</f>
        <v>7.636668351286878</v>
      </c>
      <c r="CF230" s="6">
        <f>VLOOKUP(Table1[[#This Row],[Reference]],metron,20,FALSE)</f>
        <v>5.4876488106019847</v>
      </c>
      <c r="CG230" s="6">
        <f>VLOOKUP(Table1[[#This Row],[Reference]],metron,21,FALSE)</f>
        <v>12.460420531849101</v>
      </c>
      <c r="CH230" s="6">
        <f>VLOOKUP(Table1[[#This Row],[Reference]],metron,22,FALSE)</f>
        <v>13.44897959183673</v>
      </c>
      <c r="CI230" s="6">
        <f>VLOOKUP(Table1[[#This Row],[Reference]],metron,23,FALSE)</f>
        <v>1.462202380952381</v>
      </c>
      <c r="CJ230" s="6">
        <f>VLOOKUP(Table1[[#This Row],[Reference]],metron,24,FALSE)</f>
        <v>2.01547619047619</v>
      </c>
      <c r="CK230" s="6">
        <f>VLOOKUP(Table1[[#This Row],[Reference]],metron,25,FALSE)</f>
        <v>7.7380952380952384E-2</v>
      </c>
      <c r="CL230" s="6">
        <f>VLOOKUP(Table1[[#This Row],[Reference]],metron,26,FALSE)</f>
        <v>0.13754093480202439</v>
      </c>
    </row>
    <row r="231" spans="1:90" hidden="1" x14ac:dyDescent="0.45">
      <c r="A231" t="s">
        <v>695</v>
      </c>
      <c r="B231">
        <v>1645923600</v>
      </c>
      <c r="C231" s="23" t="s">
        <v>509</v>
      </c>
      <c r="D231" t="s">
        <v>65</v>
      </c>
      <c r="E231" t="s">
        <v>66</v>
      </c>
      <c r="F231" t="s">
        <v>90</v>
      </c>
      <c r="G231" t="s">
        <v>102</v>
      </c>
      <c r="H231" t="s">
        <v>130</v>
      </c>
      <c r="I231">
        <f>MROUND(Table1[[#This Row],[ProbH]]*100,2)/100</f>
        <v>0.42</v>
      </c>
      <c r="J231">
        <f>1/Table1[[#This Row],[odds_ft_home_team_win]]-Table1[[#This Row],[Margin]]</f>
        <v>0.41215357233663874</v>
      </c>
      <c r="K231">
        <f>1/Table1[[#This Row],[odds_ft_draw]]-Table1[[#This Row],[Margin]]</f>
        <v>0.26341215357233666</v>
      </c>
      <c r="L231">
        <f>1/Table1[[#This Row],[odds_ft_away_team_win]]-Table1[[#This Row],[Margin]]</f>
        <v>0.32443427409102465</v>
      </c>
      <c r="M231">
        <v>7</v>
      </c>
      <c r="N231">
        <v>1.36</v>
      </c>
      <c r="O231">
        <v>1.64</v>
      </c>
      <c r="P231">
        <v>1.47</v>
      </c>
      <c r="Q231">
        <v>1.42</v>
      </c>
      <c r="R231" t="str" cm="1">
        <f t="array" ref="R2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1">
        <v>2</v>
      </c>
      <c r="T231">
        <v>3</v>
      </c>
      <c r="U231">
        <v>5</v>
      </c>
      <c r="V231">
        <v>2</v>
      </c>
      <c r="W231">
        <v>2</v>
      </c>
      <c r="X231">
        <v>0</v>
      </c>
      <c r="Y231" t="s">
        <v>510</v>
      </c>
      <c r="Z231" t="s">
        <v>511</v>
      </c>
      <c r="AA231">
        <v>3</v>
      </c>
      <c r="AB231">
        <v>5</v>
      </c>
      <c r="AC231">
        <v>4</v>
      </c>
      <c r="AD231">
        <v>1</v>
      </c>
      <c r="AE231">
        <v>1</v>
      </c>
      <c r="AF231">
        <v>0</v>
      </c>
      <c r="AG231">
        <v>1</v>
      </c>
      <c r="AH231">
        <v>4</v>
      </c>
      <c r="AI231">
        <v>1</v>
      </c>
      <c r="AJ231">
        <v>0</v>
      </c>
      <c r="AK231">
        <v>12</v>
      </c>
      <c r="AL231">
        <v>9</v>
      </c>
      <c r="AM231">
        <v>5</v>
      </c>
      <c r="AN231">
        <v>3</v>
      </c>
      <c r="AO231">
        <v>7</v>
      </c>
      <c r="AP231">
        <v>6</v>
      </c>
      <c r="AQ231">
        <v>5</v>
      </c>
      <c r="AR231">
        <v>15</v>
      </c>
      <c r="AS231">
        <v>51</v>
      </c>
      <c r="AT231">
        <v>49</v>
      </c>
      <c r="AU231">
        <v>1.43</v>
      </c>
      <c r="AV231">
        <v>0.99</v>
      </c>
      <c r="AW231">
        <v>2.19</v>
      </c>
      <c r="AX231">
        <v>41</v>
      </c>
      <c r="AY231">
        <v>82</v>
      </c>
      <c r="AZ231">
        <v>28</v>
      </c>
      <c r="BA231">
        <v>9</v>
      </c>
      <c r="BB231">
        <v>0</v>
      </c>
      <c r="BC231">
        <v>27</v>
      </c>
      <c r="BD231">
        <v>73</v>
      </c>
      <c r="BE231">
        <v>41</v>
      </c>
      <c r="BF231">
        <v>73</v>
      </c>
      <c r="BG231">
        <v>8.91</v>
      </c>
      <c r="BH231">
        <v>5.82</v>
      </c>
      <c r="BI231">
        <v>2.2799999999999998</v>
      </c>
      <c r="BJ231">
        <v>3.45</v>
      </c>
      <c r="BK231">
        <v>2.85</v>
      </c>
      <c r="BL231">
        <f>(1/Table1[[#This Row],[odds_ft_home_team_win]]+1/Table1[[#This Row],[odds_ft_draw]]+1/Table1[[#This Row],[odds_ft_away_team_win]]-1)/3</f>
        <v>2.6442918891431466E-2</v>
      </c>
      <c r="BM231">
        <v>1.44</v>
      </c>
      <c r="BN231">
        <v>2</v>
      </c>
      <c r="BO231">
        <v>4.5</v>
      </c>
      <c r="BP231">
        <v>7.5</v>
      </c>
      <c r="BQ231">
        <v>2</v>
      </c>
      <c r="BR231">
        <v>1.75</v>
      </c>
      <c r="BS231" t="s">
        <v>94</v>
      </c>
      <c r="BT231">
        <f>VLOOKUP(Table1[[#This Row],[Reference]],metron,8,FALSE)</f>
        <v>1.5780106027030405</v>
      </c>
      <c r="BU231">
        <f>VLOOKUP(Table1[[#This Row],[Reference]],metron,9,FALSE)</f>
        <v>1.1353025412447635</v>
      </c>
      <c r="BV231">
        <f>VLOOKUP(Table1[[#This Row],[Reference]],metron,10,FALSE)</f>
        <v>2.4884649511978703</v>
      </c>
      <c r="BW231">
        <f>VLOOKUP(Table1[[#This Row],[Reference]],metron,11,FALSE)</f>
        <v>1.396960958296362</v>
      </c>
      <c r="BX231">
        <f>VLOOKUP(Table1[[#This Row],[Reference]],metron,12,FALSE)</f>
        <v>1.091503992901508</v>
      </c>
      <c r="BY231" s="6">
        <f>VLOOKUP(Table1[[#This Row],[Reference]],metron,13,FALSE)</f>
        <v>0.60765391014975045</v>
      </c>
      <c r="BZ231" s="6">
        <f>VLOOKUP(Table1[[#This Row],[Reference]],metron,14,FALSE)</f>
        <v>0.47276760953965608</v>
      </c>
      <c r="CA231" s="6">
        <f>VLOOKUP(Table1[[#This Row],[Reference]],metron,15,FALSE)</f>
        <v>12.29504785684561</v>
      </c>
      <c r="CB231" s="6">
        <f>VLOOKUP(Table1[[#This Row],[Reference]],metron,16,FALSE)</f>
        <v>10.047232625884311</v>
      </c>
      <c r="CC231" s="6">
        <f>VLOOKUP(Table1[[#This Row],[Reference]],metron,17,FALSE)</f>
        <v>5.2917192097519967</v>
      </c>
      <c r="CD231" s="6">
        <f>VLOOKUP(Table1[[#This Row],[Reference]],metron,18,FALSE)</f>
        <v>4.2580916351408158</v>
      </c>
      <c r="CE231" s="6">
        <f>VLOOKUP(Table1[[#This Row],[Reference]],metron,19,FALSE)</f>
        <v>7.0033286470936131</v>
      </c>
      <c r="CF231" s="6">
        <f>VLOOKUP(Table1[[#This Row],[Reference]],metron,20,FALSE)</f>
        <v>5.789140990743495</v>
      </c>
      <c r="CG231" s="6">
        <f>VLOOKUP(Table1[[#This Row],[Reference]],metron,21,FALSE)</f>
        <v>12.77041895895049</v>
      </c>
      <c r="CH231" s="6">
        <f>VLOOKUP(Table1[[#This Row],[Reference]],metron,22,FALSE)</f>
        <v>13.411129919593741</v>
      </c>
      <c r="CI231" s="6">
        <f>VLOOKUP(Table1[[#This Row],[Reference]],metron,23,FALSE)</f>
        <v>1.556141062018646</v>
      </c>
      <c r="CJ231" s="6">
        <f>VLOOKUP(Table1[[#This Row],[Reference]],metron,24,FALSE)</f>
        <v>1.9114308877178761</v>
      </c>
      <c r="CK231" s="6">
        <f>VLOOKUP(Table1[[#This Row],[Reference]],metron,25,FALSE)</f>
        <v>8.4920956627482766E-2</v>
      </c>
      <c r="CL231" s="6">
        <f>VLOOKUP(Table1[[#This Row],[Reference]],metron,26,FALSE)</f>
        <v>0.1323469801378192</v>
      </c>
    </row>
    <row r="232" spans="1:90" hidden="1" x14ac:dyDescent="0.45">
      <c r="A232" t="s">
        <v>695</v>
      </c>
      <c r="B232">
        <v>1645930800</v>
      </c>
      <c r="C232" s="23" t="s">
        <v>512</v>
      </c>
      <c r="D232" t="s">
        <v>65</v>
      </c>
      <c r="E232" t="s">
        <v>66</v>
      </c>
      <c r="F232" t="s">
        <v>96</v>
      </c>
      <c r="G232" t="s">
        <v>68</v>
      </c>
      <c r="H232" t="s">
        <v>122</v>
      </c>
      <c r="I232">
        <f>MROUND(Table1[[#This Row],[ProbH]]*100,2)/100</f>
        <v>0.34</v>
      </c>
      <c r="J232">
        <f>1/Table1[[#This Row],[odds_ft_home_team_win]]-Table1[[#This Row],[Margin]]</f>
        <v>0.34847753376562413</v>
      </c>
      <c r="K232">
        <f>1/Table1[[#This Row],[odds_ft_draw]]-Table1[[#This Row],[Margin]]</f>
        <v>0.25563583940470203</v>
      </c>
      <c r="L232">
        <f>1/Table1[[#This Row],[odds_ft_away_team_win]]-Table1[[#This Row],[Margin]]</f>
        <v>0.39588662682967374</v>
      </c>
      <c r="M232">
        <v>7</v>
      </c>
      <c r="N232">
        <v>1.57</v>
      </c>
      <c r="O232">
        <v>1.42</v>
      </c>
      <c r="P232">
        <v>1.58</v>
      </c>
      <c r="Q232">
        <v>1.53</v>
      </c>
      <c r="R232" t="str" cm="1">
        <f t="array" ref="R2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AA232">
        <v>5</v>
      </c>
      <c r="AB232">
        <v>5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2</v>
      </c>
      <c r="AI232">
        <v>0</v>
      </c>
      <c r="AJ232">
        <v>1</v>
      </c>
      <c r="AK232">
        <v>8</v>
      </c>
      <c r="AL232">
        <v>12</v>
      </c>
      <c r="AM232">
        <v>3</v>
      </c>
      <c r="AN232">
        <v>5</v>
      </c>
      <c r="AO232">
        <v>5</v>
      </c>
      <c r="AP232">
        <v>7</v>
      </c>
      <c r="AQ232">
        <v>16</v>
      </c>
      <c r="AR232">
        <v>14</v>
      </c>
      <c r="AS232">
        <v>48</v>
      </c>
      <c r="AT232">
        <v>52</v>
      </c>
      <c r="AU232">
        <v>0.92</v>
      </c>
      <c r="AV232">
        <v>1.48</v>
      </c>
      <c r="AW232">
        <v>2.27</v>
      </c>
      <c r="AX232">
        <v>52</v>
      </c>
      <c r="AY232">
        <v>62</v>
      </c>
      <c r="AZ232">
        <v>46</v>
      </c>
      <c r="BA232">
        <v>23</v>
      </c>
      <c r="BB232">
        <v>11</v>
      </c>
      <c r="BC232">
        <v>40</v>
      </c>
      <c r="BD232">
        <v>62</v>
      </c>
      <c r="BE232">
        <v>26</v>
      </c>
      <c r="BF232">
        <v>58</v>
      </c>
      <c r="BG232">
        <v>9.2899999999999991</v>
      </c>
      <c r="BH232">
        <v>4.8899999999999997</v>
      </c>
      <c r="BI232">
        <v>2.67</v>
      </c>
      <c r="BJ232">
        <v>3.55</v>
      </c>
      <c r="BK232">
        <v>2.37</v>
      </c>
      <c r="BL232">
        <f>(1/Table1[[#This Row],[odds_ft_home_team_win]]+1/Table1[[#This Row],[odds_ft_draw]]+1/Table1[[#This Row],[odds_ft_away_team_win]]-1)/3</f>
        <v>2.6054301440368393E-2</v>
      </c>
      <c r="BM232">
        <v>1.28</v>
      </c>
      <c r="BN232">
        <v>1.95</v>
      </c>
      <c r="BO232">
        <v>3.3</v>
      </c>
      <c r="BP232">
        <v>5.5</v>
      </c>
      <c r="BQ232">
        <v>1.7</v>
      </c>
      <c r="BR232">
        <v>2.0499999999999998</v>
      </c>
      <c r="BS232" t="s">
        <v>99</v>
      </c>
      <c r="BT232">
        <f>VLOOKUP(Table1[[#This Row],[Reference]],metron,8,FALSE)</f>
        <v>1.3382439854569812</v>
      </c>
      <c r="BU232">
        <f>VLOOKUP(Table1[[#This Row],[Reference]],metron,9,FALSE)</f>
        <v>1.3740319615582339</v>
      </c>
      <c r="BV232">
        <f>VLOOKUP(Table1[[#This Row],[Reference]],metron,10,FALSE)</f>
        <v>2.5229727551184897</v>
      </c>
      <c r="BW232">
        <f>VLOOKUP(Table1[[#This Row],[Reference]],metron,11,FALSE)</f>
        <v>1.228921489601805</v>
      </c>
      <c r="BX232">
        <f>VLOOKUP(Table1[[#This Row],[Reference]],metron,12,FALSE)</f>
        <v>1.2940512655166849</v>
      </c>
      <c r="BY232" s="6">
        <f>VLOOKUP(Table1[[#This Row],[Reference]],metron,13,FALSE)</f>
        <v>0.53240890035472432</v>
      </c>
      <c r="BZ232" s="6">
        <f>VLOOKUP(Table1[[#This Row],[Reference]],metron,14,FALSE)</f>
        <v>0.56514027732989358</v>
      </c>
      <c r="CA232" s="6">
        <f>VLOOKUP(Table1[[#This Row],[Reference]],metron,15,FALSE)</f>
        <v>11.417888124439131</v>
      </c>
      <c r="CB232" s="6">
        <f>VLOOKUP(Table1[[#This Row],[Reference]],metron,16,FALSE)</f>
        <v>10.76308704756207</v>
      </c>
      <c r="CC232" s="6">
        <f>VLOOKUP(Table1[[#This Row],[Reference]],metron,17,FALSE)</f>
        <v>4.8317672021824798</v>
      </c>
      <c r="CD232" s="6">
        <f>VLOOKUP(Table1[[#This Row],[Reference]],metron,18,FALSE)</f>
        <v>4.6698999696877843</v>
      </c>
      <c r="CE232" s="6">
        <f>VLOOKUP(Table1[[#This Row],[Reference]],metron,19,FALSE)</f>
        <v>6.5861209222566508</v>
      </c>
      <c r="CF232" s="6">
        <f>VLOOKUP(Table1[[#This Row],[Reference]],metron,20,FALSE)</f>
        <v>6.093187077874286</v>
      </c>
      <c r="CG232" s="6">
        <f>VLOOKUP(Table1[[#This Row],[Reference]],metron,21,FALSE)</f>
        <v>12.685679611650491</v>
      </c>
      <c r="CH232" s="6">
        <f>VLOOKUP(Table1[[#This Row],[Reference]],metron,22,FALSE)</f>
        <v>13.02639563106796</v>
      </c>
      <c r="CI232" s="6">
        <f>VLOOKUP(Table1[[#This Row],[Reference]],metron,23,FALSE)</f>
        <v>1.6481211768132831</v>
      </c>
      <c r="CJ232" s="6">
        <f>VLOOKUP(Table1[[#This Row],[Reference]],metron,24,FALSE)</f>
        <v>1.8572676958928049</v>
      </c>
      <c r="CK232" s="6">
        <f>VLOOKUP(Table1[[#This Row],[Reference]],metron,25,FALSE)</f>
        <v>9.641712787649287E-2</v>
      </c>
      <c r="CL232" s="6">
        <f>VLOOKUP(Table1[[#This Row],[Reference]],metron,26,FALSE)</f>
        <v>0.11302068161957469</v>
      </c>
    </row>
    <row r="233" spans="1:90" hidden="1" x14ac:dyDescent="0.45">
      <c r="A233" t="s">
        <v>695</v>
      </c>
      <c r="B233">
        <v>1646010000</v>
      </c>
      <c r="C233" s="23" t="s">
        <v>513</v>
      </c>
      <c r="D233" t="s">
        <v>65</v>
      </c>
      <c r="E233" t="s">
        <v>66</v>
      </c>
      <c r="F233" t="s">
        <v>112</v>
      </c>
      <c r="G233" t="s">
        <v>73</v>
      </c>
      <c r="H233" t="s">
        <v>158</v>
      </c>
      <c r="I233">
        <f>MROUND(Table1[[#This Row],[ProbH]]*100,2)/100</f>
        <v>0.46</v>
      </c>
      <c r="J233">
        <f>1/Table1[[#This Row],[odds_ft_home_team_win]]-Table1[[#This Row],[Margin]]</f>
        <v>0.46031746031746029</v>
      </c>
      <c r="K233">
        <f>1/Table1[[#This Row],[odds_ft_draw]]-Table1[[#This Row],[Margin]]</f>
        <v>0.29365079365079361</v>
      </c>
      <c r="L233">
        <f>1/Table1[[#This Row],[odds_ft_away_team_win]]-Table1[[#This Row],[Margin]]</f>
        <v>0.24603174603174602</v>
      </c>
      <c r="M233">
        <v>7</v>
      </c>
      <c r="N233">
        <v>1.5</v>
      </c>
      <c r="O233">
        <v>1.08</v>
      </c>
      <c r="P233">
        <v>1.25</v>
      </c>
      <c r="Q233">
        <v>1.1100000000000001</v>
      </c>
      <c r="R233" s="9" t="str" cm="1">
        <f t="array" ref="R2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3">
        <v>1</v>
      </c>
      <c r="T233">
        <v>2</v>
      </c>
      <c r="U233">
        <v>3</v>
      </c>
      <c r="V233">
        <v>1</v>
      </c>
      <c r="W233">
        <v>0</v>
      </c>
      <c r="X233">
        <v>1</v>
      </c>
      <c r="Y233">
        <v>64</v>
      </c>
      <c r="Z233" t="s">
        <v>514</v>
      </c>
      <c r="AA233">
        <v>12</v>
      </c>
      <c r="AB233">
        <v>8</v>
      </c>
      <c r="AC233">
        <v>2</v>
      </c>
      <c r="AD233">
        <v>0</v>
      </c>
      <c r="AE233">
        <v>3</v>
      </c>
      <c r="AF233">
        <v>0</v>
      </c>
      <c r="AG233">
        <v>0</v>
      </c>
      <c r="AH233">
        <v>2</v>
      </c>
      <c r="AI233">
        <v>1</v>
      </c>
      <c r="AJ233">
        <v>2</v>
      </c>
      <c r="AK233">
        <v>16</v>
      </c>
      <c r="AL233">
        <v>15</v>
      </c>
      <c r="AM233">
        <v>11</v>
      </c>
      <c r="AN233">
        <v>7</v>
      </c>
      <c r="AO233">
        <v>5</v>
      </c>
      <c r="AP233">
        <v>8</v>
      </c>
      <c r="AQ233">
        <v>12</v>
      </c>
      <c r="AR233">
        <v>13</v>
      </c>
      <c r="AS233">
        <v>57</v>
      </c>
      <c r="AT233">
        <v>43</v>
      </c>
      <c r="AU233">
        <v>2.2200000000000002</v>
      </c>
      <c r="AV233">
        <v>1.72</v>
      </c>
      <c r="AW233">
        <v>2.5</v>
      </c>
      <c r="AX233">
        <v>59</v>
      </c>
      <c r="AY233">
        <v>83</v>
      </c>
      <c r="AZ233">
        <v>46</v>
      </c>
      <c r="BA233">
        <v>17</v>
      </c>
      <c r="BB233">
        <v>8</v>
      </c>
      <c r="BC233">
        <v>29</v>
      </c>
      <c r="BD233">
        <v>80</v>
      </c>
      <c r="BE233">
        <v>42</v>
      </c>
      <c r="BF233">
        <v>84</v>
      </c>
      <c r="BG233">
        <v>11.17</v>
      </c>
      <c r="BH233">
        <v>5.16</v>
      </c>
      <c r="BI233">
        <v>2</v>
      </c>
      <c r="BJ233">
        <v>3</v>
      </c>
      <c r="BK233">
        <v>3.5</v>
      </c>
      <c r="BL233">
        <f>(1/Table1[[#This Row],[odds_ft_home_team_win]]+1/Table1[[#This Row],[odds_ft_draw]]+1/Table1[[#This Row],[odds_ft_away_team_win]]-1)/3</f>
        <v>3.9682539682539687E-2</v>
      </c>
      <c r="BM233">
        <v>1.38</v>
      </c>
      <c r="BN233">
        <v>2.15</v>
      </c>
      <c r="BO233">
        <v>4</v>
      </c>
      <c r="BP233">
        <v>7.5</v>
      </c>
      <c r="BQ233">
        <v>1.95</v>
      </c>
      <c r="BR233">
        <v>1.8</v>
      </c>
      <c r="BS233" t="s">
        <v>116</v>
      </c>
      <c r="BT233">
        <f>VLOOKUP(Table1[[#This Row],[Reference]],metron,8,FALSE)</f>
        <v>1.6955772349985931</v>
      </c>
      <c r="BU233">
        <f>VLOOKUP(Table1[[#This Row],[Reference]],metron,9,FALSE)</f>
        <v>1.0239029519551039</v>
      </c>
      <c r="BV233">
        <f>VLOOKUP(Table1[[#This Row],[Reference]],metron,10,FALSE)</f>
        <v>2.5405629139072849</v>
      </c>
      <c r="BW233">
        <f>VLOOKUP(Table1[[#This Row],[Reference]],metron,11,FALSE)</f>
        <v>1.4888836329233679</v>
      </c>
      <c r="BX233">
        <f>VLOOKUP(Table1[[#This Row],[Reference]],metron,12,FALSE)</f>
        <v>1.0516792809839171</v>
      </c>
      <c r="BY233" s="6">
        <f>VLOOKUP(Table1[[#This Row],[Reference]],metron,13,FALSE)</f>
        <v>0.64581362346263005</v>
      </c>
      <c r="BZ233" s="6">
        <f>VLOOKUP(Table1[[#This Row],[Reference]],metron,14,FALSE)</f>
        <v>0.45364238410596031</v>
      </c>
      <c r="CA233" s="6">
        <f>VLOOKUP(Table1[[#This Row],[Reference]],metron,15,FALSE)</f>
        <v>12.686892177589851</v>
      </c>
      <c r="CB233" s="6">
        <f>VLOOKUP(Table1[[#This Row],[Reference]],metron,16,FALSE)</f>
        <v>9.8059196617336148</v>
      </c>
      <c r="CC233" s="6">
        <f>VLOOKUP(Table1[[#This Row],[Reference]],metron,17,FALSE)</f>
        <v>5.3198121263877027</v>
      </c>
      <c r="CD233" s="6">
        <f>VLOOKUP(Table1[[#This Row],[Reference]],metron,18,FALSE)</f>
        <v>4.0954312553373189</v>
      </c>
      <c r="CE233" s="6">
        <f>VLOOKUP(Table1[[#This Row],[Reference]],metron,19,FALSE)</f>
        <v>7.3670800512021479</v>
      </c>
      <c r="CF233" s="6">
        <f>VLOOKUP(Table1[[#This Row],[Reference]],metron,20,FALSE)</f>
        <v>5.710488406396296</v>
      </c>
      <c r="CG233" s="6">
        <f>VLOOKUP(Table1[[#This Row],[Reference]],metron,21,FALSE)</f>
        <v>13.0488908033599</v>
      </c>
      <c r="CH233" s="6">
        <f>VLOOKUP(Table1[[#This Row],[Reference]],metron,22,FALSE)</f>
        <v>13.714839543398661</v>
      </c>
      <c r="CI233" s="6">
        <f>VLOOKUP(Table1[[#This Row],[Reference]],metron,23,FALSE)</f>
        <v>1.567523459812322</v>
      </c>
      <c r="CJ233" s="6">
        <f>VLOOKUP(Table1[[#This Row],[Reference]],metron,24,FALSE)</f>
        <v>1.951040391676867</v>
      </c>
      <c r="CK233" s="6">
        <f>VLOOKUP(Table1[[#This Row],[Reference]],metron,25,FALSE)</f>
        <v>8.3027335781313744E-2</v>
      </c>
      <c r="CL233" s="6">
        <f>VLOOKUP(Table1[[#This Row],[Reference]],metron,26,FALSE)</f>
        <v>0.13117095063239501</v>
      </c>
    </row>
    <row r="234" spans="1:90" hidden="1" x14ac:dyDescent="0.45">
      <c r="A234" t="s">
        <v>695</v>
      </c>
      <c r="B234">
        <v>1646182800</v>
      </c>
      <c r="C234" s="23" t="s">
        <v>515</v>
      </c>
      <c r="D234" t="s">
        <v>65</v>
      </c>
      <c r="E234" t="s">
        <v>66</v>
      </c>
      <c r="F234" t="s">
        <v>79</v>
      </c>
      <c r="G234" t="s">
        <v>106</v>
      </c>
      <c r="H234" t="s">
        <v>66</v>
      </c>
      <c r="I234">
        <f>MROUND(Table1[[#This Row],[ProbH]]*100,2)/100</f>
        <v>0.48</v>
      </c>
      <c r="J234">
        <f>1/Table1[[#This Row],[odds_ft_home_team_win]]-Table1[[#This Row],[Margin]]</f>
        <v>0.48232894114890168</v>
      </c>
      <c r="K234">
        <f>1/Table1[[#This Row],[odds_ft_draw]]-Table1[[#This Row],[Margin]]</f>
        <v>0.27347346913553494</v>
      </c>
      <c r="L234">
        <f>1/Table1[[#This Row],[odds_ft_away_team_win]]-Table1[[#This Row],[Margin]]</f>
        <v>0.24419758971556332</v>
      </c>
      <c r="M234">
        <v>8</v>
      </c>
      <c r="N234">
        <v>1.45</v>
      </c>
      <c r="O234">
        <v>0.45</v>
      </c>
      <c r="P234">
        <v>1.17</v>
      </c>
      <c r="Q234">
        <v>0.53</v>
      </c>
      <c r="R234" t="str" cm="1">
        <f t="array" ref="R2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4">
        <v>1</v>
      </c>
      <c r="T234">
        <v>2</v>
      </c>
      <c r="U234">
        <v>3</v>
      </c>
      <c r="V234">
        <v>2</v>
      </c>
      <c r="W234">
        <v>1</v>
      </c>
      <c r="X234">
        <v>1</v>
      </c>
      <c r="Y234">
        <v>39</v>
      </c>
      <c r="Z234" t="s">
        <v>516</v>
      </c>
      <c r="AA234">
        <v>9</v>
      </c>
      <c r="AB234">
        <v>1</v>
      </c>
      <c r="AC234">
        <v>3</v>
      </c>
      <c r="AD234">
        <v>0</v>
      </c>
      <c r="AE234">
        <v>4</v>
      </c>
      <c r="AF234">
        <v>0</v>
      </c>
      <c r="AG234">
        <v>2</v>
      </c>
      <c r="AH234">
        <v>1</v>
      </c>
      <c r="AI234">
        <v>3</v>
      </c>
      <c r="AJ234">
        <v>1</v>
      </c>
      <c r="AK234">
        <v>10</v>
      </c>
      <c r="AL234">
        <v>4</v>
      </c>
      <c r="AM234">
        <v>2</v>
      </c>
      <c r="AN234">
        <v>2</v>
      </c>
      <c r="AO234">
        <v>8</v>
      </c>
      <c r="AP234">
        <v>2</v>
      </c>
      <c r="AQ234">
        <v>7</v>
      </c>
      <c r="AR234">
        <v>9</v>
      </c>
      <c r="AS234">
        <v>64</v>
      </c>
      <c r="AT234">
        <v>36</v>
      </c>
      <c r="AU234">
        <v>1.18</v>
      </c>
      <c r="AV234">
        <v>0.54</v>
      </c>
      <c r="AW234">
        <v>2.96</v>
      </c>
      <c r="AX234">
        <v>73</v>
      </c>
      <c r="AY234">
        <v>96</v>
      </c>
      <c r="AZ234">
        <v>59</v>
      </c>
      <c r="BA234">
        <v>36</v>
      </c>
      <c r="BB234">
        <v>9</v>
      </c>
      <c r="BC234">
        <v>41</v>
      </c>
      <c r="BD234">
        <v>78</v>
      </c>
      <c r="BE234">
        <v>50</v>
      </c>
      <c r="BF234">
        <v>82</v>
      </c>
      <c r="BG234">
        <v>7.63</v>
      </c>
      <c r="BH234">
        <v>5.55</v>
      </c>
      <c r="BI234">
        <v>1.9</v>
      </c>
      <c r="BJ234">
        <v>3.15</v>
      </c>
      <c r="BK234">
        <v>3.47</v>
      </c>
      <c r="BL234">
        <f>(1/Table1[[#This Row],[odds_ft_home_team_win]]+1/Table1[[#This Row],[odds_ft_draw]]+1/Table1[[#This Row],[odds_ft_away_team_win]]-1)/3</f>
        <v>4.3986848324782502E-2</v>
      </c>
      <c r="BM234">
        <v>1.36</v>
      </c>
      <c r="BN234">
        <v>1.99</v>
      </c>
      <c r="BO234">
        <v>3.75</v>
      </c>
      <c r="BP234">
        <v>7</v>
      </c>
      <c r="BQ234">
        <v>1.91</v>
      </c>
      <c r="BR234">
        <v>1.91</v>
      </c>
      <c r="BS234" t="s">
        <v>140</v>
      </c>
      <c r="BT234">
        <f>VLOOKUP(Table1[[#This Row],[Reference]],metron,8,FALSE)</f>
        <v>1.743992017160418</v>
      </c>
      <c r="BU234">
        <f>VLOOKUP(Table1[[#This Row],[Reference]],metron,9,FALSE)</f>
        <v>0.97803937284245479</v>
      </c>
      <c r="BV234">
        <f>VLOOKUP(Table1[[#This Row],[Reference]],metron,10,FALSE)</f>
        <v>2.5271929824561399</v>
      </c>
      <c r="BW234">
        <f>VLOOKUP(Table1[[#This Row],[Reference]],metron,11,FALSE)</f>
        <v>1.510877192982456</v>
      </c>
      <c r="BX234">
        <f>VLOOKUP(Table1[[#This Row],[Reference]],metron,12,FALSE)</f>
        <v>1.0163157894736841</v>
      </c>
      <c r="BY234" s="6">
        <f>VLOOKUP(Table1[[#This Row],[Reference]],metron,13,FALSE)</f>
        <v>0.67350877192982461</v>
      </c>
      <c r="BZ234" s="6">
        <f>VLOOKUP(Table1[[#This Row],[Reference]],metron,14,FALSE)</f>
        <v>0.4442105263157895</v>
      </c>
      <c r="CA234" s="6">
        <f>VLOOKUP(Table1[[#This Row],[Reference]],metron,15,FALSE)</f>
        <v>12.80980392156863</v>
      </c>
      <c r="CB234" s="6">
        <f>VLOOKUP(Table1[[#This Row],[Reference]],metron,16,FALSE)</f>
        <v>9.6872549019607845</v>
      </c>
      <c r="CC234" s="6">
        <f>VLOOKUP(Table1[[#This Row],[Reference]],metron,17,FALSE)</f>
        <v>5.6491169610129957</v>
      </c>
      <c r="CD234" s="6">
        <f>VLOOKUP(Table1[[#This Row],[Reference]],metron,18,FALSE)</f>
        <v>4.1379540153282237</v>
      </c>
      <c r="CE234" s="6">
        <f>VLOOKUP(Table1[[#This Row],[Reference]],metron,19,FALSE)</f>
        <v>7.1606869605556343</v>
      </c>
      <c r="CF234" s="6">
        <f>VLOOKUP(Table1[[#This Row],[Reference]],metron,20,FALSE)</f>
        <v>5.5493008866325608</v>
      </c>
      <c r="CG234" s="6">
        <f>VLOOKUP(Table1[[#This Row],[Reference]],metron,21,FALSE)</f>
        <v>12.9029029029029</v>
      </c>
      <c r="CH234" s="6">
        <f>VLOOKUP(Table1[[#This Row],[Reference]],metron,22,FALSE)</f>
        <v>13.75508842175509</v>
      </c>
      <c r="CI234" s="6">
        <f>VLOOKUP(Table1[[#This Row],[Reference]],metron,23,FALSE)</f>
        <v>1.5287356321839081</v>
      </c>
      <c r="CJ234" s="6">
        <f>VLOOKUP(Table1[[#This Row],[Reference]],metron,24,FALSE)</f>
        <v>1.9664750957854411</v>
      </c>
      <c r="CK234" s="6">
        <f>VLOOKUP(Table1[[#This Row],[Reference]],metron,25,FALSE)</f>
        <v>8.8441890166028103E-2</v>
      </c>
      <c r="CL234" s="6">
        <f>VLOOKUP(Table1[[#This Row],[Reference]],metron,26,FALSE)</f>
        <v>0.13409961685823751</v>
      </c>
    </row>
    <row r="235" spans="1:90" hidden="1" x14ac:dyDescent="0.45">
      <c r="A235" t="s">
        <v>695</v>
      </c>
      <c r="B235">
        <v>1646182800</v>
      </c>
      <c r="C235" s="23" t="s">
        <v>515</v>
      </c>
      <c r="D235" t="s">
        <v>65</v>
      </c>
      <c r="E235" t="s">
        <v>66</v>
      </c>
      <c r="F235" t="s">
        <v>102</v>
      </c>
      <c r="G235" t="s">
        <v>78</v>
      </c>
      <c r="H235" t="s">
        <v>66</v>
      </c>
      <c r="I235">
        <f>MROUND(Table1[[#This Row],[ProbH]]*100,2)/100</f>
        <v>0.57999999999999996</v>
      </c>
      <c r="J235">
        <f>1/Table1[[#This Row],[odds_ft_home_team_win]]-Table1[[#This Row],[Margin]]</f>
        <v>0.58572017777220631</v>
      </c>
      <c r="K235">
        <f>1/Table1[[#This Row],[odds_ft_draw]]-Table1[[#This Row],[Margin]]</f>
        <v>0.2570896604624438</v>
      </c>
      <c r="L235">
        <f>1/Table1[[#This Row],[odds_ft_away_team_win]]-Table1[[#This Row],[Margin]]</f>
        <v>0.15719016176534986</v>
      </c>
      <c r="M235">
        <v>8</v>
      </c>
      <c r="N235">
        <v>1.6</v>
      </c>
      <c r="O235">
        <v>0.73</v>
      </c>
      <c r="P235">
        <v>1.38</v>
      </c>
      <c r="Q235">
        <v>0.71</v>
      </c>
      <c r="R235" t="str" cm="1">
        <f t="array" ref="R2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0</v>
      </c>
      <c r="Y235">
        <v>70</v>
      </c>
      <c r="Z235">
        <v>49</v>
      </c>
      <c r="AA235">
        <v>3</v>
      </c>
      <c r="AB235">
        <v>3</v>
      </c>
      <c r="AC235">
        <v>4</v>
      </c>
      <c r="AD235">
        <v>0</v>
      </c>
      <c r="AE235">
        <v>3</v>
      </c>
      <c r="AF235">
        <v>0</v>
      </c>
      <c r="AG235">
        <v>2</v>
      </c>
      <c r="AH235">
        <v>2</v>
      </c>
      <c r="AI235">
        <v>1</v>
      </c>
      <c r="AJ235">
        <v>2</v>
      </c>
      <c r="AK235">
        <v>8</v>
      </c>
      <c r="AL235">
        <v>3</v>
      </c>
      <c r="AM235">
        <v>3</v>
      </c>
      <c r="AN235">
        <v>2</v>
      </c>
      <c r="AO235">
        <v>5</v>
      </c>
      <c r="AP235">
        <v>1</v>
      </c>
      <c r="AQ235">
        <v>20</v>
      </c>
      <c r="AR235">
        <v>14</v>
      </c>
      <c r="AS235">
        <v>67</v>
      </c>
      <c r="AT235">
        <v>33</v>
      </c>
      <c r="AU235">
        <v>1.1399999999999999</v>
      </c>
      <c r="AV235">
        <v>0.53</v>
      </c>
      <c r="AW235">
        <v>2.14</v>
      </c>
      <c r="AX235">
        <v>44</v>
      </c>
      <c r="AY235">
        <v>64</v>
      </c>
      <c r="AZ235">
        <v>30</v>
      </c>
      <c r="BA235">
        <v>19</v>
      </c>
      <c r="BB235">
        <v>0</v>
      </c>
      <c r="BC235">
        <v>26</v>
      </c>
      <c r="BD235">
        <v>53</v>
      </c>
      <c r="BE235">
        <v>43</v>
      </c>
      <c r="BF235">
        <v>86</v>
      </c>
      <c r="BG235">
        <v>8.67</v>
      </c>
      <c r="BH235">
        <v>4.78</v>
      </c>
      <c r="BI235">
        <v>1.59</v>
      </c>
      <c r="BJ235">
        <v>3.33</v>
      </c>
      <c r="BK235">
        <v>4.99</v>
      </c>
      <c r="BL235">
        <f>(1/Table1[[#This Row],[odds_ft_home_team_win]]+1/Table1[[#This Row],[odds_ft_draw]]+1/Table1[[#This Row],[odds_ft_away_team_win]]-1)/3</f>
        <v>4.3210639837856522E-2</v>
      </c>
      <c r="BM235">
        <v>1.38</v>
      </c>
      <c r="BN235">
        <v>2.27</v>
      </c>
      <c r="BO235">
        <v>4.2</v>
      </c>
      <c r="BP235">
        <v>7.5</v>
      </c>
      <c r="BQ235">
        <v>2.1</v>
      </c>
      <c r="BR235">
        <v>1.67</v>
      </c>
      <c r="BS235" t="s">
        <v>124</v>
      </c>
      <c r="BT235">
        <f>VLOOKUP(Table1[[#This Row],[Reference]],metron,8,FALSE)</f>
        <v>2.0230889143600308</v>
      </c>
      <c r="BU235">
        <f>VLOOKUP(Table1[[#This Row],[Reference]],metron,9,FALSE)</f>
        <v>0.72731480520165426</v>
      </c>
      <c r="BV235">
        <f>VLOOKUP(Table1[[#This Row],[Reference]],metron,10,FALSE)</f>
        <v>2.6362999299229148</v>
      </c>
      <c r="BW235">
        <f>VLOOKUP(Table1[[#This Row],[Reference]],metron,11,FALSE)</f>
        <v>1.7619715019855171</v>
      </c>
      <c r="BX235">
        <f>VLOOKUP(Table1[[#This Row],[Reference]],metron,12,FALSE)</f>
        <v>0.87432842793739785</v>
      </c>
      <c r="BY235" s="6">
        <f>VLOOKUP(Table1[[#This Row],[Reference]],metron,13,FALSE)</f>
        <v>0.78411214953271025</v>
      </c>
      <c r="BZ235" s="6">
        <f>VLOOKUP(Table1[[#This Row],[Reference]],metron,14,FALSE)</f>
        <v>0.38060747663551397</v>
      </c>
      <c r="CA235" s="6">
        <f>VLOOKUP(Table1[[#This Row],[Reference]],metron,15,FALSE)</f>
        <v>14.215499378367181</v>
      </c>
      <c r="CB235" s="6">
        <f>VLOOKUP(Table1[[#This Row],[Reference]],metron,16,FALSE)</f>
        <v>8.9523612261806136</v>
      </c>
      <c r="CC235" s="6">
        <f>VLOOKUP(Table1[[#This Row],[Reference]],metron,17,FALSE)</f>
        <v>6.3083121289228163</v>
      </c>
      <c r="CD235" s="6">
        <f>VLOOKUP(Table1[[#This Row],[Reference]],metron,18,FALSE)</f>
        <v>3.7757524374735061</v>
      </c>
      <c r="CE235" s="6">
        <f>VLOOKUP(Table1[[#This Row],[Reference]],metron,19,FALSE)</f>
        <v>7.9071872494443642</v>
      </c>
      <c r="CF235" s="6">
        <f>VLOOKUP(Table1[[#This Row],[Reference]],metron,20,FALSE)</f>
        <v>5.1766087887071075</v>
      </c>
      <c r="CG235" s="6">
        <f>VLOOKUP(Table1[[#This Row],[Reference]],metron,21,FALSE)</f>
        <v>12.634239592183521</v>
      </c>
      <c r="CH235" s="6">
        <f>VLOOKUP(Table1[[#This Row],[Reference]],metron,22,FALSE)</f>
        <v>13.597706032285471</v>
      </c>
      <c r="CI235" s="6">
        <f>VLOOKUP(Table1[[#This Row],[Reference]],metron,23,FALSE)</f>
        <v>1.365400161681487</v>
      </c>
      <c r="CJ235" s="6">
        <f>VLOOKUP(Table1[[#This Row],[Reference]],metron,24,FALSE)</f>
        <v>1.963621665319321</v>
      </c>
      <c r="CK235" s="6">
        <f>VLOOKUP(Table1[[#This Row],[Reference]],metron,25,FALSE)</f>
        <v>7.1544058205335492E-2</v>
      </c>
      <c r="CL235" s="6">
        <f>VLOOKUP(Table1[[#This Row],[Reference]],metron,26,FALSE)</f>
        <v>0.1216653193209378</v>
      </c>
    </row>
    <row r="236" spans="1:90" hidden="1" x14ac:dyDescent="0.45">
      <c r="A236" t="s">
        <v>695</v>
      </c>
      <c r="B236">
        <v>1646190000</v>
      </c>
      <c r="C236" s="23" t="s">
        <v>517</v>
      </c>
      <c r="D236" t="s">
        <v>65</v>
      </c>
      <c r="E236" t="s">
        <v>66</v>
      </c>
      <c r="F236" t="s">
        <v>85</v>
      </c>
      <c r="G236" t="s">
        <v>101</v>
      </c>
      <c r="H236" t="s">
        <v>98</v>
      </c>
      <c r="I236">
        <f>MROUND(Table1[[#This Row],[ProbH]]*100,2)/100</f>
        <v>0.42</v>
      </c>
      <c r="J236">
        <f>1/Table1[[#This Row],[odds_ft_home_team_win]]-Table1[[#This Row],[Margin]]</f>
        <v>0.41527656623761283</v>
      </c>
      <c r="K236">
        <f>1/Table1[[#This Row],[odds_ft_draw]]-Table1[[#This Row],[Margin]]</f>
        <v>0.27604978779871142</v>
      </c>
      <c r="L236">
        <f>1/Table1[[#This Row],[odds_ft_away_team_win]]-Table1[[#This Row],[Margin]]</f>
        <v>0.30867364596367569</v>
      </c>
      <c r="M236">
        <v>8</v>
      </c>
      <c r="N236">
        <v>1.87</v>
      </c>
      <c r="O236">
        <v>1.1499999999999999</v>
      </c>
      <c r="P236">
        <v>1.55</v>
      </c>
      <c r="Q236">
        <v>1.05</v>
      </c>
      <c r="R236" t="str" cm="1">
        <f t="array" ref="R2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AA236">
        <v>4</v>
      </c>
      <c r="AB236">
        <v>7</v>
      </c>
      <c r="AC236">
        <v>2</v>
      </c>
      <c r="AD236">
        <v>0</v>
      </c>
      <c r="AE236">
        <v>3</v>
      </c>
      <c r="AF236">
        <v>0</v>
      </c>
      <c r="AG236">
        <v>1</v>
      </c>
      <c r="AH236">
        <v>1</v>
      </c>
      <c r="AI236">
        <v>2</v>
      </c>
      <c r="AJ236">
        <v>1</v>
      </c>
      <c r="AK236">
        <v>14</v>
      </c>
      <c r="AL236">
        <v>13</v>
      </c>
      <c r="AM236">
        <v>5</v>
      </c>
      <c r="AN236">
        <v>6</v>
      </c>
      <c r="AO236">
        <v>9</v>
      </c>
      <c r="AP236">
        <v>7</v>
      </c>
      <c r="AQ236">
        <v>9</v>
      </c>
      <c r="AR236">
        <v>15</v>
      </c>
      <c r="AS236">
        <v>61</v>
      </c>
      <c r="AT236">
        <v>39</v>
      </c>
      <c r="AU236">
        <v>1.5</v>
      </c>
      <c r="AV236">
        <v>1.51</v>
      </c>
      <c r="AW236">
        <v>2.4700000000000002</v>
      </c>
      <c r="AX236">
        <v>65</v>
      </c>
      <c r="AY236">
        <v>79</v>
      </c>
      <c r="AZ236">
        <v>50</v>
      </c>
      <c r="BA236">
        <v>19</v>
      </c>
      <c r="BB236">
        <v>8</v>
      </c>
      <c r="BC236">
        <v>33</v>
      </c>
      <c r="BD236">
        <v>82</v>
      </c>
      <c r="BE236">
        <v>36</v>
      </c>
      <c r="BF236">
        <v>75</v>
      </c>
      <c r="BG236">
        <v>9.81</v>
      </c>
      <c r="BH236">
        <v>5.47</v>
      </c>
      <c r="BI236">
        <v>2.1800000000000002</v>
      </c>
      <c r="BJ236">
        <v>3.13</v>
      </c>
      <c r="BK236">
        <v>2.84</v>
      </c>
      <c r="BL236">
        <f>(1/Table1[[#This Row],[odds_ft_home_team_win]]+1/Table1[[#This Row],[odds_ft_draw]]+1/Table1[[#This Row],[odds_ft_away_team_win]]-1)/3</f>
        <v>4.3439030092662367E-2</v>
      </c>
      <c r="BM236">
        <v>1.33</v>
      </c>
      <c r="BN236">
        <v>1.89</v>
      </c>
      <c r="BO236">
        <v>3.6</v>
      </c>
      <c r="BP236">
        <v>6.5</v>
      </c>
      <c r="BQ236">
        <v>1.8</v>
      </c>
      <c r="BR236">
        <v>1.95</v>
      </c>
      <c r="BS236" t="s">
        <v>128</v>
      </c>
      <c r="BT236">
        <f>VLOOKUP(Table1[[#This Row],[Reference]],metron,8,FALSE)</f>
        <v>1.5780106027030405</v>
      </c>
      <c r="BU236">
        <f>VLOOKUP(Table1[[#This Row],[Reference]],metron,9,FALSE)</f>
        <v>1.1353025412447635</v>
      </c>
      <c r="BV236">
        <f>VLOOKUP(Table1[[#This Row],[Reference]],metron,10,FALSE)</f>
        <v>2.4884649511978703</v>
      </c>
      <c r="BW236">
        <f>VLOOKUP(Table1[[#This Row],[Reference]],metron,11,FALSE)</f>
        <v>1.396960958296362</v>
      </c>
      <c r="BX236">
        <f>VLOOKUP(Table1[[#This Row],[Reference]],metron,12,FALSE)</f>
        <v>1.091503992901508</v>
      </c>
      <c r="BY236" s="6">
        <f>VLOOKUP(Table1[[#This Row],[Reference]],metron,13,FALSE)</f>
        <v>0.60765391014975045</v>
      </c>
      <c r="BZ236" s="6">
        <f>VLOOKUP(Table1[[#This Row],[Reference]],metron,14,FALSE)</f>
        <v>0.47276760953965608</v>
      </c>
      <c r="CA236" s="6">
        <f>VLOOKUP(Table1[[#This Row],[Reference]],metron,15,FALSE)</f>
        <v>12.29504785684561</v>
      </c>
      <c r="CB236" s="6">
        <f>VLOOKUP(Table1[[#This Row],[Reference]],metron,16,FALSE)</f>
        <v>10.047232625884311</v>
      </c>
      <c r="CC236" s="6">
        <f>VLOOKUP(Table1[[#This Row],[Reference]],metron,17,FALSE)</f>
        <v>5.2917192097519967</v>
      </c>
      <c r="CD236" s="6">
        <f>VLOOKUP(Table1[[#This Row],[Reference]],metron,18,FALSE)</f>
        <v>4.2580916351408158</v>
      </c>
      <c r="CE236" s="6">
        <f>VLOOKUP(Table1[[#This Row],[Reference]],metron,19,FALSE)</f>
        <v>7.0033286470936131</v>
      </c>
      <c r="CF236" s="6">
        <f>VLOOKUP(Table1[[#This Row],[Reference]],metron,20,FALSE)</f>
        <v>5.789140990743495</v>
      </c>
      <c r="CG236" s="6">
        <f>VLOOKUP(Table1[[#This Row],[Reference]],metron,21,FALSE)</f>
        <v>12.77041895895049</v>
      </c>
      <c r="CH236" s="6">
        <f>VLOOKUP(Table1[[#This Row],[Reference]],metron,22,FALSE)</f>
        <v>13.411129919593741</v>
      </c>
      <c r="CI236" s="6">
        <f>VLOOKUP(Table1[[#This Row],[Reference]],metron,23,FALSE)</f>
        <v>1.556141062018646</v>
      </c>
      <c r="CJ236" s="6">
        <f>VLOOKUP(Table1[[#This Row],[Reference]],metron,24,FALSE)</f>
        <v>1.9114308877178761</v>
      </c>
      <c r="CK236" s="6">
        <f>VLOOKUP(Table1[[#This Row],[Reference]],metron,25,FALSE)</f>
        <v>8.4920956627482766E-2</v>
      </c>
      <c r="CL236" s="6">
        <f>VLOOKUP(Table1[[#This Row],[Reference]],metron,26,FALSE)</f>
        <v>0.1323469801378192</v>
      </c>
    </row>
    <row r="237" spans="1:90" hidden="1" x14ac:dyDescent="0.45">
      <c r="A237" t="s">
        <v>695</v>
      </c>
      <c r="B237">
        <v>1646190000</v>
      </c>
      <c r="C237" s="23" t="s">
        <v>517</v>
      </c>
      <c r="D237" t="s">
        <v>65</v>
      </c>
      <c r="E237" t="s">
        <v>66</v>
      </c>
      <c r="F237" t="s">
        <v>113</v>
      </c>
      <c r="G237" t="s">
        <v>72</v>
      </c>
      <c r="H237" t="s">
        <v>114</v>
      </c>
      <c r="I237">
        <f>MROUND(Table1[[#This Row],[ProbH]]*100,2)/100</f>
        <v>0.36</v>
      </c>
      <c r="J237">
        <f>1/Table1[[#This Row],[odds_ft_home_team_win]]-Table1[[#This Row],[Margin]]</f>
        <v>0.3677851741442702</v>
      </c>
      <c r="K237">
        <f>1/Table1[[#This Row],[odds_ft_draw]]-Table1[[#This Row],[Margin]]</f>
        <v>0.26778902015019307</v>
      </c>
      <c r="L237">
        <f>1/Table1[[#This Row],[odds_ft_away_team_win]]-Table1[[#This Row],[Margin]]</f>
        <v>0.36442580570553668</v>
      </c>
      <c r="M237">
        <v>8</v>
      </c>
      <c r="N237">
        <v>1.75</v>
      </c>
      <c r="O237">
        <v>1.1499999999999999</v>
      </c>
      <c r="P237">
        <v>1.71</v>
      </c>
      <c r="Q237">
        <v>1.28</v>
      </c>
      <c r="R237" t="str" cm="1">
        <f t="array" ref="R2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AA237">
        <v>4</v>
      </c>
      <c r="AB237">
        <v>5</v>
      </c>
      <c r="AC237">
        <v>3</v>
      </c>
      <c r="AD237">
        <v>0</v>
      </c>
      <c r="AE237">
        <v>4</v>
      </c>
      <c r="AF237">
        <v>0</v>
      </c>
      <c r="AG237">
        <v>1</v>
      </c>
      <c r="AH237">
        <v>2</v>
      </c>
      <c r="AI237">
        <v>3</v>
      </c>
      <c r="AJ237">
        <v>1</v>
      </c>
      <c r="AK237">
        <v>6</v>
      </c>
      <c r="AL237">
        <v>12</v>
      </c>
      <c r="AM237">
        <v>2</v>
      </c>
      <c r="AN237">
        <v>5</v>
      </c>
      <c r="AO237">
        <v>4</v>
      </c>
      <c r="AP237">
        <v>7</v>
      </c>
      <c r="AQ237">
        <v>13</v>
      </c>
      <c r="AR237">
        <v>18</v>
      </c>
      <c r="AS237">
        <v>46</v>
      </c>
      <c r="AT237">
        <v>54</v>
      </c>
      <c r="AU237">
        <v>0.86</v>
      </c>
      <c r="AV237">
        <v>1.47</v>
      </c>
      <c r="AW237">
        <v>2.57</v>
      </c>
      <c r="AX237">
        <v>61</v>
      </c>
      <c r="AY237">
        <v>80</v>
      </c>
      <c r="AZ237">
        <v>61</v>
      </c>
      <c r="BA237">
        <v>17</v>
      </c>
      <c r="BB237">
        <v>4</v>
      </c>
      <c r="BC237">
        <v>29</v>
      </c>
      <c r="BD237">
        <v>76</v>
      </c>
      <c r="BE237">
        <v>56</v>
      </c>
      <c r="BF237">
        <v>84</v>
      </c>
      <c r="BG237">
        <v>7.08</v>
      </c>
      <c r="BH237">
        <v>5.69</v>
      </c>
      <c r="BI237">
        <v>2.4300000000000002</v>
      </c>
      <c r="BJ237">
        <v>3.21</v>
      </c>
      <c r="BK237">
        <v>2.4500000000000002</v>
      </c>
      <c r="BL237">
        <f>(1/Table1[[#This Row],[odds_ft_home_team_win]]+1/Table1[[#This Row],[odds_ft_draw]]+1/Table1[[#This Row],[odds_ft_away_team_win]]-1)/3</f>
        <v>4.3737459600585726E-2</v>
      </c>
      <c r="BM237">
        <v>0</v>
      </c>
      <c r="BN237">
        <v>1.82</v>
      </c>
      <c r="BO237">
        <v>0</v>
      </c>
      <c r="BP237">
        <v>0</v>
      </c>
      <c r="BQ237">
        <v>0</v>
      </c>
      <c r="BR237">
        <v>0</v>
      </c>
      <c r="BS237" t="s">
        <v>120</v>
      </c>
      <c r="BT237">
        <f>VLOOKUP(Table1[[#This Row],[Reference]],metron,8,FALSE)</f>
        <v>1.4023864615972674</v>
      </c>
      <c r="BU237">
        <f>VLOOKUP(Table1[[#This Row],[Reference]],metron,9,FALSE)</f>
        <v>1.3093265904245279</v>
      </c>
      <c r="BV237">
        <f>VLOOKUP(Table1[[#This Row],[Reference]],metron,10,FALSE)</f>
        <v>2.5110350525197691</v>
      </c>
      <c r="BW237">
        <f>VLOOKUP(Table1[[#This Row],[Reference]],metron,11,FALSE)</f>
        <v>1.269326094653606</v>
      </c>
      <c r="BX237">
        <f>VLOOKUP(Table1[[#This Row],[Reference]],metron,12,FALSE)</f>
        <v>1.2417089578661631</v>
      </c>
      <c r="BY237" s="6">
        <f>VLOOKUP(Table1[[#This Row],[Reference]],metron,13,FALSE)</f>
        <v>0.56586402266288949</v>
      </c>
      <c r="BZ237" s="6">
        <f>VLOOKUP(Table1[[#This Row],[Reference]],metron,14,FALSE)</f>
        <v>0.55158168083097259</v>
      </c>
      <c r="CA237" s="6">
        <f>VLOOKUP(Table1[[#This Row],[Reference]],metron,15,FALSE)</f>
        <v>11.49400826446281</v>
      </c>
      <c r="CB237" s="6">
        <f>VLOOKUP(Table1[[#This Row],[Reference]],metron,16,FALSE)</f>
        <v>10.507231404958681</v>
      </c>
      <c r="CC237" s="6">
        <f>VLOOKUP(Table1[[#This Row],[Reference]],metron,17,FALSE)</f>
        <v>4.9238790406673623</v>
      </c>
      <c r="CD237" s="6">
        <f>VLOOKUP(Table1[[#This Row],[Reference]],metron,18,FALSE)</f>
        <v>4.6296141814389991</v>
      </c>
      <c r="CE237" s="6">
        <f>VLOOKUP(Table1[[#This Row],[Reference]],metron,19,FALSE)</f>
        <v>6.5701292237954476</v>
      </c>
      <c r="CF237" s="6">
        <f>VLOOKUP(Table1[[#This Row],[Reference]],metron,20,FALSE)</f>
        <v>5.8776172235196817</v>
      </c>
      <c r="CG237" s="6">
        <f>VLOOKUP(Table1[[#This Row],[Reference]],metron,21,FALSE)</f>
        <v>12.798739495798319</v>
      </c>
      <c r="CH237" s="6">
        <f>VLOOKUP(Table1[[#This Row],[Reference]],metron,22,FALSE)</f>
        <v>12.98844537815126</v>
      </c>
      <c r="CI237" s="6">
        <f>VLOOKUP(Table1[[#This Row],[Reference]],metron,23,FALSE)</f>
        <v>1.604928297313674</v>
      </c>
      <c r="CJ237" s="6">
        <f>VLOOKUP(Table1[[#This Row],[Reference]],metron,24,FALSE)</f>
        <v>1.791961219955565</v>
      </c>
      <c r="CK237" s="6">
        <f>VLOOKUP(Table1[[#This Row],[Reference]],metron,25,FALSE)</f>
        <v>8.887093516461321E-2</v>
      </c>
      <c r="CL237" s="6">
        <f>VLOOKUP(Table1[[#This Row],[Reference]],metron,26,FALSE)</f>
        <v>0.11694607150070691</v>
      </c>
    </row>
    <row r="238" spans="1:90" hidden="1" x14ac:dyDescent="0.45">
      <c r="A238" t="s">
        <v>695</v>
      </c>
      <c r="B238">
        <v>1646190000</v>
      </c>
      <c r="C238" s="23" t="s">
        <v>517</v>
      </c>
      <c r="D238" t="s">
        <v>65</v>
      </c>
      <c r="E238" t="s">
        <v>66</v>
      </c>
      <c r="F238" t="s">
        <v>68</v>
      </c>
      <c r="G238" t="s">
        <v>67</v>
      </c>
      <c r="H238" t="s">
        <v>130</v>
      </c>
      <c r="I238">
        <f>MROUND(Table1[[#This Row],[ProbH]]*100,2)/100</f>
        <v>0.52</v>
      </c>
      <c r="J238">
        <f>1/Table1[[#This Row],[odds_ft_home_team_win]]-Table1[[#This Row],[Margin]]</f>
        <v>0.52828413173081301</v>
      </c>
      <c r="K238">
        <f>1/Table1[[#This Row],[odds_ft_draw]]-Table1[[#This Row],[Margin]]</f>
        <v>0.26360402655991028</v>
      </c>
      <c r="L238">
        <f>1/Table1[[#This Row],[odds_ft_away_team_win]]-Table1[[#This Row],[Margin]]</f>
        <v>0.20811184170927674</v>
      </c>
      <c r="M238">
        <v>8</v>
      </c>
      <c r="N238">
        <v>1.77</v>
      </c>
      <c r="O238">
        <v>0.57999999999999996</v>
      </c>
      <c r="P238">
        <v>1.9</v>
      </c>
      <c r="Q238">
        <v>0.65</v>
      </c>
      <c r="R238" t="str" cm="1">
        <f t="array" ref="R2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0</v>
      </c>
      <c r="Y238">
        <v>5</v>
      </c>
      <c r="Z238" t="s">
        <v>308</v>
      </c>
      <c r="AA238">
        <v>6</v>
      </c>
      <c r="AB238">
        <v>7</v>
      </c>
      <c r="AC238">
        <v>4</v>
      </c>
      <c r="AD238">
        <v>1</v>
      </c>
      <c r="AE238">
        <v>2</v>
      </c>
      <c r="AF238">
        <v>1</v>
      </c>
      <c r="AG238">
        <v>2</v>
      </c>
      <c r="AH238">
        <v>3</v>
      </c>
      <c r="AI238">
        <v>2</v>
      </c>
      <c r="AJ238">
        <v>1</v>
      </c>
      <c r="AK238">
        <v>7</v>
      </c>
      <c r="AL238">
        <v>8</v>
      </c>
      <c r="AM238">
        <v>5</v>
      </c>
      <c r="AN238">
        <v>4</v>
      </c>
      <c r="AO238">
        <v>2</v>
      </c>
      <c r="AP238">
        <v>4</v>
      </c>
      <c r="AQ238">
        <v>8</v>
      </c>
      <c r="AR238">
        <v>7</v>
      </c>
      <c r="AS238">
        <v>48</v>
      </c>
      <c r="AT238">
        <v>52</v>
      </c>
      <c r="AU238">
        <v>1.06</v>
      </c>
      <c r="AV238">
        <v>1.1599999999999999</v>
      </c>
      <c r="AW238">
        <v>2.0299999999999998</v>
      </c>
      <c r="AX238">
        <v>40</v>
      </c>
      <c r="AY238">
        <v>72</v>
      </c>
      <c r="AZ238">
        <v>32</v>
      </c>
      <c r="BA238">
        <v>16</v>
      </c>
      <c r="BB238">
        <v>4</v>
      </c>
      <c r="BC238">
        <v>16</v>
      </c>
      <c r="BD238">
        <v>52</v>
      </c>
      <c r="BE238">
        <v>40</v>
      </c>
      <c r="BF238">
        <v>76</v>
      </c>
      <c r="BG238">
        <v>9.8000000000000007</v>
      </c>
      <c r="BH238">
        <v>4.9400000000000004</v>
      </c>
      <c r="BI238">
        <v>1.75</v>
      </c>
      <c r="BJ238">
        <v>3.26</v>
      </c>
      <c r="BK238">
        <v>3.98</v>
      </c>
      <c r="BL238">
        <f>(1/Table1[[#This Row],[odds_ft_home_team_win]]+1/Table1[[#This Row],[odds_ft_draw]]+1/Table1[[#This Row],[odds_ft_away_team_win]]-1)/3</f>
        <v>4.314443969775842E-2</v>
      </c>
      <c r="BM238">
        <v>1.36</v>
      </c>
      <c r="BN238">
        <v>2.1800000000000002</v>
      </c>
      <c r="BO238">
        <v>4</v>
      </c>
      <c r="BP238">
        <v>7</v>
      </c>
      <c r="BQ238">
        <v>2</v>
      </c>
      <c r="BR238">
        <v>1.75</v>
      </c>
      <c r="BS238" t="s">
        <v>116</v>
      </c>
      <c r="BT238">
        <f>VLOOKUP(Table1[[#This Row],[Reference]],metron,8,FALSE)</f>
        <v>1.8614830167843088</v>
      </c>
      <c r="BU238">
        <f>VLOOKUP(Table1[[#This Row],[Reference]],metron,9,FALSE)</f>
        <v>0.87079851622593896</v>
      </c>
      <c r="BV238">
        <f>VLOOKUP(Table1[[#This Row],[Reference]],metron,10,FALSE)</f>
        <v>2.5967403582378576</v>
      </c>
      <c r="BW238">
        <f>VLOOKUP(Table1[[#This Row],[Reference]],metron,11,FALSE)</f>
        <v>1.625948039373891</v>
      </c>
      <c r="BX238">
        <f>VLOOKUP(Table1[[#This Row],[Reference]],metron,12,FALSE)</f>
        <v>0.97079231886396644</v>
      </c>
      <c r="BY238" s="6">
        <f>VLOOKUP(Table1[[#This Row],[Reference]],metron,13,FALSE)</f>
        <v>0.71433182698515174</v>
      </c>
      <c r="BZ238" s="6">
        <f>VLOOKUP(Table1[[#This Row],[Reference]],metron,14,FALSE)</f>
        <v>0.43011620400258233</v>
      </c>
      <c r="CA238" s="6">
        <f>VLOOKUP(Table1[[#This Row],[Reference]],metron,15,FALSE)</f>
        <v>13.39951055368614</v>
      </c>
      <c r="CB238" s="6">
        <f>VLOOKUP(Table1[[#This Row],[Reference]],metron,16,FALSE)</f>
        <v>9.4252064851636579</v>
      </c>
      <c r="CC238" s="6">
        <f>VLOOKUP(Table1[[#This Row],[Reference]],metron,17,FALSE)</f>
        <v>5.7628422023992618</v>
      </c>
      <c r="CD238" s="6">
        <f>VLOOKUP(Table1[[#This Row],[Reference]],metron,18,FALSE)</f>
        <v>3.9375576745616732</v>
      </c>
      <c r="CE238" s="6">
        <f>VLOOKUP(Table1[[#This Row],[Reference]],metron,19,FALSE)</f>
        <v>7.636668351286878</v>
      </c>
      <c r="CF238" s="6">
        <f>VLOOKUP(Table1[[#This Row],[Reference]],metron,20,FALSE)</f>
        <v>5.4876488106019847</v>
      </c>
      <c r="CG238" s="6">
        <f>VLOOKUP(Table1[[#This Row],[Reference]],metron,21,FALSE)</f>
        <v>12.460420531849101</v>
      </c>
      <c r="CH238" s="6">
        <f>VLOOKUP(Table1[[#This Row],[Reference]],metron,22,FALSE)</f>
        <v>13.44897959183673</v>
      </c>
      <c r="CI238" s="6">
        <f>VLOOKUP(Table1[[#This Row],[Reference]],metron,23,FALSE)</f>
        <v>1.462202380952381</v>
      </c>
      <c r="CJ238" s="6">
        <f>VLOOKUP(Table1[[#This Row],[Reference]],metron,24,FALSE)</f>
        <v>2.01547619047619</v>
      </c>
      <c r="CK238" s="6">
        <f>VLOOKUP(Table1[[#This Row],[Reference]],metron,25,FALSE)</f>
        <v>7.7380952380952384E-2</v>
      </c>
      <c r="CL238" s="6">
        <f>VLOOKUP(Table1[[#This Row],[Reference]],metron,26,FALSE)</f>
        <v>0.13754093480202439</v>
      </c>
    </row>
    <row r="239" spans="1:90" hidden="1" x14ac:dyDescent="0.45">
      <c r="A239" t="s">
        <v>695</v>
      </c>
      <c r="B239">
        <v>1646269200</v>
      </c>
      <c r="C239" s="23" t="s">
        <v>518</v>
      </c>
      <c r="D239" t="s">
        <v>65</v>
      </c>
      <c r="E239" t="s">
        <v>66</v>
      </c>
      <c r="F239" t="s">
        <v>97</v>
      </c>
      <c r="G239" t="s">
        <v>84</v>
      </c>
      <c r="H239" t="s">
        <v>175</v>
      </c>
      <c r="I239">
        <f>MROUND(Table1[[#This Row],[ProbH]]*100,2)/100</f>
        <v>0.46</v>
      </c>
      <c r="J239">
        <f>1/Table1[[#This Row],[odds_ft_home_team_win]]-Table1[[#This Row],[Margin]]</f>
        <v>0.46536173429941768</v>
      </c>
      <c r="K239">
        <f>1/Table1[[#This Row],[odds_ft_draw]]-Table1[[#This Row],[Margin]]</f>
        <v>0.27062251551413885</v>
      </c>
      <c r="L239">
        <f>1/Table1[[#This Row],[odds_ft_away_team_win]]-Table1[[#This Row],[Margin]]</f>
        <v>0.2640157501864433</v>
      </c>
      <c r="M239">
        <v>8</v>
      </c>
      <c r="N239">
        <v>1.67</v>
      </c>
      <c r="O239">
        <v>1.33</v>
      </c>
      <c r="P239">
        <v>1.55</v>
      </c>
      <c r="Q239">
        <v>1.42</v>
      </c>
      <c r="R239" t="str" cm="1">
        <f t="array" ref="R2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Z239">
        <v>87</v>
      </c>
      <c r="AA239">
        <v>5</v>
      </c>
      <c r="AB239">
        <v>5</v>
      </c>
      <c r="AC239">
        <v>2</v>
      </c>
      <c r="AD239">
        <v>1</v>
      </c>
      <c r="AE239">
        <v>2</v>
      </c>
      <c r="AF239">
        <v>0</v>
      </c>
      <c r="AG239">
        <v>2</v>
      </c>
      <c r="AH239">
        <v>1</v>
      </c>
      <c r="AI239">
        <v>1</v>
      </c>
      <c r="AJ239">
        <v>1</v>
      </c>
      <c r="AK239">
        <v>8</v>
      </c>
      <c r="AL239">
        <v>18</v>
      </c>
      <c r="AM239">
        <v>2</v>
      </c>
      <c r="AN239">
        <v>4</v>
      </c>
      <c r="AO239">
        <v>6</v>
      </c>
      <c r="AP239">
        <v>14</v>
      </c>
      <c r="AQ239">
        <v>11</v>
      </c>
      <c r="AR239">
        <v>10</v>
      </c>
      <c r="AS239">
        <v>47</v>
      </c>
      <c r="AT239">
        <v>53</v>
      </c>
      <c r="AU239">
        <v>1.02</v>
      </c>
      <c r="AV239">
        <v>1.75</v>
      </c>
      <c r="AW239">
        <v>2.2000000000000002</v>
      </c>
      <c r="AX239">
        <v>44</v>
      </c>
      <c r="AY239">
        <v>70</v>
      </c>
      <c r="AZ239">
        <v>40</v>
      </c>
      <c r="BA239">
        <v>17</v>
      </c>
      <c r="BB239">
        <v>4</v>
      </c>
      <c r="BC239">
        <v>33</v>
      </c>
      <c r="BD239">
        <v>62</v>
      </c>
      <c r="BE239">
        <v>31</v>
      </c>
      <c r="BF239">
        <v>87</v>
      </c>
      <c r="BG239">
        <v>10.08</v>
      </c>
      <c r="BH239">
        <v>4.74</v>
      </c>
      <c r="BI239">
        <v>2.06</v>
      </c>
      <c r="BJ239">
        <v>3.44</v>
      </c>
      <c r="BK239">
        <v>3.52</v>
      </c>
      <c r="BL239">
        <f>(1/Table1[[#This Row],[odds_ft_home_team_win]]+1/Table1[[#This Row],[odds_ft_draw]]+1/Table1[[#This Row],[odds_ft_away_team_win]]-1)/3</f>
        <v>2.00751589044658E-2</v>
      </c>
      <c r="BM239">
        <v>1.36</v>
      </c>
      <c r="BN239">
        <v>2.04</v>
      </c>
      <c r="BO239">
        <v>4</v>
      </c>
      <c r="BP239">
        <v>7</v>
      </c>
      <c r="BQ239">
        <v>1.91</v>
      </c>
      <c r="BR239">
        <v>1.91</v>
      </c>
      <c r="BS239" t="s">
        <v>136</v>
      </c>
      <c r="BT239">
        <f>VLOOKUP(Table1[[#This Row],[Reference]],metron,8,FALSE)</f>
        <v>1.6955772349985931</v>
      </c>
      <c r="BU239">
        <f>VLOOKUP(Table1[[#This Row],[Reference]],metron,9,FALSE)</f>
        <v>1.0239029519551039</v>
      </c>
      <c r="BV239">
        <f>VLOOKUP(Table1[[#This Row],[Reference]],metron,10,FALSE)</f>
        <v>2.5405629139072849</v>
      </c>
      <c r="BW239">
        <f>VLOOKUP(Table1[[#This Row],[Reference]],metron,11,FALSE)</f>
        <v>1.4888836329233679</v>
      </c>
      <c r="BX239">
        <f>VLOOKUP(Table1[[#This Row],[Reference]],metron,12,FALSE)</f>
        <v>1.0516792809839171</v>
      </c>
      <c r="BY239" s="6">
        <f>VLOOKUP(Table1[[#This Row],[Reference]],metron,13,FALSE)</f>
        <v>0.64581362346263005</v>
      </c>
      <c r="BZ239" s="6">
        <f>VLOOKUP(Table1[[#This Row],[Reference]],metron,14,FALSE)</f>
        <v>0.45364238410596031</v>
      </c>
      <c r="CA239" s="6">
        <f>VLOOKUP(Table1[[#This Row],[Reference]],metron,15,FALSE)</f>
        <v>12.686892177589851</v>
      </c>
      <c r="CB239" s="6">
        <f>VLOOKUP(Table1[[#This Row],[Reference]],metron,16,FALSE)</f>
        <v>9.8059196617336148</v>
      </c>
      <c r="CC239" s="6">
        <f>VLOOKUP(Table1[[#This Row],[Reference]],metron,17,FALSE)</f>
        <v>5.3198121263877027</v>
      </c>
      <c r="CD239" s="6">
        <f>VLOOKUP(Table1[[#This Row],[Reference]],metron,18,FALSE)</f>
        <v>4.0954312553373189</v>
      </c>
      <c r="CE239" s="6">
        <f>VLOOKUP(Table1[[#This Row],[Reference]],metron,19,FALSE)</f>
        <v>7.3670800512021479</v>
      </c>
      <c r="CF239" s="6">
        <f>VLOOKUP(Table1[[#This Row],[Reference]],metron,20,FALSE)</f>
        <v>5.710488406396296</v>
      </c>
      <c r="CG239" s="6">
        <f>VLOOKUP(Table1[[#This Row],[Reference]],metron,21,FALSE)</f>
        <v>13.0488908033599</v>
      </c>
      <c r="CH239" s="6">
        <f>VLOOKUP(Table1[[#This Row],[Reference]],metron,22,FALSE)</f>
        <v>13.714839543398661</v>
      </c>
      <c r="CI239" s="6">
        <f>VLOOKUP(Table1[[#This Row],[Reference]],metron,23,FALSE)</f>
        <v>1.567523459812322</v>
      </c>
      <c r="CJ239" s="6">
        <f>VLOOKUP(Table1[[#This Row],[Reference]],metron,24,FALSE)</f>
        <v>1.951040391676867</v>
      </c>
      <c r="CK239" s="6">
        <f>VLOOKUP(Table1[[#This Row],[Reference]],metron,25,FALSE)</f>
        <v>8.3027335781313744E-2</v>
      </c>
      <c r="CL239" s="6">
        <f>VLOOKUP(Table1[[#This Row],[Reference]],metron,26,FALSE)</f>
        <v>0.13117095063239501</v>
      </c>
    </row>
    <row r="240" spans="1:90" hidden="1" x14ac:dyDescent="0.45">
      <c r="A240" t="s">
        <v>695</v>
      </c>
      <c r="B240">
        <v>1646269200</v>
      </c>
      <c r="C240" s="23" t="s">
        <v>518</v>
      </c>
      <c r="D240" t="s">
        <v>65</v>
      </c>
      <c r="E240" t="s">
        <v>66</v>
      </c>
      <c r="F240" t="s">
        <v>107</v>
      </c>
      <c r="G240" t="s">
        <v>112</v>
      </c>
      <c r="H240" t="s">
        <v>138</v>
      </c>
      <c r="I240">
        <f>MROUND(Table1[[#This Row],[ProbH]]*100,2)/100</f>
        <v>0.44</v>
      </c>
      <c r="J240">
        <f>1/Table1[[#This Row],[odds_ft_home_team_win]]-Table1[[#This Row],[Margin]]</f>
        <v>0.43480475194030177</v>
      </c>
      <c r="K240">
        <f>1/Table1[[#This Row],[odds_ft_draw]]-Table1[[#This Row],[Margin]]</f>
        <v>0.27437694445367078</v>
      </c>
      <c r="L240">
        <f>1/Table1[[#This Row],[odds_ft_away_team_win]]-Table1[[#This Row],[Margin]]</f>
        <v>0.29081830360602734</v>
      </c>
      <c r="M240">
        <v>8</v>
      </c>
      <c r="N240">
        <v>2.0699999999999998</v>
      </c>
      <c r="O240">
        <v>1.5</v>
      </c>
      <c r="P240">
        <v>2</v>
      </c>
      <c r="Q240">
        <v>1.5</v>
      </c>
      <c r="R240" t="str" cm="1">
        <f t="array" ref="R2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40">
        <v>2</v>
      </c>
      <c r="T240">
        <v>2</v>
      </c>
      <c r="U240">
        <v>4</v>
      </c>
      <c r="V240">
        <v>3</v>
      </c>
      <c r="W240">
        <v>2</v>
      </c>
      <c r="X240">
        <v>1</v>
      </c>
      <c r="Y240" t="s">
        <v>519</v>
      </c>
      <c r="Z240" t="s">
        <v>520</v>
      </c>
      <c r="AA240">
        <v>5</v>
      </c>
      <c r="AB240">
        <v>4</v>
      </c>
      <c r="AC240">
        <v>4</v>
      </c>
      <c r="AD240">
        <v>0</v>
      </c>
      <c r="AE240">
        <v>2</v>
      </c>
      <c r="AF240">
        <v>0</v>
      </c>
      <c r="AG240">
        <v>1</v>
      </c>
      <c r="AH240">
        <v>3</v>
      </c>
      <c r="AI240">
        <v>0</v>
      </c>
      <c r="AJ240">
        <v>2</v>
      </c>
      <c r="AK240">
        <v>13</v>
      </c>
      <c r="AL240">
        <v>5</v>
      </c>
      <c r="AM240">
        <v>7</v>
      </c>
      <c r="AN240">
        <v>4</v>
      </c>
      <c r="AO240">
        <v>6</v>
      </c>
      <c r="AP240">
        <v>1</v>
      </c>
      <c r="AQ240">
        <v>16</v>
      </c>
      <c r="AR240">
        <v>11</v>
      </c>
      <c r="AS240">
        <v>51</v>
      </c>
      <c r="AT240">
        <v>49</v>
      </c>
      <c r="AU240">
        <v>1.71</v>
      </c>
      <c r="AV240">
        <v>0.85</v>
      </c>
      <c r="AW240">
        <v>2.54</v>
      </c>
      <c r="AX240">
        <v>59</v>
      </c>
      <c r="AY240">
        <v>73</v>
      </c>
      <c r="AZ240">
        <v>50</v>
      </c>
      <c r="BA240">
        <v>20</v>
      </c>
      <c r="BB240">
        <v>12</v>
      </c>
      <c r="BC240">
        <v>36</v>
      </c>
      <c r="BD240">
        <v>70</v>
      </c>
      <c r="BE240">
        <v>38</v>
      </c>
      <c r="BF240">
        <v>65</v>
      </c>
      <c r="BG240">
        <v>10.47</v>
      </c>
      <c r="BH240">
        <v>5.76</v>
      </c>
      <c r="BI240">
        <v>2.2000000000000002</v>
      </c>
      <c r="BJ240">
        <v>3.4</v>
      </c>
      <c r="BK240">
        <v>3.22</v>
      </c>
      <c r="BL240">
        <f>(1/Table1[[#This Row],[odds_ft_home_team_win]]+1/Table1[[#This Row],[odds_ft_draw]]+1/Table1[[#This Row],[odds_ft_away_team_win]]-1)/3</f>
        <v>1.9740702605152743E-2</v>
      </c>
      <c r="BM240">
        <v>1.36</v>
      </c>
      <c r="BN240">
        <v>1.99</v>
      </c>
      <c r="BO240">
        <v>3.75</v>
      </c>
      <c r="BP240">
        <v>7.2</v>
      </c>
      <c r="BQ240">
        <v>1.8</v>
      </c>
      <c r="BR240">
        <v>1.95</v>
      </c>
      <c r="BS240" t="s">
        <v>161</v>
      </c>
      <c r="BT240">
        <f>VLOOKUP(Table1[[#This Row],[Reference]],metron,8,FALSE)</f>
        <v>1.6395459745305552</v>
      </c>
      <c r="BU240">
        <f>VLOOKUP(Table1[[#This Row],[Reference]],metron,9,FALSE)</f>
        <v>1.0758429359324786</v>
      </c>
      <c r="BV240">
        <f>VLOOKUP(Table1[[#This Row],[Reference]],metron,10,FALSE)</f>
        <v>2.4807646356033461</v>
      </c>
      <c r="BW240">
        <f>VLOOKUP(Table1[[#This Row],[Reference]],metron,11,FALSE)</f>
        <v>1.4140979689366791</v>
      </c>
      <c r="BX240">
        <f>VLOOKUP(Table1[[#This Row],[Reference]],metron,12,FALSE)</f>
        <v>1.0666666666666671</v>
      </c>
      <c r="BY240" s="6">
        <f>VLOOKUP(Table1[[#This Row],[Reference]],metron,13,FALSE)</f>
        <v>0.62712066905615294</v>
      </c>
      <c r="BZ240" s="6">
        <f>VLOOKUP(Table1[[#This Row],[Reference]],metron,14,FALSE)</f>
        <v>0.46009557945041818</v>
      </c>
      <c r="CA240" s="6">
        <f>VLOOKUP(Table1[[#This Row],[Reference]],metron,15,FALSE)</f>
        <v>12.56969280146722</v>
      </c>
      <c r="CB240" s="6">
        <f>VLOOKUP(Table1[[#This Row],[Reference]],metron,16,FALSE)</f>
        <v>9.8695552498853729</v>
      </c>
      <c r="CC240" s="6">
        <f>VLOOKUP(Table1[[#This Row],[Reference]],metron,17,FALSE)</f>
        <v>5.2754256787850897</v>
      </c>
      <c r="CD240" s="6">
        <f>VLOOKUP(Table1[[#This Row],[Reference]],metron,18,FALSE)</f>
        <v>4.1279337321675103</v>
      </c>
      <c r="CE240" s="6">
        <f>VLOOKUP(Table1[[#This Row],[Reference]],metron,19,FALSE)</f>
        <v>7.2942671226821298</v>
      </c>
      <c r="CF240" s="6">
        <f>VLOOKUP(Table1[[#This Row],[Reference]],metron,20,FALSE)</f>
        <v>5.7416215177178627</v>
      </c>
      <c r="CG240" s="6">
        <f>VLOOKUP(Table1[[#This Row],[Reference]],metron,21,FALSE)</f>
        <v>12.897246007868549</v>
      </c>
      <c r="CH240" s="6">
        <f>VLOOKUP(Table1[[#This Row],[Reference]],metron,22,FALSE)</f>
        <v>13.507058551261281</v>
      </c>
      <c r="CI240" s="6">
        <f>VLOOKUP(Table1[[#This Row],[Reference]],metron,23,FALSE)</f>
        <v>1.576522702104098</v>
      </c>
      <c r="CJ240" s="6">
        <f>VLOOKUP(Table1[[#This Row],[Reference]],metron,24,FALSE)</f>
        <v>1.917165005537099</v>
      </c>
      <c r="CK240" s="6">
        <f>VLOOKUP(Table1[[#This Row],[Reference]],metron,25,FALSE)</f>
        <v>8.4385382059800659E-2</v>
      </c>
      <c r="CL240" s="6">
        <f>VLOOKUP(Table1[[#This Row],[Reference]],metron,26,FALSE)</f>
        <v>0.1233665559246955</v>
      </c>
    </row>
    <row r="241" spans="1:90" hidden="1" x14ac:dyDescent="0.45">
      <c r="A241" t="s">
        <v>695</v>
      </c>
      <c r="B241">
        <v>1646276400</v>
      </c>
      <c r="C241" s="23" t="s">
        <v>521</v>
      </c>
      <c r="D241" t="s">
        <v>65</v>
      </c>
      <c r="E241" t="s">
        <v>66</v>
      </c>
      <c r="F241" t="s">
        <v>91</v>
      </c>
      <c r="G241" t="s">
        <v>90</v>
      </c>
      <c r="H241" t="s">
        <v>158</v>
      </c>
      <c r="I241">
        <f>MROUND(Table1[[#This Row],[ProbH]]*100,2)/100</f>
        <v>0.36</v>
      </c>
      <c r="J241">
        <f>1/Table1[[#This Row],[odds_ft_home_team_win]]-Table1[[#This Row],[Margin]]</f>
        <v>0.36086969642102723</v>
      </c>
      <c r="K241">
        <f>1/Table1[[#This Row],[odds_ft_draw]]-Table1[[#This Row],[Margin]]</f>
        <v>0.27826060715794554</v>
      </c>
      <c r="L241">
        <f>1/Table1[[#This Row],[odds_ft_away_team_win]]-Table1[[#This Row],[Margin]]</f>
        <v>0.36086969642102723</v>
      </c>
      <c r="M241">
        <v>8</v>
      </c>
      <c r="N241">
        <v>0.55000000000000004</v>
      </c>
      <c r="O241">
        <v>1.1499999999999999</v>
      </c>
      <c r="P241">
        <v>1.1100000000000001</v>
      </c>
      <c r="Q241">
        <v>1.32</v>
      </c>
      <c r="R241" s="9" t="str" cm="1">
        <f t="array" ref="R2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41">
        <v>2</v>
      </c>
      <c r="T241">
        <v>2</v>
      </c>
      <c r="U241">
        <v>4</v>
      </c>
      <c r="V241">
        <v>2</v>
      </c>
      <c r="W241">
        <v>2</v>
      </c>
      <c r="X241">
        <v>0</v>
      </c>
      <c r="Y241" t="s">
        <v>522</v>
      </c>
      <c r="Z241" t="s">
        <v>523</v>
      </c>
      <c r="AA241">
        <v>4</v>
      </c>
      <c r="AB241">
        <v>1</v>
      </c>
      <c r="AC241">
        <v>3</v>
      </c>
      <c r="AD241">
        <v>0</v>
      </c>
      <c r="AE241">
        <v>3</v>
      </c>
      <c r="AF241">
        <v>0</v>
      </c>
      <c r="AG241">
        <v>1</v>
      </c>
      <c r="AH241">
        <v>2</v>
      </c>
      <c r="AI241">
        <v>1</v>
      </c>
      <c r="AJ241">
        <v>2</v>
      </c>
      <c r="AK241">
        <v>2</v>
      </c>
      <c r="AL241">
        <v>5</v>
      </c>
      <c r="AM241">
        <v>2</v>
      </c>
      <c r="AN241">
        <v>3</v>
      </c>
      <c r="AO241">
        <v>0</v>
      </c>
      <c r="AP241">
        <v>2</v>
      </c>
      <c r="AQ241">
        <v>6</v>
      </c>
      <c r="AR241">
        <v>5</v>
      </c>
      <c r="AS241">
        <v>37</v>
      </c>
      <c r="AT241">
        <v>63</v>
      </c>
      <c r="AU241">
        <v>0.42</v>
      </c>
      <c r="AV241">
        <v>0.96</v>
      </c>
      <c r="AW241">
        <v>2.04</v>
      </c>
      <c r="AX241">
        <v>37</v>
      </c>
      <c r="AY241">
        <v>55</v>
      </c>
      <c r="AZ241">
        <v>33</v>
      </c>
      <c r="BA241">
        <v>17</v>
      </c>
      <c r="BB241">
        <v>9</v>
      </c>
      <c r="BC241">
        <v>21</v>
      </c>
      <c r="BD241">
        <v>51</v>
      </c>
      <c r="BE241">
        <v>33</v>
      </c>
      <c r="BF241">
        <v>72</v>
      </c>
      <c r="BG241">
        <v>9.14</v>
      </c>
      <c r="BH241">
        <v>5.0999999999999996</v>
      </c>
      <c r="BI241">
        <v>2.63</v>
      </c>
      <c r="BJ241">
        <v>3.36</v>
      </c>
      <c r="BK241">
        <v>2.63</v>
      </c>
      <c r="BL241">
        <f>(1/Table1[[#This Row],[odds_ft_home_team_win]]+1/Table1[[#This Row],[odds_ft_draw]]+1/Table1[[#This Row],[odds_ft_away_team_win]]-1)/3</f>
        <v>1.9358440461102095E-2</v>
      </c>
      <c r="BM241">
        <v>1.42</v>
      </c>
      <c r="BN241">
        <v>1.99</v>
      </c>
      <c r="BO241">
        <v>4.33</v>
      </c>
      <c r="BP241">
        <v>8.1</v>
      </c>
      <c r="BQ241">
        <v>1.91</v>
      </c>
      <c r="BR241">
        <v>1.91</v>
      </c>
      <c r="BS241" t="s">
        <v>144</v>
      </c>
      <c r="BT241">
        <f>VLOOKUP(Table1[[#This Row],[Reference]],metron,8,FALSE)</f>
        <v>1.4023864615972674</v>
      </c>
      <c r="BU241">
        <f>VLOOKUP(Table1[[#This Row],[Reference]],metron,9,FALSE)</f>
        <v>1.3093265904245279</v>
      </c>
      <c r="BV241">
        <f>VLOOKUP(Table1[[#This Row],[Reference]],metron,10,FALSE)</f>
        <v>2.5110350525197691</v>
      </c>
      <c r="BW241">
        <f>VLOOKUP(Table1[[#This Row],[Reference]],metron,11,FALSE)</f>
        <v>1.269326094653606</v>
      </c>
      <c r="BX241">
        <f>VLOOKUP(Table1[[#This Row],[Reference]],metron,12,FALSE)</f>
        <v>1.2417089578661631</v>
      </c>
      <c r="BY241" s="6">
        <f>VLOOKUP(Table1[[#This Row],[Reference]],metron,13,FALSE)</f>
        <v>0.56586402266288949</v>
      </c>
      <c r="BZ241" s="6">
        <f>VLOOKUP(Table1[[#This Row],[Reference]],metron,14,FALSE)</f>
        <v>0.55158168083097259</v>
      </c>
      <c r="CA241" s="6">
        <f>VLOOKUP(Table1[[#This Row],[Reference]],metron,15,FALSE)</f>
        <v>11.49400826446281</v>
      </c>
      <c r="CB241" s="6">
        <f>VLOOKUP(Table1[[#This Row],[Reference]],metron,16,FALSE)</f>
        <v>10.507231404958681</v>
      </c>
      <c r="CC241" s="6">
        <f>VLOOKUP(Table1[[#This Row],[Reference]],metron,17,FALSE)</f>
        <v>4.9238790406673623</v>
      </c>
      <c r="CD241" s="6">
        <f>VLOOKUP(Table1[[#This Row],[Reference]],metron,18,FALSE)</f>
        <v>4.6296141814389991</v>
      </c>
      <c r="CE241" s="6">
        <f>VLOOKUP(Table1[[#This Row],[Reference]],metron,19,FALSE)</f>
        <v>6.5701292237954476</v>
      </c>
      <c r="CF241" s="6">
        <f>VLOOKUP(Table1[[#This Row],[Reference]],metron,20,FALSE)</f>
        <v>5.8776172235196817</v>
      </c>
      <c r="CG241" s="6">
        <f>VLOOKUP(Table1[[#This Row],[Reference]],metron,21,FALSE)</f>
        <v>12.798739495798319</v>
      </c>
      <c r="CH241" s="6">
        <f>VLOOKUP(Table1[[#This Row],[Reference]],metron,22,FALSE)</f>
        <v>12.98844537815126</v>
      </c>
      <c r="CI241" s="6">
        <f>VLOOKUP(Table1[[#This Row],[Reference]],metron,23,FALSE)</f>
        <v>1.604928297313674</v>
      </c>
      <c r="CJ241" s="6">
        <f>VLOOKUP(Table1[[#This Row],[Reference]],metron,24,FALSE)</f>
        <v>1.791961219955565</v>
      </c>
      <c r="CK241" s="6">
        <f>VLOOKUP(Table1[[#This Row],[Reference]],metron,25,FALSE)</f>
        <v>8.887093516461321E-2</v>
      </c>
      <c r="CL241" s="6">
        <f>VLOOKUP(Table1[[#This Row],[Reference]],metron,26,FALSE)</f>
        <v>0.11694607150070691</v>
      </c>
    </row>
    <row r="242" spans="1:90" hidden="1" x14ac:dyDescent="0.45">
      <c r="A242" t="s">
        <v>695</v>
      </c>
      <c r="B242">
        <v>1646276400</v>
      </c>
      <c r="C242" s="23" t="s">
        <v>521</v>
      </c>
      <c r="D242" t="s">
        <v>65</v>
      </c>
      <c r="E242" t="s">
        <v>66</v>
      </c>
      <c r="F242" t="s">
        <v>73</v>
      </c>
      <c r="G242" t="s">
        <v>96</v>
      </c>
      <c r="H242" t="s">
        <v>108</v>
      </c>
      <c r="I242">
        <f>MROUND(Table1[[#This Row],[ProbH]]*100,2)/100</f>
        <v>0.44</v>
      </c>
      <c r="J242">
        <f>1/Table1[[#This Row],[odds_ft_home_team_win]]-Table1[[#This Row],[Margin]]</f>
        <v>0.43953577525479814</v>
      </c>
      <c r="K242">
        <f>1/Table1[[#This Row],[odds_ft_draw]]-Table1[[#This Row],[Margin]]</f>
        <v>0.27843922654357056</v>
      </c>
      <c r="L242">
        <f>1/Table1[[#This Row],[odds_ft_away_team_win]]-Table1[[#This Row],[Margin]]</f>
        <v>0.2820249982016314</v>
      </c>
      <c r="M242">
        <v>8</v>
      </c>
      <c r="N242">
        <v>1.36</v>
      </c>
      <c r="O242">
        <v>1.36</v>
      </c>
      <c r="P242">
        <v>1.58</v>
      </c>
      <c r="Q242">
        <v>1.1000000000000001</v>
      </c>
      <c r="R242" t="str" cm="1">
        <f t="array" ref="R2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2">
        <v>3</v>
      </c>
      <c r="T242">
        <v>2</v>
      </c>
      <c r="U242">
        <v>5</v>
      </c>
      <c r="V242">
        <v>2</v>
      </c>
      <c r="W242">
        <v>1</v>
      </c>
      <c r="X242">
        <v>1</v>
      </c>
      <c r="Y242" t="s">
        <v>524</v>
      </c>
      <c r="Z242" t="s">
        <v>525</v>
      </c>
      <c r="AA242">
        <v>8</v>
      </c>
      <c r="AB242">
        <v>3</v>
      </c>
      <c r="AC242">
        <v>1</v>
      </c>
      <c r="AD242">
        <v>0</v>
      </c>
      <c r="AE242">
        <v>3</v>
      </c>
      <c r="AF242">
        <v>0</v>
      </c>
      <c r="AG242">
        <v>1</v>
      </c>
      <c r="AH242">
        <v>0</v>
      </c>
      <c r="AI242">
        <v>1</v>
      </c>
      <c r="AJ242">
        <v>2</v>
      </c>
      <c r="AK242">
        <v>13</v>
      </c>
      <c r="AL242">
        <v>14</v>
      </c>
      <c r="AM242">
        <v>4</v>
      </c>
      <c r="AN242">
        <v>6</v>
      </c>
      <c r="AO242">
        <v>9</v>
      </c>
      <c r="AP242">
        <v>8</v>
      </c>
      <c r="AQ242">
        <v>8</v>
      </c>
      <c r="AR242">
        <v>5</v>
      </c>
      <c r="AS242">
        <v>49</v>
      </c>
      <c r="AT242">
        <v>51</v>
      </c>
      <c r="AU242">
        <v>1.43</v>
      </c>
      <c r="AV242">
        <v>1.41</v>
      </c>
      <c r="AW242">
        <v>2.33</v>
      </c>
      <c r="AX242">
        <v>57</v>
      </c>
      <c r="AY242">
        <v>75</v>
      </c>
      <c r="AZ242">
        <v>43</v>
      </c>
      <c r="BA242">
        <v>21</v>
      </c>
      <c r="BB242">
        <v>7</v>
      </c>
      <c r="BC242">
        <v>21</v>
      </c>
      <c r="BD242">
        <v>57</v>
      </c>
      <c r="BE242">
        <v>43</v>
      </c>
      <c r="BF242">
        <v>83</v>
      </c>
      <c r="BG242">
        <v>10.08</v>
      </c>
      <c r="BH242">
        <v>4.6399999999999997</v>
      </c>
      <c r="BI242">
        <v>2.1800000000000002</v>
      </c>
      <c r="BJ242">
        <v>3.36</v>
      </c>
      <c r="BK242">
        <v>3.32</v>
      </c>
      <c r="BL242">
        <f>(1/Table1[[#This Row],[odds_ft_home_team_win]]+1/Table1[[#This Row],[odds_ft_draw]]+1/Table1[[#This Row],[odds_ft_away_team_win]]-1)/3</f>
        <v>1.9179821075477072E-2</v>
      </c>
      <c r="BM242">
        <v>1.3</v>
      </c>
      <c r="BN242">
        <v>2.1</v>
      </c>
      <c r="BO242">
        <v>3.5</v>
      </c>
      <c r="BP242">
        <v>7</v>
      </c>
      <c r="BQ242">
        <v>1.91</v>
      </c>
      <c r="BR242">
        <v>1.91</v>
      </c>
      <c r="BS242" t="s">
        <v>142</v>
      </c>
      <c r="BT242">
        <f>VLOOKUP(Table1[[#This Row],[Reference]],metron,8,FALSE)</f>
        <v>1.6395459745305552</v>
      </c>
      <c r="BU242">
        <f>VLOOKUP(Table1[[#This Row],[Reference]],metron,9,FALSE)</f>
        <v>1.0758429359324786</v>
      </c>
      <c r="BV242">
        <f>VLOOKUP(Table1[[#This Row],[Reference]],metron,10,FALSE)</f>
        <v>2.4807646356033461</v>
      </c>
      <c r="BW242">
        <f>VLOOKUP(Table1[[#This Row],[Reference]],metron,11,FALSE)</f>
        <v>1.4140979689366791</v>
      </c>
      <c r="BX242">
        <f>VLOOKUP(Table1[[#This Row],[Reference]],metron,12,FALSE)</f>
        <v>1.0666666666666671</v>
      </c>
      <c r="BY242" s="6">
        <f>VLOOKUP(Table1[[#This Row],[Reference]],metron,13,FALSE)</f>
        <v>0.62712066905615294</v>
      </c>
      <c r="BZ242" s="6">
        <f>VLOOKUP(Table1[[#This Row],[Reference]],metron,14,FALSE)</f>
        <v>0.46009557945041818</v>
      </c>
      <c r="CA242" s="6">
        <f>VLOOKUP(Table1[[#This Row],[Reference]],metron,15,FALSE)</f>
        <v>12.56969280146722</v>
      </c>
      <c r="CB242" s="6">
        <f>VLOOKUP(Table1[[#This Row],[Reference]],metron,16,FALSE)</f>
        <v>9.8695552498853729</v>
      </c>
      <c r="CC242" s="6">
        <f>VLOOKUP(Table1[[#This Row],[Reference]],metron,17,FALSE)</f>
        <v>5.2754256787850897</v>
      </c>
      <c r="CD242" s="6">
        <f>VLOOKUP(Table1[[#This Row],[Reference]],metron,18,FALSE)</f>
        <v>4.1279337321675103</v>
      </c>
      <c r="CE242" s="6">
        <f>VLOOKUP(Table1[[#This Row],[Reference]],metron,19,FALSE)</f>
        <v>7.2942671226821298</v>
      </c>
      <c r="CF242" s="6">
        <f>VLOOKUP(Table1[[#This Row],[Reference]],metron,20,FALSE)</f>
        <v>5.7416215177178627</v>
      </c>
      <c r="CG242" s="6">
        <f>VLOOKUP(Table1[[#This Row],[Reference]],metron,21,FALSE)</f>
        <v>12.897246007868549</v>
      </c>
      <c r="CH242" s="6">
        <f>VLOOKUP(Table1[[#This Row],[Reference]],metron,22,FALSE)</f>
        <v>13.507058551261281</v>
      </c>
      <c r="CI242" s="6">
        <f>VLOOKUP(Table1[[#This Row],[Reference]],metron,23,FALSE)</f>
        <v>1.576522702104098</v>
      </c>
      <c r="CJ242" s="6">
        <f>VLOOKUP(Table1[[#This Row],[Reference]],metron,24,FALSE)</f>
        <v>1.917165005537099</v>
      </c>
      <c r="CK242" s="6">
        <f>VLOOKUP(Table1[[#This Row],[Reference]],metron,25,FALSE)</f>
        <v>8.4385382059800659E-2</v>
      </c>
      <c r="CL242" s="6">
        <f>VLOOKUP(Table1[[#This Row],[Reference]],metron,26,FALSE)</f>
        <v>0.1233665559246955</v>
      </c>
    </row>
    <row r="243" spans="1:90" hidden="1" x14ac:dyDescent="0.45">
      <c r="A243" t="s">
        <v>695</v>
      </c>
      <c r="B243">
        <v>1646442000</v>
      </c>
      <c r="C243" s="23" t="s">
        <v>526</v>
      </c>
      <c r="D243" t="s">
        <v>65</v>
      </c>
      <c r="E243" t="s">
        <v>66</v>
      </c>
      <c r="F243" t="s">
        <v>72</v>
      </c>
      <c r="G243" t="s">
        <v>79</v>
      </c>
      <c r="H243" t="s">
        <v>165</v>
      </c>
      <c r="I243">
        <f>MROUND(Table1[[#This Row],[ProbH]]*100,2)/100</f>
        <v>0.44</v>
      </c>
      <c r="J243">
        <f>1/Table1[[#This Row],[odds_ft_home_team_win]]-Table1[[#This Row],[Margin]]</f>
        <v>0.44938194335784692</v>
      </c>
      <c r="K243">
        <f>1/Table1[[#This Row],[odds_ft_draw]]-Table1[[#This Row],[Margin]]</f>
        <v>0.2762217701976738</v>
      </c>
      <c r="L243">
        <f>1/Table1[[#This Row],[odds_ft_away_team_win]]-Table1[[#This Row],[Margin]]</f>
        <v>0.27439628644447922</v>
      </c>
      <c r="M243">
        <v>9</v>
      </c>
      <c r="N243">
        <v>1.0900000000000001</v>
      </c>
      <c r="O243">
        <v>1.38</v>
      </c>
      <c r="P243">
        <v>1.24</v>
      </c>
      <c r="Q243">
        <v>1.29</v>
      </c>
      <c r="R243" t="str" cm="1">
        <f t="array" ref="R2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1</v>
      </c>
      <c r="Z243">
        <v>2</v>
      </c>
      <c r="AA243">
        <v>6</v>
      </c>
      <c r="AB243">
        <v>4</v>
      </c>
      <c r="AC243">
        <v>2</v>
      </c>
      <c r="AD243">
        <v>0</v>
      </c>
      <c r="AE243">
        <v>2</v>
      </c>
      <c r="AF243">
        <v>0</v>
      </c>
      <c r="AG243">
        <v>1</v>
      </c>
      <c r="AH243">
        <v>1</v>
      </c>
      <c r="AI243">
        <v>0</v>
      </c>
      <c r="AJ243">
        <v>2</v>
      </c>
      <c r="AK243">
        <v>6</v>
      </c>
      <c r="AL243">
        <v>8</v>
      </c>
      <c r="AM243">
        <v>3</v>
      </c>
      <c r="AN243">
        <v>5</v>
      </c>
      <c r="AO243">
        <v>3</v>
      </c>
      <c r="AP243">
        <v>3</v>
      </c>
      <c r="AQ243">
        <v>14</v>
      </c>
      <c r="AR243">
        <v>8</v>
      </c>
      <c r="AS243">
        <v>58</v>
      </c>
      <c r="AT243">
        <v>42</v>
      </c>
      <c r="AU243">
        <v>1.02</v>
      </c>
      <c r="AV243">
        <v>0.98</v>
      </c>
      <c r="AW243">
        <v>2.59</v>
      </c>
      <c r="AX243">
        <v>33</v>
      </c>
      <c r="AY243">
        <v>75</v>
      </c>
      <c r="AZ243">
        <v>60</v>
      </c>
      <c r="BA243">
        <v>25</v>
      </c>
      <c r="BB243">
        <v>4</v>
      </c>
      <c r="BC243">
        <v>34</v>
      </c>
      <c r="BD243">
        <v>79</v>
      </c>
      <c r="BE243">
        <v>34</v>
      </c>
      <c r="BF243">
        <v>88</v>
      </c>
      <c r="BG243">
        <v>9.18</v>
      </c>
      <c r="BH243">
        <v>3.99</v>
      </c>
      <c r="BI243">
        <v>2.1</v>
      </c>
      <c r="BJ243">
        <v>3.3</v>
      </c>
      <c r="BK243">
        <v>3.32</v>
      </c>
      <c r="BL243">
        <f>(1/Table1[[#This Row],[odds_ft_home_team_win]]+1/Table1[[#This Row],[odds_ft_draw]]+1/Table1[[#This Row],[odds_ft_away_team_win]]-1)/3</f>
        <v>2.6808532832629222E-2</v>
      </c>
      <c r="BM243">
        <v>1.29</v>
      </c>
      <c r="BN243">
        <v>1.96</v>
      </c>
      <c r="BO243">
        <v>3.3</v>
      </c>
      <c r="BP243">
        <v>7</v>
      </c>
      <c r="BQ243">
        <v>1.73</v>
      </c>
      <c r="BR243">
        <v>2.0499999999999998</v>
      </c>
      <c r="BS243" t="s">
        <v>76</v>
      </c>
      <c r="BT243">
        <f>VLOOKUP(Table1[[#This Row],[Reference]],metron,8,FALSE)</f>
        <v>1.6395459745305552</v>
      </c>
      <c r="BU243">
        <f>VLOOKUP(Table1[[#This Row],[Reference]],metron,9,FALSE)</f>
        <v>1.0758429359324786</v>
      </c>
      <c r="BV243">
        <f>VLOOKUP(Table1[[#This Row],[Reference]],metron,10,FALSE)</f>
        <v>2.4807646356033461</v>
      </c>
      <c r="BW243">
        <f>VLOOKUP(Table1[[#This Row],[Reference]],metron,11,FALSE)</f>
        <v>1.4140979689366791</v>
      </c>
      <c r="BX243">
        <f>VLOOKUP(Table1[[#This Row],[Reference]],metron,12,FALSE)</f>
        <v>1.0666666666666671</v>
      </c>
      <c r="BY243" s="6">
        <f>VLOOKUP(Table1[[#This Row],[Reference]],metron,13,FALSE)</f>
        <v>0.62712066905615294</v>
      </c>
      <c r="BZ243" s="6">
        <f>VLOOKUP(Table1[[#This Row],[Reference]],metron,14,FALSE)</f>
        <v>0.46009557945041818</v>
      </c>
      <c r="CA243" s="6">
        <f>VLOOKUP(Table1[[#This Row],[Reference]],metron,15,FALSE)</f>
        <v>12.56969280146722</v>
      </c>
      <c r="CB243" s="6">
        <f>VLOOKUP(Table1[[#This Row],[Reference]],metron,16,FALSE)</f>
        <v>9.8695552498853729</v>
      </c>
      <c r="CC243" s="6">
        <f>VLOOKUP(Table1[[#This Row],[Reference]],metron,17,FALSE)</f>
        <v>5.2754256787850897</v>
      </c>
      <c r="CD243" s="6">
        <f>VLOOKUP(Table1[[#This Row],[Reference]],metron,18,FALSE)</f>
        <v>4.1279337321675103</v>
      </c>
      <c r="CE243" s="6">
        <f>VLOOKUP(Table1[[#This Row],[Reference]],metron,19,FALSE)</f>
        <v>7.2942671226821298</v>
      </c>
      <c r="CF243" s="6">
        <f>VLOOKUP(Table1[[#This Row],[Reference]],metron,20,FALSE)</f>
        <v>5.7416215177178627</v>
      </c>
      <c r="CG243" s="6">
        <f>VLOOKUP(Table1[[#This Row],[Reference]],metron,21,FALSE)</f>
        <v>12.897246007868549</v>
      </c>
      <c r="CH243" s="6">
        <f>VLOOKUP(Table1[[#This Row],[Reference]],metron,22,FALSE)</f>
        <v>13.507058551261281</v>
      </c>
      <c r="CI243" s="6">
        <f>VLOOKUP(Table1[[#This Row],[Reference]],metron,23,FALSE)</f>
        <v>1.576522702104098</v>
      </c>
      <c r="CJ243" s="6">
        <f>VLOOKUP(Table1[[#This Row],[Reference]],metron,24,FALSE)</f>
        <v>1.917165005537099</v>
      </c>
      <c r="CK243" s="6">
        <f>VLOOKUP(Table1[[#This Row],[Reference]],metron,25,FALSE)</f>
        <v>8.4385382059800659E-2</v>
      </c>
      <c r="CL243" s="6">
        <f>VLOOKUP(Table1[[#This Row],[Reference]],metron,26,FALSE)</f>
        <v>0.1233665559246955</v>
      </c>
    </row>
    <row r="244" spans="1:90" hidden="1" x14ac:dyDescent="0.45">
      <c r="A244" t="s">
        <v>695</v>
      </c>
      <c r="B244">
        <v>1646449200</v>
      </c>
      <c r="C244" s="23" t="s">
        <v>527</v>
      </c>
      <c r="D244" t="s">
        <v>65</v>
      </c>
      <c r="E244" t="s">
        <v>66</v>
      </c>
      <c r="F244" t="s">
        <v>78</v>
      </c>
      <c r="G244" t="s">
        <v>85</v>
      </c>
      <c r="H244" t="s">
        <v>103</v>
      </c>
      <c r="I244">
        <f>MROUND(Table1[[#This Row],[ProbH]]*100,2)/100</f>
        <v>0.28000000000000003</v>
      </c>
      <c r="J244">
        <f>1/Table1[[#This Row],[odds_ft_home_team_win]]-Table1[[#This Row],[Margin]]</f>
        <v>0.28598484848484845</v>
      </c>
      <c r="K244">
        <f>1/Table1[[#This Row],[odds_ft_draw]]-Table1[[#This Row],[Margin]]</f>
        <v>0.28598484848484845</v>
      </c>
      <c r="L244">
        <f>1/Table1[[#This Row],[odds_ft_away_team_win]]-Table1[[#This Row],[Margin]]</f>
        <v>0.42803030303030298</v>
      </c>
      <c r="M244">
        <v>9</v>
      </c>
      <c r="N244">
        <v>1.25</v>
      </c>
      <c r="O244">
        <v>1.4</v>
      </c>
      <c r="P244">
        <v>0.88</v>
      </c>
      <c r="Q244">
        <v>1.4</v>
      </c>
      <c r="R244" t="str" cm="1">
        <f t="array" ref="R2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Z244">
        <v>55</v>
      </c>
      <c r="AA244">
        <v>4</v>
      </c>
      <c r="AB244">
        <v>4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4</v>
      </c>
      <c r="AL244">
        <v>9</v>
      </c>
      <c r="AM244">
        <v>2</v>
      </c>
      <c r="AN244">
        <v>5</v>
      </c>
      <c r="AO244">
        <v>2</v>
      </c>
      <c r="AP244">
        <v>4</v>
      </c>
      <c r="AQ244">
        <v>9</v>
      </c>
      <c r="AR244">
        <v>12</v>
      </c>
      <c r="AS244">
        <v>47</v>
      </c>
      <c r="AT244">
        <v>53</v>
      </c>
      <c r="AU244">
        <v>0.68</v>
      </c>
      <c r="AV244">
        <v>1.1499999999999999</v>
      </c>
      <c r="AW244">
        <v>2.29</v>
      </c>
      <c r="AX244">
        <v>50</v>
      </c>
      <c r="AY244">
        <v>64</v>
      </c>
      <c r="AZ244">
        <v>49</v>
      </c>
      <c r="BA244">
        <v>23</v>
      </c>
      <c r="BB244">
        <v>4</v>
      </c>
      <c r="BC244">
        <v>39</v>
      </c>
      <c r="BD244">
        <v>71</v>
      </c>
      <c r="BE244">
        <v>31</v>
      </c>
      <c r="BF244">
        <v>59</v>
      </c>
      <c r="BG244">
        <v>7.28</v>
      </c>
      <c r="BH244">
        <v>5.34</v>
      </c>
      <c r="BI244">
        <v>3.2</v>
      </c>
      <c r="BJ244">
        <v>3.2</v>
      </c>
      <c r="BK244">
        <v>2.2000000000000002</v>
      </c>
      <c r="BL244">
        <f>(1/Table1[[#This Row],[odds_ft_home_team_win]]+1/Table1[[#This Row],[odds_ft_draw]]+1/Table1[[#This Row],[odds_ft_away_team_win]]-1)/3</f>
        <v>2.651515151515153E-2</v>
      </c>
      <c r="BM244">
        <v>1.35</v>
      </c>
      <c r="BN244">
        <v>2.0299999999999998</v>
      </c>
      <c r="BO244">
        <v>3.65</v>
      </c>
      <c r="BP244">
        <v>7.1</v>
      </c>
      <c r="BQ244">
        <v>1.91</v>
      </c>
      <c r="BR244">
        <v>1.85</v>
      </c>
      <c r="BS244" t="s">
        <v>82</v>
      </c>
      <c r="BT244">
        <f>VLOOKUP(Table1[[#This Row],[Reference]],metron,8,FALSE)</f>
        <v>1.1529533168233341</v>
      </c>
      <c r="BU244">
        <f>VLOOKUP(Table1[[#This Row],[Reference]],metron,9,FALSE)</f>
        <v>1.5628535554286829</v>
      </c>
      <c r="BV244">
        <f>VLOOKUP(Table1[[#This Row],[Reference]],metron,10,FALSE)</f>
        <v>2.5445607358071678</v>
      </c>
      <c r="BW244">
        <f>VLOOKUP(Table1[[#This Row],[Reference]],metron,11,FALSE)</f>
        <v>1.128766254360926</v>
      </c>
      <c r="BX244">
        <f>VLOOKUP(Table1[[#This Row],[Reference]],metron,12,FALSE)</f>
        <v>1.415794481446242</v>
      </c>
      <c r="BY244" s="6">
        <f>VLOOKUP(Table1[[#This Row],[Reference]],metron,13,FALSE)</f>
        <v>0.49635267998731369</v>
      </c>
      <c r="BZ244" s="6">
        <f>VLOOKUP(Table1[[#This Row],[Reference]],metron,14,FALSE)</f>
        <v>0.61084681255946716</v>
      </c>
      <c r="CA244" s="6">
        <f>VLOOKUP(Table1[[#This Row],[Reference]],metron,15,FALSE)</f>
        <v>11.04442036836403</v>
      </c>
      <c r="CB244" s="6">
        <f>VLOOKUP(Table1[[#This Row],[Reference]],metron,16,FALSE)</f>
        <v>11.38840736728061</v>
      </c>
      <c r="CC244" s="6">
        <f>VLOOKUP(Table1[[#This Row],[Reference]],metron,17,FALSE)</f>
        <v>4.5379574003276897</v>
      </c>
      <c r="CD244" s="6">
        <f>VLOOKUP(Table1[[#This Row],[Reference]],metron,18,FALSE)</f>
        <v>4.8481703986892413</v>
      </c>
      <c r="CE244" s="6">
        <f>VLOOKUP(Table1[[#This Row],[Reference]],metron,19,FALSE)</f>
        <v>6.5064629680363399</v>
      </c>
      <c r="CF244" s="6">
        <f>VLOOKUP(Table1[[#This Row],[Reference]],metron,20,FALSE)</f>
        <v>6.540236968591369</v>
      </c>
      <c r="CG244" s="6">
        <f>VLOOKUP(Table1[[#This Row],[Reference]],metron,21,FALSE)</f>
        <v>13.117582417582421</v>
      </c>
      <c r="CH244" s="6">
        <f>VLOOKUP(Table1[[#This Row],[Reference]],metron,22,FALSE)</f>
        <v>13.28241758241758</v>
      </c>
      <c r="CI244" s="6">
        <f>VLOOKUP(Table1[[#This Row],[Reference]],metron,23,FALSE)</f>
        <v>1.792592592592593</v>
      </c>
      <c r="CJ244" s="6">
        <f>VLOOKUP(Table1[[#This Row],[Reference]],metron,24,FALSE)</f>
        <v>1.806980433632998</v>
      </c>
      <c r="CK244" s="6">
        <f>VLOOKUP(Table1[[#This Row],[Reference]],metron,25,FALSE)</f>
        <v>0.1047065044949762</v>
      </c>
      <c r="CL244" s="6">
        <f>VLOOKUP(Table1[[#This Row],[Reference]],metron,26,FALSE)</f>
        <v>0.1073506081438392</v>
      </c>
    </row>
    <row r="245" spans="1:90" hidden="1" x14ac:dyDescent="0.45">
      <c r="A245" t="s">
        <v>695</v>
      </c>
      <c r="B245">
        <v>1646521200</v>
      </c>
      <c r="C245" s="23" t="s">
        <v>528</v>
      </c>
      <c r="D245" t="s">
        <v>65</v>
      </c>
      <c r="E245" t="s">
        <v>66</v>
      </c>
      <c r="F245" t="s">
        <v>67</v>
      </c>
      <c r="G245" t="s">
        <v>97</v>
      </c>
      <c r="H245" t="s">
        <v>122</v>
      </c>
      <c r="I245">
        <f>MROUND(Table1[[#This Row],[ProbH]]*100,2)/100</f>
        <v>0.34</v>
      </c>
      <c r="J245">
        <f>1/Table1[[#This Row],[odds_ft_home_team_win]]-Table1[[#This Row],[Margin]]</f>
        <v>0.33837238599143366</v>
      </c>
      <c r="K245">
        <f>1/Table1[[#This Row],[odds_ft_draw]]-Table1[[#This Row],[Margin]]</f>
        <v>0.28546233308138075</v>
      </c>
      <c r="L245">
        <f>1/Table1[[#This Row],[odds_ft_away_team_win]]-Table1[[#This Row],[Margin]]</f>
        <v>0.37616528092718571</v>
      </c>
      <c r="M245">
        <v>9</v>
      </c>
      <c r="N245">
        <v>1.25</v>
      </c>
      <c r="O245">
        <v>1.6</v>
      </c>
      <c r="P245">
        <v>1.24</v>
      </c>
      <c r="Q245">
        <v>1.68</v>
      </c>
      <c r="R245" t="str" cm="1">
        <f t="array" ref="R2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1</v>
      </c>
      <c r="Z245">
        <v>29</v>
      </c>
      <c r="AA245">
        <v>8</v>
      </c>
      <c r="AB245">
        <v>3</v>
      </c>
      <c r="AC245">
        <v>2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9</v>
      </c>
      <c r="AL245">
        <v>6</v>
      </c>
      <c r="AM245">
        <v>7</v>
      </c>
      <c r="AN245">
        <v>2</v>
      </c>
      <c r="AO245">
        <v>2</v>
      </c>
      <c r="AP245">
        <v>4</v>
      </c>
      <c r="AQ245">
        <v>5</v>
      </c>
      <c r="AR245">
        <v>10</v>
      </c>
      <c r="AS245">
        <v>59</v>
      </c>
      <c r="AT245">
        <v>41</v>
      </c>
      <c r="AU245">
        <v>1.26</v>
      </c>
      <c r="AV245">
        <v>0.69</v>
      </c>
      <c r="AW245">
        <v>2.11</v>
      </c>
      <c r="AX245">
        <v>37</v>
      </c>
      <c r="AY245">
        <v>64</v>
      </c>
      <c r="AZ245">
        <v>23</v>
      </c>
      <c r="BA245">
        <v>15</v>
      </c>
      <c r="BB245">
        <v>11</v>
      </c>
      <c r="BC245">
        <v>30</v>
      </c>
      <c r="BD245">
        <v>74</v>
      </c>
      <c r="BE245">
        <v>22</v>
      </c>
      <c r="BF245">
        <v>60</v>
      </c>
      <c r="BG245">
        <v>9.17</v>
      </c>
      <c r="BH245">
        <v>4.96</v>
      </c>
      <c r="BI245">
        <v>2.7</v>
      </c>
      <c r="BJ245">
        <v>3.15</v>
      </c>
      <c r="BK245">
        <v>2.4500000000000002</v>
      </c>
      <c r="BL245">
        <f>(1/Table1[[#This Row],[odds_ft_home_team_win]]+1/Table1[[#This Row],[odds_ft_draw]]+1/Table1[[#This Row],[odds_ft_away_team_win]]-1)/3</f>
        <v>3.1997984378936715E-2</v>
      </c>
      <c r="BM245">
        <v>1.55</v>
      </c>
      <c r="BN245">
        <v>2.2000000000000002</v>
      </c>
      <c r="BO245">
        <v>4.05</v>
      </c>
      <c r="BP245">
        <v>8</v>
      </c>
      <c r="BQ245">
        <v>1.95</v>
      </c>
      <c r="BR245">
        <v>1.81</v>
      </c>
      <c r="BS245" t="s">
        <v>70</v>
      </c>
      <c r="BT245">
        <f>VLOOKUP(Table1[[#This Row],[Reference]],metron,8,FALSE)</f>
        <v>1.3382439854569812</v>
      </c>
      <c r="BU245">
        <f>VLOOKUP(Table1[[#This Row],[Reference]],metron,9,FALSE)</f>
        <v>1.3740319615582339</v>
      </c>
      <c r="BV245">
        <f>VLOOKUP(Table1[[#This Row],[Reference]],metron,10,FALSE)</f>
        <v>2.5229727551184897</v>
      </c>
      <c r="BW245">
        <f>VLOOKUP(Table1[[#This Row],[Reference]],metron,11,FALSE)</f>
        <v>1.228921489601805</v>
      </c>
      <c r="BX245">
        <f>VLOOKUP(Table1[[#This Row],[Reference]],metron,12,FALSE)</f>
        <v>1.2940512655166849</v>
      </c>
      <c r="BY245" s="6">
        <f>VLOOKUP(Table1[[#This Row],[Reference]],metron,13,FALSE)</f>
        <v>0.53240890035472432</v>
      </c>
      <c r="BZ245" s="6">
        <f>VLOOKUP(Table1[[#This Row],[Reference]],metron,14,FALSE)</f>
        <v>0.56514027732989358</v>
      </c>
      <c r="CA245" s="6">
        <f>VLOOKUP(Table1[[#This Row],[Reference]],metron,15,FALSE)</f>
        <v>11.417888124439131</v>
      </c>
      <c r="CB245" s="6">
        <f>VLOOKUP(Table1[[#This Row],[Reference]],metron,16,FALSE)</f>
        <v>10.76308704756207</v>
      </c>
      <c r="CC245" s="6">
        <f>VLOOKUP(Table1[[#This Row],[Reference]],metron,17,FALSE)</f>
        <v>4.8317672021824798</v>
      </c>
      <c r="CD245" s="6">
        <f>VLOOKUP(Table1[[#This Row],[Reference]],metron,18,FALSE)</f>
        <v>4.6698999696877843</v>
      </c>
      <c r="CE245" s="6">
        <f>VLOOKUP(Table1[[#This Row],[Reference]],metron,19,FALSE)</f>
        <v>6.5861209222566508</v>
      </c>
      <c r="CF245" s="6">
        <f>VLOOKUP(Table1[[#This Row],[Reference]],metron,20,FALSE)</f>
        <v>6.093187077874286</v>
      </c>
      <c r="CG245" s="6">
        <f>VLOOKUP(Table1[[#This Row],[Reference]],metron,21,FALSE)</f>
        <v>12.685679611650491</v>
      </c>
      <c r="CH245" s="6">
        <f>VLOOKUP(Table1[[#This Row],[Reference]],metron,22,FALSE)</f>
        <v>13.02639563106796</v>
      </c>
      <c r="CI245" s="6">
        <f>VLOOKUP(Table1[[#This Row],[Reference]],metron,23,FALSE)</f>
        <v>1.6481211768132831</v>
      </c>
      <c r="CJ245" s="6">
        <f>VLOOKUP(Table1[[#This Row],[Reference]],metron,24,FALSE)</f>
        <v>1.8572676958928049</v>
      </c>
      <c r="CK245" s="6">
        <f>VLOOKUP(Table1[[#This Row],[Reference]],metron,25,FALSE)</f>
        <v>9.641712787649287E-2</v>
      </c>
      <c r="CL245" s="6">
        <f>VLOOKUP(Table1[[#This Row],[Reference]],metron,26,FALSE)</f>
        <v>0.11302068161957469</v>
      </c>
    </row>
    <row r="246" spans="1:90" hidden="1" x14ac:dyDescent="0.45">
      <c r="A246" t="s">
        <v>695</v>
      </c>
      <c r="B246">
        <v>1646528760</v>
      </c>
      <c r="C246" s="23" t="s">
        <v>529</v>
      </c>
      <c r="D246" t="s">
        <v>65</v>
      </c>
      <c r="E246" t="s">
        <v>66</v>
      </c>
      <c r="F246" t="s">
        <v>101</v>
      </c>
      <c r="G246" t="s">
        <v>68</v>
      </c>
      <c r="H246" t="s">
        <v>215</v>
      </c>
      <c r="I246">
        <f>MROUND(Table1[[#This Row],[ProbH]]*100,2)/100</f>
        <v>0.42</v>
      </c>
      <c r="J246">
        <f>1/Table1[[#This Row],[odds_ft_home_team_win]]-Table1[[#This Row],[Margin]]</f>
        <v>0.42125391305719168</v>
      </c>
      <c r="K246">
        <f>1/Table1[[#This Row],[odds_ft_draw]]-Table1[[#This Row],[Margin]]</f>
        <v>0.28416877597205459</v>
      </c>
      <c r="L246">
        <f>1/Table1[[#This Row],[odds_ft_away_team_win]]-Table1[[#This Row],[Margin]]</f>
        <v>0.29457731097075357</v>
      </c>
      <c r="M246">
        <v>9</v>
      </c>
      <c r="N246">
        <v>1.42</v>
      </c>
      <c r="O246">
        <v>1.38</v>
      </c>
      <c r="P246">
        <v>1.79</v>
      </c>
      <c r="Q246">
        <v>1.53</v>
      </c>
      <c r="R246" t="str" cm="1">
        <f t="array" ref="R2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6">
        <v>2</v>
      </c>
      <c r="T246">
        <v>1</v>
      </c>
      <c r="U246">
        <v>3</v>
      </c>
      <c r="V246">
        <v>2</v>
      </c>
      <c r="W246">
        <v>1</v>
      </c>
      <c r="X246">
        <v>1</v>
      </c>
      <c r="Y246" t="s">
        <v>530</v>
      </c>
      <c r="Z246">
        <v>34</v>
      </c>
      <c r="AA246">
        <v>2</v>
      </c>
      <c r="AB246">
        <v>5</v>
      </c>
      <c r="AC246">
        <v>4</v>
      </c>
      <c r="AD246">
        <v>0</v>
      </c>
      <c r="AE246">
        <v>1</v>
      </c>
      <c r="AF246">
        <v>0</v>
      </c>
      <c r="AG246">
        <v>3</v>
      </c>
      <c r="AH246">
        <v>1</v>
      </c>
      <c r="AI246">
        <v>1</v>
      </c>
      <c r="AJ246">
        <v>0</v>
      </c>
      <c r="AK246">
        <v>9</v>
      </c>
      <c r="AL246">
        <v>9</v>
      </c>
      <c r="AM246">
        <v>3</v>
      </c>
      <c r="AN246">
        <v>3</v>
      </c>
      <c r="AO246">
        <v>6</v>
      </c>
      <c r="AP246">
        <v>6</v>
      </c>
      <c r="AQ246">
        <v>13</v>
      </c>
      <c r="AR246">
        <v>14</v>
      </c>
      <c r="AS246">
        <v>46</v>
      </c>
      <c r="AT246">
        <v>54</v>
      </c>
      <c r="AU246">
        <v>1.1000000000000001</v>
      </c>
      <c r="AV246">
        <v>1.06</v>
      </c>
      <c r="AW246">
        <v>1.84</v>
      </c>
      <c r="AX246">
        <v>44</v>
      </c>
      <c r="AY246">
        <v>60</v>
      </c>
      <c r="AZ246">
        <v>28</v>
      </c>
      <c r="BA246">
        <v>16</v>
      </c>
      <c r="BB246">
        <v>4</v>
      </c>
      <c r="BC246">
        <v>27</v>
      </c>
      <c r="BD246">
        <v>60</v>
      </c>
      <c r="BE246">
        <v>17</v>
      </c>
      <c r="BF246">
        <v>61</v>
      </c>
      <c r="BG246">
        <v>9.33</v>
      </c>
      <c r="BH246">
        <v>5.12</v>
      </c>
      <c r="BI246">
        <v>2.2000000000000002</v>
      </c>
      <c r="BJ246">
        <v>3.15</v>
      </c>
      <c r="BK246">
        <v>3.05</v>
      </c>
      <c r="BL246">
        <f>(1/Table1[[#This Row],[odds_ft_home_team_win]]+1/Table1[[#This Row],[odds_ft_draw]]+1/Table1[[#This Row],[odds_ft_away_team_win]]-1)/3</f>
        <v>3.3291541488262855E-2</v>
      </c>
      <c r="BM246">
        <v>1.36</v>
      </c>
      <c r="BN246">
        <v>2</v>
      </c>
      <c r="BO246">
        <v>3.5</v>
      </c>
      <c r="BP246">
        <v>7</v>
      </c>
      <c r="BQ246">
        <v>1.85</v>
      </c>
      <c r="BR246">
        <v>1.85</v>
      </c>
      <c r="BS246" t="s">
        <v>104</v>
      </c>
      <c r="BT246">
        <f>VLOOKUP(Table1[[#This Row],[Reference]],metron,8,FALSE)</f>
        <v>1.5780106027030405</v>
      </c>
      <c r="BU246">
        <f>VLOOKUP(Table1[[#This Row],[Reference]],metron,9,FALSE)</f>
        <v>1.1353025412447635</v>
      </c>
      <c r="BV246">
        <f>VLOOKUP(Table1[[#This Row],[Reference]],metron,10,FALSE)</f>
        <v>2.4884649511978703</v>
      </c>
      <c r="BW246">
        <f>VLOOKUP(Table1[[#This Row],[Reference]],metron,11,FALSE)</f>
        <v>1.396960958296362</v>
      </c>
      <c r="BX246">
        <f>VLOOKUP(Table1[[#This Row],[Reference]],metron,12,FALSE)</f>
        <v>1.091503992901508</v>
      </c>
      <c r="BY246" s="6">
        <f>VLOOKUP(Table1[[#This Row],[Reference]],metron,13,FALSE)</f>
        <v>0.60765391014975045</v>
      </c>
      <c r="BZ246" s="6">
        <f>VLOOKUP(Table1[[#This Row],[Reference]],metron,14,FALSE)</f>
        <v>0.47276760953965608</v>
      </c>
      <c r="CA246" s="6">
        <f>VLOOKUP(Table1[[#This Row],[Reference]],metron,15,FALSE)</f>
        <v>12.29504785684561</v>
      </c>
      <c r="CB246" s="6">
        <f>VLOOKUP(Table1[[#This Row],[Reference]],metron,16,FALSE)</f>
        <v>10.047232625884311</v>
      </c>
      <c r="CC246" s="6">
        <f>VLOOKUP(Table1[[#This Row],[Reference]],metron,17,FALSE)</f>
        <v>5.2917192097519967</v>
      </c>
      <c r="CD246" s="6">
        <f>VLOOKUP(Table1[[#This Row],[Reference]],metron,18,FALSE)</f>
        <v>4.2580916351408158</v>
      </c>
      <c r="CE246" s="6">
        <f>VLOOKUP(Table1[[#This Row],[Reference]],metron,19,FALSE)</f>
        <v>7.0033286470936131</v>
      </c>
      <c r="CF246" s="6">
        <f>VLOOKUP(Table1[[#This Row],[Reference]],metron,20,FALSE)</f>
        <v>5.789140990743495</v>
      </c>
      <c r="CG246" s="6">
        <f>VLOOKUP(Table1[[#This Row],[Reference]],metron,21,FALSE)</f>
        <v>12.77041895895049</v>
      </c>
      <c r="CH246" s="6">
        <f>VLOOKUP(Table1[[#This Row],[Reference]],metron,22,FALSE)</f>
        <v>13.411129919593741</v>
      </c>
      <c r="CI246" s="6">
        <f>VLOOKUP(Table1[[#This Row],[Reference]],metron,23,FALSE)</f>
        <v>1.556141062018646</v>
      </c>
      <c r="CJ246" s="6">
        <f>VLOOKUP(Table1[[#This Row],[Reference]],metron,24,FALSE)</f>
        <v>1.9114308877178761</v>
      </c>
      <c r="CK246" s="6">
        <f>VLOOKUP(Table1[[#This Row],[Reference]],metron,25,FALSE)</f>
        <v>8.4920956627482766E-2</v>
      </c>
      <c r="CL246" s="6">
        <f>VLOOKUP(Table1[[#This Row],[Reference]],metron,26,FALSE)</f>
        <v>0.1323469801378192</v>
      </c>
    </row>
    <row r="247" spans="1:90" hidden="1" x14ac:dyDescent="0.45">
      <c r="A247" t="s">
        <v>695</v>
      </c>
      <c r="B247">
        <v>1646535600</v>
      </c>
      <c r="C247" s="23" t="s">
        <v>531</v>
      </c>
      <c r="D247" t="s">
        <v>65</v>
      </c>
      <c r="E247" t="s">
        <v>66</v>
      </c>
      <c r="F247" t="s">
        <v>112</v>
      </c>
      <c r="G247" t="s">
        <v>102</v>
      </c>
      <c r="H247" t="s">
        <v>74</v>
      </c>
      <c r="I247">
        <f>MROUND(Table1[[#This Row],[ProbH]]*100,2)/100</f>
        <v>0.48</v>
      </c>
      <c r="J247">
        <f>1/Table1[[#This Row],[odds_ft_home_team_win]]-Table1[[#This Row],[Margin]]</f>
        <v>0.47741147741147744</v>
      </c>
      <c r="K247">
        <f>1/Table1[[#This Row],[odds_ft_draw]]-Table1[[#This Row],[Margin]]</f>
        <v>0.27228327228327226</v>
      </c>
      <c r="L247">
        <f>1/Table1[[#This Row],[odds_ft_away_team_win]]-Table1[[#This Row],[Margin]]</f>
        <v>0.25030525030525025</v>
      </c>
      <c r="M247">
        <v>9</v>
      </c>
      <c r="N247">
        <v>1.38</v>
      </c>
      <c r="O247">
        <v>1.75</v>
      </c>
      <c r="P247">
        <v>1.25</v>
      </c>
      <c r="Q247">
        <v>1.42</v>
      </c>
      <c r="R247" t="str" cm="1">
        <f t="array" ref="R2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7">
        <v>1</v>
      </c>
      <c r="T247">
        <v>3</v>
      </c>
      <c r="U247">
        <v>4</v>
      </c>
      <c r="V247">
        <v>3</v>
      </c>
      <c r="W247">
        <v>1</v>
      </c>
      <c r="X247">
        <v>2</v>
      </c>
      <c r="Y247">
        <v>9</v>
      </c>
      <c r="Z247" t="s">
        <v>532</v>
      </c>
      <c r="AA247">
        <v>4</v>
      </c>
      <c r="AB247">
        <v>1</v>
      </c>
      <c r="AC247">
        <v>1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8</v>
      </c>
      <c r="AL247">
        <v>10</v>
      </c>
      <c r="AM247">
        <v>4</v>
      </c>
      <c r="AN247">
        <v>5</v>
      </c>
      <c r="AO247">
        <v>4</v>
      </c>
      <c r="AP247">
        <v>5</v>
      </c>
      <c r="AQ247">
        <v>14</v>
      </c>
      <c r="AR247">
        <v>17</v>
      </c>
      <c r="AS247">
        <v>48</v>
      </c>
      <c r="AT247">
        <v>52</v>
      </c>
      <c r="AU247">
        <v>1.05</v>
      </c>
      <c r="AV247">
        <v>1.26</v>
      </c>
      <c r="AW247">
        <v>2.27</v>
      </c>
      <c r="AX247">
        <v>44</v>
      </c>
      <c r="AY247">
        <v>84</v>
      </c>
      <c r="AZ247">
        <v>23</v>
      </c>
      <c r="BA247">
        <v>12</v>
      </c>
      <c r="BB247">
        <v>8</v>
      </c>
      <c r="BC247">
        <v>24</v>
      </c>
      <c r="BD247">
        <v>75</v>
      </c>
      <c r="BE247">
        <v>40</v>
      </c>
      <c r="BF247">
        <v>76</v>
      </c>
      <c r="BG247">
        <v>8.83</v>
      </c>
      <c r="BH247">
        <v>5.41</v>
      </c>
      <c r="BI247">
        <v>1.95</v>
      </c>
      <c r="BJ247">
        <v>3.25</v>
      </c>
      <c r="BK247">
        <v>3.5</v>
      </c>
      <c r="BL247">
        <f>(1/Table1[[#This Row],[odds_ft_home_team_win]]+1/Table1[[#This Row],[odds_ft_draw]]+1/Table1[[#This Row],[odds_ft_away_team_win]]-1)/3</f>
        <v>3.5409035409035429E-2</v>
      </c>
      <c r="BM247">
        <v>1.36</v>
      </c>
      <c r="BN247">
        <v>2</v>
      </c>
      <c r="BO247">
        <v>3.5</v>
      </c>
      <c r="BP247">
        <v>7</v>
      </c>
      <c r="BQ247">
        <v>1.91</v>
      </c>
      <c r="BR247">
        <v>1.8</v>
      </c>
      <c r="BS247" t="s">
        <v>116</v>
      </c>
      <c r="BT247">
        <f>VLOOKUP(Table1[[#This Row],[Reference]],metron,8,FALSE)</f>
        <v>1.743992017160418</v>
      </c>
      <c r="BU247">
        <f>VLOOKUP(Table1[[#This Row],[Reference]],metron,9,FALSE)</f>
        <v>0.97803937284245479</v>
      </c>
      <c r="BV247">
        <f>VLOOKUP(Table1[[#This Row],[Reference]],metron,10,FALSE)</f>
        <v>2.5271929824561399</v>
      </c>
      <c r="BW247">
        <f>VLOOKUP(Table1[[#This Row],[Reference]],metron,11,FALSE)</f>
        <v>1.510877192982456</v>
      </c>
      <c r="BX247">
        <f>VLOOKUP(Table1[[#This Row],[Reference]],metron,12,FALSE)</f>
        <v>1.0163157894736841</v>
      </c>
      <c r="BY247" s="6">
        <f>VLOOKUP(Table1[[#This Row],[Reference]],metron,13,FALSE)</f>
        <v>0.67350877192982461</v>
      </c>
      <c r="BZ247" s="6">
        <f>VLOOKUP(Table1[[#This Row],[Reference]],metron,14,FALSE)</f>
        <v>0.4442105263157895</v>
      </c>
      <c r="CA247" s="6">
        <f>VLOOKUP(Table1[[#This Row],[Reference]],metron,15,FALSE)</f>
        <v>12.80980392156863</v>
      </c>
      <c r="CB247" s="6">
        <f>VLOOKUP(Table1[[#This Row],[Reference]],metron,16,FALSE)</f>
        <v>9.6872549019607845</v>
      </c>
      <c r="CC247" s="6">
        <f>VLOOKUP(Table1[[#This Row],[Reference]],metron,17,FALSE)</f>
        <v>5.6491169610129957</v>
      </c>
      <c r="CD247" s="6">
        <f>VLOOKUP(Table1[[#This Row],[Reference]],metron,18,FALSE)</f>
        <v>4.1379540153282237</v>
      </c>
      <c r="CE247" s="6">
        <f>VLOOKUP(Table1[[#This Row],[Reference]],metron,19,FALSE)</f>
        <v>7.1606869605556343</v>
      </c>
      <c r="CF247" s="6">
        <f>VLOOKUP(Table1[[#This Row],[Reference]],metron,20,FALSE)</f>
        <v>5.5493008866325608</v>
      </c>
      <c r="CG247" s="6">
        <f>VLOOKUP(Table1[[#This Row],[Reference]],metron,21,FALSE)</f>
        <v>12.9029029029029</v>
      </c>
      <c r="CH247" s="6">
        <f>VLOOKUP(Table1[[#This Row],[Reference]],metron,22,FALSE)</f>
        <v>13.75508842175509</v>
      </c>
      <c r="CI247" s="6">
        <f>VLOOKUP(Table1[[#This Row],[Reference]],metron,23,FALSE)</f>
        <v>1.5287356321839081</v>
      </c>
      <c r="CJ247" s="6">
        <f>VLOOKUP(Table1[[#This Row],[Reference]],metron,24,FALSE)</f>
        <v>1.9664750957854411</v>
      </c>
      <c r="CK247" s="6">
        <f>VLOOKUP(Table1[[#This Row],[Reference]],metron,25,FALSE)</f>
        <v>8.8441890166028103E-2</v>
      </c>
      <c r="CL247" s="6">
        <f>VLOOKUP(Table1[[#This Row],[Reference]],metron,26,FALSE)</f>
        <v>0.13409961685823751</v>
      </c>
    </row>
    <row r="248" spans="1:90" hidden="1" x14ac:dyDescent="0.45">
      <c r="A248" t="s">
        <v>695</v>
      </c>
      <c r="B248">
        <v>1646535600</v>
      </c>
      <c r="C248" s="23" t="s">
        <v>531</v>
      </c>
      <c r="D248" t="s">
        <v>65</v>
      </c>
      <c r="E248" t="s">
        <v>66</v>
      </c>
      <c r="F248" t="s">
        <v>90</v>
      </c>
      <c r="G248" t="s">
        <v>73</v>
      </c>
      <c r="H248" t="s">
        <v>138</v>
      </c>
      <c r="I248">
        <f>MROUND(Table1[[#This Row],[ProbH]]*100,2)/100</f>
        <v>0.42</v>
      </c>
      <c r="J248">
        <f>1/Table1[[#This Row],[odds_ft_home_team_win]]-Table1[[#This Row],[Margin]]</f>
        <v>0.42080518351704788</v>
      </c>
      <c r="K248">
        <f>1/Table1[[#This Row],[odds_ft_draw]]-Table1[[#This Row],[Margin]]</f>
        <v>0.27395203666390106</v>
      </c>
      <c r="L248">
        <f>1/Table1[[#This Row],[odds_ft_away_team_win]]-Table1[[#This Row],[Margin]]</f>
        <v>0.30524277981905096</v>
      </c>
      <c r="M248">
        <v>9</v>
      </c>
      <c r="N248">
        <v>1.25</v>
      </c>
      <c r="O248">
        <v>1.23</v>
      </c>
      <c r="P248">
        <v>1.47</v>
      </c>
      <c r="Q248">
        <v>1.1100000000000001</v>
      </c>
      <c r="R248" t="str" cm="1">
        <f t="array" ref="R2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61</v>
      </c>
      <c r="AA248">
        <v>3</v>
      </c>
      <c r="AB248">
        <v>5</v>
      </c>
      <c r="AC248">
        <v>3</v>
      </c>
      <c r="AD248">
        <v>0</v>
      </c>
      <c r="AE248">
        <v>1</v>
      </c>
      <c r="AF248">
        <v>1</v>
      </c>
      <c r="AG248">
        <v>0</v>
      </c>
      <c r="AH248">
        <v>3</v>
      </c>
      <c r="AI248">
        <v>1</v>
      </c>
      <c r="AJ248">
        <v>1</v>
      </c>
      <c r="AK248">
        <v>13</v>
      </c>
      <c r="AL248">
        <v>7</v>
      </c>
      <c r="AM248">
        <v>2</v>
      </c>
      <c r="AN248">
        <v>2</v>
      </c>
      <c r="AO248">
        <v>11</v>
      </c>
      <c r="AP248">
        <v>5</v>
      </c>
      <c r="AQ248">
        <v>19</v>
      </c>
      <c r="AR248">
        <v>11</v>
      </c>
      <c r="AS248">
        <v>54</v>
      </c>
      <c r="AT248">
        <v>46</v>
      </c>
      <c r="AU248">
        <v>1.22</v>
      </c>
      <c r="AV248">
        <v>0.95</v>
      </c>
      <c r="AW248">
        <v>2.69</v>
      </c>
      <c r="AX248">
        <v>64</v>
      </c>
      <c r="AY248">
        <v>84</v>
      </c>
      <c r="AZ248">
        <v>60</v>
      </c>
      <c r="BA248">
        <v>20</v>
      </c>
      <c r="BB248">
        <v>8</v>
      </c>
      <c r="BC248">
        <v>37</v>
      </c>
      <c r="BD248">
        <v>81</v>
      </c>
      <c r="BE248">
        <v>52</v>
      </c>
      <c r="BF248">
        <v>84</v>
      </c>
      <c r="BG248">
        <v>11.85</v>
      </c>
      <c r="BH248">
        <v>5.66</v>
      </c>
      <c r="BI248">
        <v>2.2000000000000002</v>
      </c>
      <c r="BJ248">
        <v>3.25</v>
      </c>
      <c r="BK248">
        <v>2.95</v>
      </c>
      <c r="BL248">
        <f>(1/Table1[[#This Row],[odds_ft_home_team_win]]+1/Table1[[#This Row],[odds_ft_draw]]+1/Table1[[#This Row],[odds_ft_away_team_win]]-1)/3</f>
        <v>3.3740271028406633E-2</v>
      </c>
      <c r="BM248">
        <v>1.3</v>
      </c>
      <c r="BN248">
        <v>1.85</v>
      </c>
      <c r="BO248">
        <v>3.25</v>
      </c>
      <c r="BP248">
        <v>5.5</v>
      </c>
      <c r="BQ248">
        <v>1.73</v>
      </c>
      <c r="BR248">
        <v>2</v>
      </c>
      <c r="BS248" t="s">
        <v>94</v>
      </c>
      <c r="BT248">
        <f>VLOOKUP(Table1[[#This Row],[Reference]],metron,8,FALSE)</f>
        <v>1.5780106027030405</v>
      </c>
      <c r="BU248">
        <f>VLOOKUP(Table1[[#This Row],[Reference]],metron,9,FALSE)</f>
        <v>1.1353025412447635</v>
      </c>
      <c r="BV248">
        <f>VLOOKUP(Table1[[#This Row],[Reference]],metron,10,FALSE)</f>
        <v>2.4884649511978703</v>
      </c>
      <c r="BW248">
        <f>VLOOKUP(Table1[[#This Row],[Reference]],metron,11,FALSE)</f>
        <v>1.396960958296362</v>
      </c>
      <c r="BX248">
        <f>VLOOKUP(Table1[[#This Row],[Reference]],metron,12,FALSE)</f>
        <v>1.091503992901508</v>
      </c>
      <c r="BY248" s="6">
        <f>VLOOKUP(Table1[[#This Row],[Reference]],metron,13,FALSE)</f>
        <v>0.60765391014975045</v>
      </c>
      <c r="BZ248" s="6">
        <f>VLOOKUP(Table1[[#This Row],[Reference]],metron,14,FALSE)</f>
        <v>0.47276760953965608</v>
      </c>
      <c r="CA248" s="6">
        <f>VLOOKUP(Table1[[#This Row],[Reference]],metron,15,FALSE)</f>
        <v>12.29504785684561</v>
      </c>
      <c r="CB248" s="6">
        <f>VLOOKUP(Table1[[#This Row],[Reference]],metron,16,FALSE)</f>
        <v>10.047232625884311</v>
      </c>
      <c r="CC248" s="6">
        <f>VLOOKUP(Table1[[#This Row],[Reference]],metron,17,FALSE)</f>
        <v>5.2917192097519967</v>
      </c>
      <c r="CD248" s="6">
        <f>VLOOKUP(Table1[[#This Row],[Reference]],metron,18,FALSE)</f>
        <v>4.2580916351408158</v>
      </c>
      <c r="CE248" s="6">
        <f>VLOOKUP(Table1[[#This Row],[Reference]],metron,19,FALSE)</f>
        <v>7.0033286470936131</v>
      </c>
      <c r="CF248" s="6">
        <f>VLOOKUP(Table1[[#This Row],[Reference]],metron,20,FALSE)</f>
        <v>5.789140990743495</v>
      </c>
      <c r="CG248" s="6">
        <f>VLOOKUP(Table1[[#This Row],[Reference]],metron,21,FALSE)</f>
        <v>12.77041895895049</v>
      </c>
      <c r="CH248" s="6">
        <f>VLOOKUP(Table1[[#This Row],[Reference]],metron,22,FALSE)</f>
        <v>13.411129919593741</v>
      </c>
      <c r="CI248" s="6">
        <f>VLOOKUP(Table1[[#This Row],[Reference]],metron,23,FALSE)</f>
        <v>1.556141062018646</v>
      </c>
      <c r="CJ248" s="6">
        <f>VLOOKUP(Table1[[#This Row],[Reference]],metron,24,FALSE)</f>
        <v>1.9114308877178761</v>
      </c>
      <c r="CK248" s="6">
        <f>VLOOKUP(Table1[[#This Row],[Reference]],metron,25,FALSE)</f>
        <v>8.4920956627482766E-2</v>
      </c>
      <c r="CL248" s="6">
        <f>VLOOKUP(Table1[[#This Row],[Reference]],metron,26,FALSE)</f>
        <v>0.1323469801378192</v>
      </c>
    </row>
    <row r="249" spans="1:90" hidden="1" x14ac:dyDescent="0.45">
      <c r="A249" t="s">
        <v>695</v>
      </c>
      <c r="B249">
        <v>1647046800</v>
      </c>
      <c r="C249" s="23" t="s">
        <v>533</v>
      </c>
      <c r="D249" t="s">
        <v>65</v>
      </c>
      <c r="E249" t="s">
        <v>66</v>
      </c>
      <c r="F249" t="s">
        <v>72</v>
      </c>
      <c r="G249" t="s">
        <v>67</v>
      </c>
      <c r="H249" t="s">
        <v>103</v>
      </c>
      <c r="I249">
        <f>MROUND(Table1[[#This Row],[ProbH]]*100,2)/100</f>
        <v>0.44</v>
      </c>
      <c r="J249">
        <f>1/Table1[[#This Row],[odds_ft_home_team_win]]-Table1[[#This Row],[Margin]]</f>
        <v>0.43527013251783886</v>
      </c>
      <c r="K249">
        <f>1/Table1[[#This Row],[odds_ft_draw]]-Table1[[#This Row],[Margin]]</f>
        <v>0.28236493374108046</v>
      </c>
      <c r="L249">
        <f>1/Table1[[#This Row],[odds_ft_away_team_win]]-Table1[[#This Row],[Margin]]</f>
        <v>0.28236493374108046</v>
      </c>
      <c r="M249">
        <v>10</v>
      </c>
      <c r="N249">
        <v>1</v>
      </c>
      <c r="O249">
        <v>0.62</v>
      </c>
      <c r="P249">
        <v>1.24</v>
      </c>
      <c r="Q249">
        <v>0.65</v>
      </c>
      <c r="R249" t="str" cm="1">
        <f t="array" ref="R2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10</v>
      </c>
      <c r="AA249">
        <v>3</v>
      </c>
      <c r="AB249">
        <v>10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12</v>
      </c>
      <c r="AL249">
        <v>15</v>
      </c>
      <c r="AM249">
        <v>6</v>
      </c>
      <c r="AN249">
        <v>6</v>
      </c>
      <c r="AO249">
        <v>6</v>
      </c>
      <c r="AP249">
        <v>9</v>
      </c>
      <c r="AQ249">
        <v>13</v>
      </c>
      <c r="AR249">
        <v>4</v>
      </c>
      <c r="AS249">
        <v>41</v>
      </c>
      <c r="AT249">
        <v>59</v>
      </c>
      <c r="AU249">
        <v>1.42</v>
      </c>
      <c r="AV249">
        <v>1.82</v>
      </c>
      <c r="AW249">
        <v>2.14</v>
      </c>
      <c r="AX249">
        <v>36</v>
      </c>
      <c r="AY249">
        <v>68</v>
      </c>
      <c r="AZ249">
        <v>45</v>
      </c>
      <c r="BA249">
        <v>13</v>
      </c>
      <c r="BB249">
        <v>0</v>
      </c>
      <c r="BC249">
        <v>29</v>
      </c>
      <c r="BD249">
        <v>65</v>
      </c>
      <c r="BE249">
        <v>32</v>
      </c>
      <c r="BF249">
        <v>76</v>
      </c>
      <c r="BG249">
        <v>10.29</v>
      </c>
      <c r="BH249">
        <v>4.8099999999999996</v>
      </c>
      <c r="BI249">
        <v>2.1800000000000002</v>
      </c>
      <c r="BJ249">
        <v>3.27</v>
      </c>
      <c r="BK249">
        <v>3.27</v>
      </c>
      <c r="BL249">
        <f>(1/Table1[[#This Row],[odds_ft_home_team_win]]+1/Table1[[#This Row],[odds_ft_draw]]+1/Table1[[#This Row],[odds_ft_away_team_win]]-1)/3</f>
        <v>2.3445463812436323E-2</v>
      </c>
      <c r="BM249">
        <v>1.36</v>
      </c>
      <c r="BN249">
        <v>2.11</v>
      </c>
      <c r="BO249">
        <v>3.75</v>
      </c>
      <c r="BP249">
        <v>7.5</v>
      </c>
      <c r="BQ249">
        <v>1.85</v>
      </c>
      <c r="BR249">
        <v>1.85</v>
      </c>
      <c r="BS249" t="s">
        <v>76</v>
      </c>
      <c r="BT249">
        <f>VLOOKUP(Table1[[#This Row],[Reference]],metron,8,FALSE)</f>
        <v>1.6395459745305552</v>
      </c>
      <c r="BU249">
        <f>VLOOKUP(Table1[[#This Row],[Reference]],metron,9,FALSE)</f>
        <v>1.0758429359324786</v>
      </c>
      <c r="BV249">
        <f>VLOOKUP(Table1[[#This Row],[Reference]],metron,10,FALSE)</f>
        <v>2.4807646356033461</v>
      </c>
      <c r="BW249">
        <f>VLOOKUP(Table1[[#This Row],[Reference]],metron,11,FALSE)</f>
        <v>1.4140979689366791</v>
      </c>
      <c r="BX249">
        <f>VLOOKUP(Table1[[#This Row],[Reference]],metron,12,FALSE)</f>
        <v>1.0666666666666671</v>
      </c>
      <c r="BY249" s="6">
        <f>VLOOKUP(Table1[[#This Row],[Reference]],metron,13,FALSE)</f>
        <v>0.62712066905615294</v>
      </c>
      <c r="BZ249" s="6">
        <f>VLOOKUP(Table1[[#This Row],[Reference]],metron,14,FALSE)</f>
        <v>0.46009557945041818</v>
      </c>
      <c r="CA249" s="6">
        <f>VLOOKUP(Table1[[#This Row],[Reference]],metron,15,FALSE)</f>
        <v>12.56969280146722</v>
      </c>
      <c r="CB249" s="6">
        <f>VLOOKUP(Table1[[#This Row],[Reference]],metron,16,FALSE)</f>
        <v>9.8695552498853729</v>
      </c>
      <c r="CC249" s="6">
        <f>VLOOKUP(Table1[[#This Row],[Reference]],metron,17,FALSE)</f>
        <v>5.2754256787850897</v>
      </c>
      <c r="CD249" s="6">
        <f>VLOOKUP(Table1[[#This Row],[Reference]],metron,18,FALSE)</f>
        <v>4.1279337321675103</v>
      </c>
      <c r="CE249" s="6">
        <f>VLOOKUP(Table1[[#This Row],[Reference]],metron,19,FALSE)</f>
        <v>7.2942671226821298</v>
      </c>
      <c r="CF249" s="6">
        <f>VLOOKUP(Table1[[#This Row],[Reference]],metron,20,FALSE)</f>
        <v>5.7416215177178627</v>
      </c>
      <c r="CG249" s="6">
        <f>VLOOKUP(Table1[[#This Row],[Reference]],metron,21,FALSE)</f>
        <v>12.897246007868549</v>
      </c>
      <c r="CH249" s="6">
        <f>VLOOKUP(Table1[[#This Row],[Reference]],metron,22,FALSE)</f>
        <v>13.507058551261281</v>
      </c>
      <c r="CI249" s="6">
        <f>VLOOKUP(Table1[[#This Row],[Reference]],metron,23,FALSE)</f>
        <v>1.576522702104098</v>
      </c>
      <c r="CJ249" s="6">
        <f>VLOOKUP(Table1[[#This Row],[Reference]],metron,24,FALSE)</f>
        <v>1.917165005537099</v>
      </c>
      <c r="CK249" s="6">
        <f>VLOOKUP(Table1[[#This Row],[Reference]],metron,25,FALSE)</f>
        <v>8.4385382059800659E-2</v>
      </c>
      <c r="CL249" s="6">
        <f>VLOOKUP(Table1[[#This Row],[Reference]],metron,26,FALSE)</f>
        <v>0.1233665559246955</v>
      </c>
    </row>
    <row r="250" spans="1:90" hidden="1" x14ac:dyDescent="0.45">
      <c r="A250" t="s">
        <v>695</v>
      </c>
      <c r="B250">
        <v>1647054000</v>
      </c>
      <c r="C250" s="23" t="s">
        <v>534</v>
      </c>
      <c r="D250" t="s">
        <v>65</v>
      </c>
      <c r="E250" t="s">
        <v>66</v>
      </c>
      <c r="F250" t="s">
        <v>78</v>
      </c>
      <c r="G250" t="s">
        <v>97</v>
      </c>
      <c r="H250" t="s">
        <v>215</v>
      </c>
      <c r="I250">
        <f>MROUND(Table1[[#This Row],[ProbH]]*100,2)/100</f>
        <v>0.34</v>
      </c>
      <c r="J250">
        <f>1/Table1[[#This Row],[odds_ft_home_team_win]]-Table1[[#This Row],[Margin]]</f>
        <v>0.33404009412390767</v>
      </c>
      <c r="K250">
        <f>1/Table1[[#This Row],[odds_ft_draw]]-Table1[[#This Row],[Margin]]</f>
        <v>0.28745624319223062</v>
      </c>
      <c r="L250">
        <f>1/Table1[[#This Row],[odds_ft_away_team_win]]-Table1[[#This Row],[Margin]]</f>
        <v>0.37850366268386171</v>
      </c>
      <c r="M250">
        <v>10</v>
      </c>
      <c r="N250">
        <v>1.1499999999999999</v>
      </c>
      <c r="O250">
        <v>1.69</v>
      </c>
      <c r="P250">
        <v>0.88</v>
      </c>
      <c r="Q250">
        <v>1.68</v>
      </c>
      <c r="R250" t="str" cm="1">
        <f t="array" ref="R2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50">
        <v>1</v>
      </c>
      <c r="T250">
        <v>2</v>
      </c>
      <c r="U250">
        <v>3</v>
      </c>
      <c r="V250">
        <v>1</v>
      </c>
      <c r="W250">
        <v>0</v>
      </c>
      <c r="X250">
        <v>1</v>
      </c>
      <c r="Y250">
        <v>65</v>
      </c>
      <c r="Z250" t="s">
        <v>535</v>
      </c>
      <c r="AA250">
        <v>4</v>
      </c>
      <c r="AB250">
        <v>6</v>
      </c>
      <c r="AC250">
        <v>2</v>
      </c>
      <c r="AD250">
        <v>0</v>
      </c>
      <c r="AE250">
        <v>3</v>
      </c>
      <c r="AF250">
        <v>0</v>
      </c>
      <c r="AG250">
        <v>1</v>
      </c>
      <c r="AH250">
        <v>1</v>
      </c>
      <c r="AI250">
        <v>3</v>
      </c>
      <c r="AJ250">
        <v>0</v>
      </c>
      <c r="AK250">
        <v>7</v>
      </c>
      <c r="AL250">
        <v>18</v>
      </c>
      <c r="AM250">
        <v>3</v>
      </c>
      <c r="AN250">
        <v>4</v>
      </c>
      <c r="AO250">
        <v>4</v>
      </c>
      <c r="AP250">
        <v>14</v>
      </c>
      <c r="AQ250">
        <v>16</v>
      </c>
      <c r="AR250">
        <v>14</v>
      </c>
      <c r="AS250">
        <v>49</v>
      </c>
      <c r="AT250">
        <v>51</v>
      </c>
      <c r="AU250">
        <v>0.81</v>
      </c>
      <c r="AV250">
        <v>1.77</v>
      </c>
      <c r="AW250">
        <v>2.2599999999999998</v>
      </c>
      <c r="AX250">
        <v>50</v>
      </c>
      <c r="AY250">
        <v>63</v>
      </c>
      <c r="AZ250">
        <v>37</v>
      </c>
      <c r="BA250">
        <v>22</v>
      </c>
      <c r="BB250">
        <v>11</v>
      </c>
      <c r="BC250">
        <v>40</v>
      </c>
      <c r="BD250">
        <v>72</v>
      </c>
      <c r="BE250">
        <v>32</v>
      </c>
      <c r="BF250">
        <v>56</v>
      </c>
      <c r="BG250">
        <v>8.0299999999999994</v>
      </c>
      <c r="BH250">
        <v>4.5199999999999996</v>
      </c>
      <c r="BI250">
        <v>2.8</v>
      </c>
      <c r="BJ250">
        <v>3.22</v>
      </c>
      <c r="BK250">
        <v>2.4900000000000002</v>
      </c>
      <c r="BL250">
        <f>(1/Table1[[#This Row],[odds_ft_home_team_win]]+1/Table1[[#This Row],[odds_ft_draw]]+1/Table1[[#This Row],[odds_ft_away_team_win]]-1)/3</f>
        <v>2.3102763018949462E-2</v>
      </c>
      <c r="BM250">
        <v>1.5</v>
      </c>
      <c r="BN250">
        <v>2.19</v>
      </c>
      <c r="BO250">
        <v>4.33</v>
      </c>
      <c r="BP250">
        <v>9</v>
      </c>
      <c r="BQ250">
        <v>2</v>
      </c>
      <c r="BR250">
        <v>1.73</v>
      </c>
      <c r="BS250" t="s">
        <v>82</v>
      </c>
      <c r="BT250">
        <f>VLOOKUP(Table1[[#This Row],[Reference]],metron,8,FALSE)</f>
        <v>1.3382439854569812</v>
      </c>
      <c r="BU250">
        <f>VLOOKUP(Table1[[#This Row],[Reference]],metron,9,FALSE)</f>
        <v>1.3740319615582339</v>
      </c>
      <c r="BV250">
        <f>VLOOKUP(Table1[[#This Row],[Reference]],metron,10,FALSE)</f>
        <v>2.5229727551184897</v>
      </c>
      <c r="BW250">
        <f>VLOOKUP(Table1[[#This Row],[Reference]],metron,11,FALSE)</f>
        <v>1.228921489601805</v>
      </c>
      <c r="BX250">
        <f>VLOOKUP(Table1[[#This Row],[Reference]],metron,12,FALSE)</f>
        <v>1.2940512655166849</v>
      </c>
      <c r="BY250" s="6">
        <f>VLOOKUP(Table1[[#This Row],[Reference]],metron,13,FALSE)</f>
        <v>0.53240890035472432</v>
      </c>
      <c r="BZ250" s="6">
        <f>VLOOKUP(Table1[[#This Row],[Reference]],metron,14,FALSE)</f>
        <v>0.56514027732989358</v>
      </c>
      <c r="CA250" s="6">
        <f>VLOOKUP(Table1[[#This Row],[Reference]],metron,15,FALSE)</f>
        <v>11.417888124439131</v>
      </c>
      <c r="CB250" s="6">
        <f>VLOOKUP(Table1[[#This Row],[Reference]],metron,16,FALSE)</f>
        <v>10.76308704756207</v>
      </c>
      <c r="CC250" s="6">
        <f>VLOOKUP(Table1[[#This Row],[Reference]],metron,17,FALSE)</f>
        <v>4.8317672021824798</v>
      </c>
      <c r="CD250" s="6">
        <f>VLOOKUP(Table1[[#This Row],[Reference]],metron,18,FALSE)</f>
        <v>4.6698999696877843</v>
      </c>
      <c r="CE250" s="6">
        <f>VLOOKUP(Table1[[#This Row],[Reference]],metron,19,FALSE)</f>
        <v>6.5861209222566508</v>
      </c>
      <c r="CF250" s="6">
        <f>VLOOKUP(Table1[[#This Row],[Reference]],metron,20,FALSE)</f>
        <v>6.093187077874286</v>
      </c>
      <c r="CG250" s="6">
        <f>VLOOKUP(Table1[[#This Row],[Reference]],metron,21,FALSE)</f>
        <v>12.685679611650491</v>
      </c>
      <c r="CH250" s="6">
        <f>VLOOKUP(Table1[[#This Row],[Reference]],metron,22,FALSE)</f>
        <v>13.02639563106796</v>
      </c>
      <c r="CI250" s="6">
        <f>VLOOKUP(Table1[[#This Row],[Reference]],metron,23,FALSE)</f>
        <v>1.6481211768132831</v>
      </c>
      <c r="CJ250" s="6">
        <f>VLOOKUP(Table1[[#This Row],[Reference]],metron,24,FALSE)</f>
        <v>1.8572676958928049</v>
      </c>
      <c r="CK250" s="6">
        <f>VLOOKUP(Table1[[#This Row],[Reference]],metron,25,FALSE)</f>
        <v>9.641712787649287E-2</v>
      </c>
      <c r="CL250" s="6">
        <f>VLOOKUP(Table1[[#This Row],[Reference]],metron,26,FALSE)</f>
        <v>0.11302068161957469</v>
      </c>
    </row>
    <row r="251" spans="1:90" hidden="1" x14ac:dyDescent="0.45">
      <c r="A251" t="s">
        <v>695</v>
      </c>
      <c r="B251">
        <v>1647054360</v>
      </c>
      <c r="C251" s="23" t="s">
        <v>536</v>
      </c>
      <c r="D251" t="s">
        <v>65</v>
      </c>
      <c r="E251" t="s">
        <v>66</v>
      </c>
      <c r="F251" t="s">
        <v>101</v>
      </c>
      <c r="G251" t="s">
        <v>113</v>
      </c>
      <c r="H251" t="s">
        <v>66</v>
      </c>
      <c r="I251">
        <f>MROUND(Table1[[#This Row],[ProbH]]*100,2)/100</f>
        <v>0.64</v>
      </c>
      <c r="J251">
        <f>1/Table1[[#This Row],[odds_ft_home_team_win]]-Table1[[#This Row],[Margin]]</f>
        <v>0.63498048906926297</v>
      </c>
      <c r="K251">
        <f>1/Table1[[#This Row],[odds_ft_draw]]-Table1[[#This Row],[Margin]]</f>
        <v>0.22399933247407125</v>
      </c>
      <c r="L251">
        <f>1/Table1[[#This Row],[odds_ft_away_team_win]]-Table1[[#This Row],[Margin]]</f>
        <v>0.14102017845666587</v>
      </c>
      <c r="M251">
        <v>10</v>
      </c>
      <c r="N251">
        <v>1.54</v>
      </c>
      <c r="O251">
        <v>0.42</v>
      </c>
      <c r="P251">
        <v>1.79</v>
      </c>
      <c r="Q251">
        <v>0.72</v>
      </c>
      <c r="R251" t="str" cm="1">
        <f t="array" ref="R2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1">
        <v>2</v>
      </c>
      <c r="T251">
        <v>1</v>
      </c>
      <c r="U251">
        <v>3</v>
      </c>
      <c r="V251">
        <v>2</v>
      </c>
      <c r="W251">
        <v>2</v>
      </c>
      <c r="X251">
        <v>0</v>
      </c>
      <c r="Y251" t="s">
        <v>537</v>
      </c>
      <c r="Z251">
        <v>72</v>
      </c>
      <c r="AA251">
        <v>2</v>
      </c>
      <c r="AB251">
        <v>2</v>
      </c>
      <c r="AC251">
        <v>3</v>
      </c>
      <c r="AD251">
        <v>0</v>
      </c>
      <c r="AE251">
        <v>3</v>
      </c>
      <c r="AF251">
        <v>1</v>
      </c>
      <c r="AG251">
        <v>1</v>
      </c>
      <c r="AH251">
        <v>2</v>
      </c>
      <c r="AI251">
        <v>0</v>
      </c>
      <c r="AJ251">
        <v>4</v>
      </c>
      <c r="AK251">
        <v>5</v>
      </c>
      <c r="AL251">
        <v>5</v>
      </c>
      <c r="AM251">
        <v>3</v>
      </c>
      <c r="AN251">
        <v>2</v>
      </c>
      <c r="AO251">
        <v>2</v>
      </c>
      <c r="AP251">
        <v>3</v>
      </c>
      <c r="AQ251">
        <v>15</v>
      </c>
      <c r="AR251">
        <v>11</v>
      </c>
      <c r="AS251">
        <v>44</v>
      </c>
      <c r="AT251">
        <v>56</v>
      </c>
      <c r="AU251">
        <v>0.75</v>
      </c>
      <c r="AV251">
        <v>0.73</v>
      </c>
      <c r="AW251">
        <v>2.2599999999999998</v>
      </c>
      <c r="AX251">
        <v>32</v>
      </c>
      <c r="AY251">
        <v>73</v>
      </c>
      <c r="AZ251">
        <v>37</v>
      </c>
      <c r="BA251">
        <v>20</v>
      </c>
      <c r="BB251">
        <v>4</v>
      </c>
      <c r="BC251">
        <v>21</v>
      </c>
      <c r="BD251">
        <v>69</v>
      </c>
      <c r="BE251">
        <v>33</v>
      </c>
      <c r="BF251">
        <v>68</v>
      </c>
      <c r="BG251">
        <v>7.33</v>
      </c>
      <c r="BH251">
        <v>5.62</v>
      </c>
      <c r="BI251">
        <v>1.52</v>
      </c>
      <c r="BJ251">
        <v>4.05</v>
      </c>
      <c r="BK251">
        <v>6.1</v>
      </c>
      <c r="BL251">
        <f>(1/Table1[[#This Row],[odds_ft_home_team_win]]+1/Table1[[#This Row],[odds_ft_draw]]+1/Table1[[#This Row],[odds_ft_away_team_win]]-1)/3</f>
        <v>2.2914247772842344E-2</v>
      </c>
      <c r="BM251">
        <v>0</v>
      </c>
      <c r="BN251">
        <v>1.92</v>
      </c>
      <c r="BO251">
        <v>0</v>
      </c>
      <c r="BP251">
        <v>0</v>
      </c>
      <c r="BQ251">
        <v>0</v>
      </c>
      <c r="BR251">
        <v>0</v>
      </c>
      <c r="BS251" t="s">
        <v>104</v>
      </c>
      <c r="BT251">
        <f>VLOOKUP(Table1[[#This Row],[Reference]],metron,8,FALSE)</f>
        <v>2.1745910991837163</v>
      </c>
      <c r="BU251">
        <f>VLOOKUP(Table1[[#This Row],[Reference]],metron,9,FALSE)</f>
        <v>0.59796358565236019</v>
      </c>
      <c r="BV251">
        <f>VLOOKUP(Table1[[#This Row],[Reference]],metron,10,FALSE)</f>
        <v>2.8343749999999996</v>
      </c>
      <c r="BW251">
        <f>VLOOKUP(Table1[[#This Row],[Reference]],metron,11,FALSE)</f>
        <v>1.980803571428571</v>
      </c>
      <c r="BX251">
        <f>VLOOKUP(Table1[[#This Row],[Reference]],metron,12,FALSE)</f>
        <v>0.85357142857142854</v>
      </c>
      <c r="BY251" s="6">
        <f>VLOOKUP(Table1[[#This Row],[Reference]],metron,13,FALSE)</f>
        <v>0.8683035714285714</v>
      </c>
      <c r="BZ251" s="6">
        <f>VLOOKUP(Table1[[#This Row],[Reference]],metron,14,FALSE)</f>
        <v>0.36607142857142849</v>
      </c>
      <c r="CA251" s="6">
        <f>VLOOKUP(Table1[[#This Row],[Reference]],metron,15,FALSE)</f>
        <v>15.03980099502488</v>
      </c>
      <c r="CB251" s="6">
        <f>VLOOKUP(Table1[[#This Row],[Reference]],metron,16,FALSE)</f>
        <v>8.6326699834162515</v>
      </c>
      <c r="CC251" s="6">
        <f>VLOOKUP(Table1[[#This Row],[Reference]],metron,17,FALSE)</f>
        <v>6.5189234650967203</v>
      </c>
      <c r="CD251" s="6">
        <f>VLOOKUP(Table1[[#This Row],[Reference]],metron,18,FALSE)</f>
        <v>3.4507989907485279</v>
      </c>
      <c r="CE251" s="6">
        <f>VLOOKUP(Table1[[#This Row],[Reference]],metron,19,FALSE)</f>
        <v>8.5208775299281605</v>
      </c>
      <c r="CF251" s="6">
        <f>VLOOKUP(Table1[[#This Row],[Reference]],metron,20,FALSE)</f>
        <v>5.181870992667724</v>
      </c>
      <c r="CG251" s="6">
        <f>VLOOKUP(Table1[[#This Row],[Reference]],metron,21,FALSE)</f>
        <v>12.48566610455312</v>
      </c>
      <c r="CH251" s="6">
        <f>VLOOKUP(Table1[[#This Row],[Reference]],metron,22,FALSE)</f>
        <v>13.573355817875211</v>
      </c>
      <c r="CI251" s="6">
        <f>VLOOKUP(Table1[[#This Row],[Reference]],metron,23,FALSE)</f>
        <v>1.395273023634882</v>
      </c>
      <c r="CJ251" s="6">
        <f>VLOOKUP(Table1[[#This Row],[Reference]],metron,24,FALSE)</f>
        <v>2.0586797066014668</v>
      </c>
      <c r="CK251" s="6">
        <f>VLOOKUP(Table1[[#This Row],[Reference]],metron,25,FALSE)</f>
        <v>6.8459657701711488E-2</v>
      </c>
      <c r="CL251" s="6">
        <f>VLOOKUP(Table1[[#This Row],[Reference]],metron,26,FALSE)</f>
        <v>0.12713936430317849</v>
      </c>
    </row>
    <row r="252" spans="1:90" hidden="1" x14ac:dyDescent="0.45">
      <c r="A252" t="s">
        <v>695</v>
      </c>
      <c r="B252">
        <v>1647126000</v>
      </c>
      <c r="C252" s="23" t="s">
        <v>538</v>
      </c>
      <c r="D252" t="s">
        <v>65</v>
      </c>
      <c r="E252" t="s">
        <v>66</v>
      </c>
      <c r="F252" t="s">
        <v>85</v>
      </c>
      <c r="G252" t="s">
        <v>107</v>
      </c>
      <c r="H252" t="s">
        <v>122</v>
      </c>
      <c r="I252">
        <f>MROUND(Table1[[#This Row],[ProbH]]*100,2)/100</f>
        <v>0.42</v>
      </c>
      <c r="J252">
        <f>1/Table1[[#This Row],[odds_ft_home_team_win]]-Table1[[#This Row],[Margin]]</f>
        <v>0.42681076011287983</v>
      </c>
      <c r="K252">
        <f>1/Table1[[#This Row],[odds_ft_draw]]-Table1[[#This Row],[Margin]]</f>
        <v>0.26523176041117952</v>
      </c>
      <c r="L252">
        <f>1/Table1[[#This Row],[odds_ft_away_team_win]]-Table1[[#This Row],[Margin]]</f>
        <v>0.30795747947594082</v>
      </c>
      <c r="M252">
        <v>10</v>
      </c>
      <c r="N252">
        <v>1.81</v>
      </c>
      <c r="O252">
        <v>1.5</v>
      </c>
      <c r="P252">
        <v>1.55</v>
      </c>
      <c r="Q252">
        <v>1.48</v>
      </c>
      <c r="R252" t="str" cm="1">
        <f t="array" ref="R2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52">
        <v>0</v>
      </c>
      <c r="T252">
        <v>3</v>
      </c>
      <c r="U252">
        <v>3</v>
      </c>
      <c r="V252">
        <v>2</v>
      </c>
      <c r="W252">
        <v>0</v>
      </c>
      <c r="X252">
        <v>2</v>
      </c>
      <c r="Z252" t="s">
        <v>539</v>
      </c>
      <c r="AA252">
        <v>10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16</v>
      </c>
      <c r="AL252">
        <v>14</v>
      </c>
      <c r="AM252">
        <v>4</v>
      </c>
      <c r="AN252">
        <v>8</v>
      </c>
      <c r="AO252">
        <v>12</v>
      </c>
      <c r="AP252">
        <v>6</v>
      </c>
      <c r="AQ252">
        <v>14</v>
      </c>
      <c r="AR252">
        <v>15</v>
      </c>
      <c r="AS252">
        <v>53</v>
      </c>
      <c r="AT252">
        <v>47</v>
      </c>
      <c r="AU252">
        <v>1.68</v>
      </c>
      <c r="AV252">
        <v>1.66</v>
      </c>
      <c r="AW252">
        <v>2.56</v>
      </c>
      <c r="AX252">
        <v>64</v>
      </c>
      <c r="AY252">
        <v>84</v>
      </c>
      <c r="AZ252">
        <v>57</v>
      </c>
      <c r="BA252">
        <v>14</v>
      </c>
      <c r="BB252">
        <v>7</v>
      </c>
      <c r="BC252">
        <v>34</v>
      </c>
      <c r="BD252">
        <v>80</v>
      </c>
      <c r="BE252">
        <v>48</v>
      </c>
      <c r="BF252">
        <v>84</v>
      </c>
      <c r="BG252">
        <v>8.98</v>
      </c>
      <c r="BH252">
        <v>4.87</v>
      </c>
      <c r="BI252">
        <v>2.2599999999999998</v>
      </c>
      <c r="BJ252">
        <v>3.56</v>
      </c>
      <c r="BK252">
        <v>3.09</v>
      </c>
      <c r="BL252">
        <f>(1/Table1[[#This Row],[odds_ft_home_team_win]]+1/Table1[[#This Row],[odds_ft_draw]]+1/Table1[[#This Row],[odds_ft_away_team_win]]-1)/3</f>
        <v>1.5667115993314901E-2</v>
      </c>
      <c r="BM252">
        <v>1.33</v>
      </c>
      <c r="BN252">
        <v>2.04</v>
      </c>
      <c r="BO252">
        <v>3.4</v>
      </c>
      <c r="BP252">
        <v>6.5</v>
      </c>
      <c r="BQ252">
        <v>1.8</v>
      </c>
      <c r="BR252">
        <v>1.91</v>
      </c>
      <c r="BS252" t="s">
        <v>128</v>
      </c>
      <c r="BT252">
        <f>VLOOKUP(Table1[[#This Row],[Reference]],metron,8,FALSE)</f>
        <v>1.5780106027030405</v>
      </c>
      <c r="BU252">
        <f>VLOOKUP(Table1[[#This Row],[Reference]],metron,9,FALSE)</f>
        <v>1.1353025412447635</v>
      </c>
      <c r="BV252">
        <f>VLOOKUP(Table1[[#This Row],[Reference]],metron,10,FALSE)</f>
        <v>2.4884649511978703</v>
      </c>
      <c r="BW252">
        <f>VLOOKUP(Table1[[#This Row],[Reference]],metron,11,FALSE)</f>
        <v>1.396960958296362</v>
      </c>
      <c r="BX252">
        <f>VLOOKUP(Table1[[#This Row],[Reference]],metron,12,FALSE)</f>
        <v>1.091503992901508</v>
      </c>
      <c r="BY252" s="6">
        <f>VLOOKUP(Table1[[#This Row],[Reference]],metron,13,FALSE)</f>
        <v>0.60765391014975045</v>
      </c>
      <c r="BZ252" s="6">
        <f>VLOOKUP(Table1[[#This Row],[Reference]],metron,14,FALSE)</f>
        <v>0.47276760953965608</v>
      </c>
      <c r="CA252" s="6">
        <f>VLOOKUP(Table1[[#This Row],[Reference]],metron,15,FALSE)</f>
        <v>12.29504785684561</v>
      </c>
      <c r="CB252" s="6">
        <f>VLOOKUP(Table1[[#This Row],[Reference]],metron,16,FALSE)</f>
        <v>10.047232625884311</v>
      </c>
      <c r="CC252" s="6">
        <f>VLOOKUP(Table1[[#This Row],[Reference]],metron,17,FALSE)</f>
        <v>5.2917192097519967</v>
      </c>
      <c r="CD252" s="6">
        <f>VLOOKUP(Table1[[#This Row],[Reference]],metron,18,FALSE)</f>
        <v>4.2580916351408158</v>
      </c>
      <c r="CE252" s="6">
        <f>VLOOKUP(Table1[[#This Row],[Reference]],metron,19,FALSE)</f>
        <v>7.0033286470936131</v>
      </c>
      <c r="CF252" s="6">
        <f>VLOOKUP(Table1[[#This Row],[Reference]],metron,20,FALSE)</f>
        <v>5.789140990743495</v>
      </c>
      <c r="CG252" s="6">
        <f>VLOOKUP(Table1[[#This Row],[Reference]],metron,21,FALSE)</f>
        <v>12.77041895895049</v>
      </c>
      <c r="CH252" s="6">
        <f>VLOOKUP(Table1[[#This Row],[Reference]],metron,22,FALSE)</f>
        <v>13.411129919593741</v>
      </c>
      <c r="CI252" s="6">
        <f>VLOOKUP(Table1[[#This Row],[Reference]],metron,23,FALSE)</f>
        <v>1.556141062018646</v>
      </c>
      <c r="CJ252" s="6">
        <f>VLOOKUP(Table1[[#This Row],[Reference]],metron,24,FALSE)</f>
        <v>1.9114308877178761</v>
      </c>
      <c r="CK252" s="6">
        <f>VLOOKUP(Table1[[#This Row],[Reference]],metron,25,FALSE)</f>
        <v>8.4920956627482766E-2</v>
      </c>
      <c r="CL252" s="6">
        <f>VLOOKUP(Table1[[#This Row],[Reference]],metron,26,FALSE)</f>
        <v>0.1323469801378192</v>
      </c>
    </row>
    <row r="253" spans="1:90" hidden="1" x14ac:dyDescent="0.45">
      <c r="A253" t="s">
        <v>695</v>
      </c>
      <c r="B253">
        <v>1647133200</v>
      </c>
      <c r="C253" s="23" t="s">
        <v>540</v>
      </c>
      <c r="D253" t="s">
        <v>65</v>
      </c>
      <c r="E253" t="s">
        <v>66</v>
      </c>
      <c r="F253" t="s">
        <v>112</v>
      </c>
      <c r="G253" t="s">
        <v>96</v>
      </c>
      <c r="H253" t="s">
        <v>130</v>
      </c>
      <c r="I253">
        <f>MROUND(Table1[[#This Row],[ProbH]]*100,2)/100</f>
        <v>0.52</v>
      </c>
      <c r="J253">
        <f>1/Table1[[#This Row],[odds_ft_home_team_win]]-Table1[[#This Row],[Margin]]</f>
        <v>0.51387512307052541</v>
      </c>
      <c r="K253">
        <f>1/Table1[[#This Row],[odds_ft_draw]]-Table1[[#This Row],[Margin]]</f>
        <v>0.25504486424026651</v>
      </c>
      <c r="L253">
        <f>1/Table1[[#This Row],[odds_ft_away_team_win]]-Table1[[#This Row],[Margin]]</f>
        <v>0.23108001268920811</v>
      </c>
      <c r="M253">
        <v>10</v>
      </c>
      <c r="N253">
        <v>1.29</v>
      </c>
      <c r="O253">
        <v>1.27</v>
      </c>
      <c r="P253">
        <v>1.25</v>
      </c>
      <c r="Q253">
        <v>1.1000000000000001</v>
      </c>
      <c r="R253" t="str" cm="1">
        <f t="array" ref="R2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3">
        <v>2</v>
      </c>
      <c r="T253">
        <v>1</v>
      </c>
      <c r="U253">
        <v>3</v>
      </c>
      <c r="V253">
        <v>2</v>
      </c>
      <c r="W253">
        <v>1</v>
      </c>
      <c r="X253">
        <v>1</v>
      </c>
      <c r="Y253" t="s">
        <v>541</v>
      </c>
      <c r="Z253">
        <v>30</v>
      </c>
      <c r="AA253">
        <v>9</v>
      </c>
      <c r="AB253">
        <v>6</v>
      </c>
      <c r="AC253">
        <v>3</v>
      </c>
      <c r="AD253">
        <v>0</v>
      </c>
      <c r="AE253">
        <v>2</v>
      </c>
      <c r="AF253">
        <v>0</v>
      </c>
      <c r="AG253">
        <v>0</v>
      </c>
      <c r="AH253">
        <v>3</v>
      </c>
      <c r="AI253">
        <v>0</v>
      </c>
      <c r="AJ253">
        <v>2</v>
      </c>
      <c r="AK253">
        <v>19</v>
      </c>
      <c r="AL253">
        <v>15</v>
      </c>
      <c r="AM253">
        <v>9</v>
      </c>
      <c r="AN253">
        <v>6</v>
      </c>
      <c r="AO253">
        <v>10</v>
      </c>
      <c r="AP253">
        <v>9</v>
      </c>
      <c r="AQ253">
        <v>6</v>
      </c>
      <c r="AR253">
        <v>9</v>
      </c>
      <c r="AS253">
        <v>51</v>
      </c>
      <c r="AT253">
        <v>49</v>
      </c>
      <c r="AU253">
        <v>2.09</v>
      </c>
      <c r="AV253">
        <v>1.59</v>
      </c>
      <c r="AW253">
        <v>2.52</v>
      </c>
      <c r="AX253">
        <v>55</v>
      </c>
      <c r="AY253">
        <v>80</v>
      </c>
      <c r="AZ253">
        <v>48</v>
      </c>
      <c r="BA253">
        <v>24</v>
      </c>
      <c r="BB253">
        <v>7</v>
      </c>
      <c r="BC253">
        <v>28</v>
      </c>
      <c r="BD253">
        <v>83</v>
      </c>
      <c r="BE253">
        <v>35</v>
      </c>
      <c r="BF253">
        <v>83</v>
      </c>
      <c r="BG253">
        <v>8.73</v>
      </c>
      <c r="BH253">
        <v>5.13</v>
      </c>
      <c r="BI253">
        <v>1.89</v>
      </c>
      <c r="BJ253">
        <v>3.7</v>
      </c>
      <c r="BK253">
        <v>4.0599999999999996</v>
      </c>
      <c r="BL253">
        <f>(1/Table1[[#This Row],[odds_ft_home_team_win]]+1/Table1[[#This Row],[odds_ft_draw]]+1/Table1[[#This Row],[odds_ft_away_team_win]]-1)/3</f>
        <v>1.5225406030003738E-2</v>
      </c>
      <c r="BM253">
        <v>1.33</v>
      </c>
      <c r="BN253">
        <v>2.06</v>
      </c>
      <c r="BO253">
        <v>3.75</v>
      </c>
      <c r="BP253">
        <v>6.5</v>
      </c>
      <c r="BQ253">
        <v>1.9</v>
      </c>
      <c r="BR253">
        <v>1.85</v>
      </c>
      <c r="BS253" t="s">
        <v>116</v>
      </c>
      <c r="BT253">
        <f>VLOOKUP(Table1[[#This Row],[Reference]],metron,8,FALSE)</f>
        <v>1.8614830167843088</v>
      </c>
      <c r="BU253">
        <f>VLOOKUP(Table1[[#This Row],[Reference]],metron,9,FALSE)</f>
        <v>0.87079851622593896</v>
      </c>
      <c r="BV253">
        <f>VLOOKUP(Table1[[#This Row],[Reference]],metron,10,FALSE)</f>
        <v>2.5967403582378576</v>
      </c>
      <c r="BW253">
        <f>VLOOKUP(Table1[[#This Row],[Reference]],metron,11,FALSE)</f>
        <v>1.625948039373891</v>
      </c>
      <c r="BX253">
        <f>VLOOKUP(Table1[[#This Row],[Reference]],metron,12,FALSE)</f>
        <v>0.97079231886396644</v>
      </c>
      <c r="BY253" s="6">
        <f>VLOOKUP(Table1[[#This Row],[Reference]],metron,13,FALSE)</f>
        <v>0.71433182698515174</v>
      </c>
      <c r="BZ253" s="6">
        <f>VLOOKUP(Table1[[#This Row],[Reference]],metron,14,FALSE)</f>
        <v>0.43011620400258233</v>
      </c>
      <c r="CA253" s="6">
        <f>VLOOKUP(Table1[[#This Row],[Reference]],metron,15,FALSE)</f>
        <v>13.39951055368614</v>
      </c>
      <c r="CB253" s="6">
        <f>VLOOKUP(Table1[[#This Row],[Reference]],metron,16,FALSE)</f>
        <v>9.4252064851636579</v>
      </c>
      <c r="CC253" s="6">
        <f>VLOOKUP(Table1[[#This Row],[Reference]],metron,17,FALSE)</f>
        <v>5.7628422023992618</v>
      </c>
      <c r="CD253" s="6">
        <f>VLOOKUP(Table1[[#This Row],[Reference]],metron,18,FALSE)</f>
        <v>3.9375576745616732</v>
      </c>
      <c r="CE253" s="6">
        <f>VLOOKUP(Table1[[#This Row],[Reference]],metron,19,FALSE)</f>
        <v>7.636668351286878</v>
      </c>
      <c r="CF253" s="6">
        <f>VLOOKUP(Table1[[#This Row],[Reference]],metron,20,FALSE)</f>
        <v>5.4876488106019847</v>
      </c>
      <c r="CG253" s="6">
        <f>VLOOKUP(Table1[[#This Row],[Reference]],metron,21,FALSE)</f>
        <v>12.460420531849101</v>
      </c>
      <c r="CH253" s="6">
        <f>VLOOKUP(Table1[[#This Row],[Reference]],metron,22,FALSE)</f>
        <v>13.44897959183673</v>
      </c>
      <c r="CI253" s="6">
        <f>VLOOKUP(Table1[[#This Row],[Reference]],metron,23,FALSE)</f>
        <v>1.462202380952381</v>
      </c>
      <c r="CJ253" s="6">
        <f>VLOOKUP(Table1[[#This Row],[Reference]],metron,24,FALSE)</f>
        <v>2.01547619047619</v>
      </c>
      <c r="CK253" s="6">
        <f>VLOOKUP(Table1[[#This Row],[Reference]],metron,25,FALSE)</f>
        <v>7.7380952380952384E-2</v>
      </c>
      <c r="CL253" s="6">
        <f>VLOOKUP(Table1[[#This Row],[Reference]],metron,26,FALSE)</f>
        <v>0.13754093480202439</v>
      </c>
    </row>
    <row r="254" spans="1:90" hidden="1" x14ac:dyDescent="0.45">
      <c r="A254" t="s">
        <v>695</v>
      </c>
      <c r="B254">
        <v>1647140400</v>
      </c>
      <c r="C254" s="23" t="s">
        <v>542</v>
      </c>
      <c r="D254" t="s">
        <v>65</v>
      </c>
      <c r="E254" t="s">
        <v>66</v>
      </c>
      <c r="F254" t="s">
        <v>90</v>
      </c>
      <c r="G254" t="s">
        <v>68</v>
      </c>
      <c r="H254" t="s">
        <v>74</v>
      </c>
      <c r="I254">
        <f>MROUND(Table1[[#This Row],[ProbH]]*100,2)/100</f>
        <v>0.38</v>
      </c>
      <c r="J254">
        <f>1/Table1[[#This Row],[odds_ft_home_team_win]]-Table1[[#This Row],[Margin]]</f>
        <v>0.38018539817432806</v>
      </c>
      <c r="K254">
        <f>1/Table1[[#This Row],[odds_ft_draw]]-Table1[[#This Row],[Margin]]</f>
        <v>0.26745091043984037</v>
      </c>
      <c r="L254">
        <f>1/Table1[[#This Row],[odds_ft_away_team_win]]-Table1[[#This Row],[Margin]]</f>
        <v>0.35236369138583162</v>
      </c>
      <c r="M254">
        <v>10</v>
      </c>
      <c r="N254">
        <v>1.38</v>
      </c>
      <c r="O254">
        <v>1.29</v>
      </c>
      <c r="P254">
        <v>1.47</v>
      </c>
      <c r="Q254">
        <v>1.53</v>
      </c>
      <c r="R254" t="str" cm="1">
        <f t="array" ref="R2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AA254">
        <v>7</v>
      </c>
      <c r="AB254">
        <v>2</v>
      </c>
      <c r="AC254">
        <v>3</v>
      </c>
      <c r="AD254">
        <v>0</v>
      </c>
      <c r="AE254">
        <v>1</v>
      </c>
      <c r="AF254">
        <v>1</v>
      </c>
      <c r="AG254">
        <v>1</v>
      </c>
      <c r="AH254">
        <v>2</v>
      </c>
      <c r="AI254">
        <v>1</v>
      </c>
      <c r="AJ254">
        <v>1</v>
      </c>
      <c r="AK254">
        <v>16</v>
      </c>
      <c r="AL254">
        <v>8</v>
      </c>
      <c r="AM254">
        <v>3</v>
      </c>
      <c r="AN254">
        <v>4</v>
      </c>
      <c r="AO254">
        <v>13</v>
      </c>
      <c r="AP254">
        <v>4</v>
      </c>
      <c r="AQ254">
        <v>18</v>
      </c>
      <c r="AR254">
        <v>14</v>
      </c>
      <c r="AS254">
        <v>64</v>
      </c>
      <c r="AT254">
        <v>36</v>
      </c>
      <c r="AU254">
        <v>1.6</v>
      </c>
      <c r="AV254">
        <v>0.95</v>
      </c>
      <c r="AW254">
        <v>2.35</v>
      </c>
      <c r="AX254">
        <v>59</v>
      </c>
      <c r="AY254">
        <v>71</v>
      </c>
      <c r="AZ254">
        <v>49</v>
      </c>
      <c r="BA254">
        <v>19</v>
      </c>
      <c r="BB254">
        <v>8</v>
      </c>
      <c r="BC254">
        <v>48</v>
      </c>
      <c r="BD254">
        <v>75</v>
      </c>
      <c r="BE254">
        <v>27</v>
      </c>
      <c r="BF254">
        <v>67</v>
      </c>
      <c r="BG254">
        <v>9.06</v>
      </c>
      <c r="BH254">
        <v>5.12</v>
      </c>
      <c r="BI254">
        <v>2.52</v>
      </c>
      <c r="BJ254">
        <v>3.52</v>
      </c>
      <c r="BK254">
        <v>2.71</v>
      </c>
      <c r="BL254">
        <f>(1/Table1[[#This Row],[odds_ft_home_team_win]]+1/Table1[[#This Row],[odds_ft_draw]]+1/Table1[[#This Row],[odds_ft_away_team_win]]-1)/3</f>
        <v>1.6639998651068726E-2</v>
      </c>
      <c r="BM254">
        <v>1.42</v>
      </c>
      <c r="BN254">
        <v>2.08</v>
      </c>
      <c r="BO254">
        <v>4.33</v>
      </c>
      <c r="BP254">
        <v>7.5</v>
      </c>
      <c r="BQ254">
        <v>1.95</v>
      </c>
      <c r="BR254">
        <v>1.83</v>
      </c>
      <c r="BS254" t="s">
        <v>94</v>
      </c>
      <c r="BT254">
        <f>VLOOKUP(Table1[[#This Row],[Reference]],metron,8,FALSE)</f>
        <v>1.464160929441638</v>
      </c>
      <c r="BU254">
        <f>VLOOKUP(Table1[[#This Row],[Reference]],metron,9,FALSE)</f>
        <v>1.2477119808919459</v>
      </c>
      <c r="BV254">
        <f>VLOOKUP(Table1[[#This Row],[Reference]],metron,10,FALSE)</f>
        <v>2.4900895140664963</v>
      </c>
      <c r="BW254">
        <f>VLOOKUP(Table1[[#This Row],[Reference]],metron,11,FALSE)</f>
        <v>1.330562659846547</v>
      </c>
      <c r="BX254">
        <f>VLOOKUP(Table1[[#This Row],[Reference]],metron,12,FALSE)</f>
        <v>1.1595268542199491</v>
      </c>
      <c r="BY254" s="6">
        <f>VLOOKUP(Table1[[#This Row],[Reference]],metron,13,FALSE)</f>
        <v>0.59053607588191415</v>
      </c>
      <c r="BZ254" s="6">
        <f>VLOOKUP(Table1[[#This Row],[Reference]],metron,14,FALSE)</f>
        <v>0.50069274219332838</v>
      </c>
      <c r="CA254" s="6">
        <f>VLOOKUP(Table1[[#This Row],[Reference]],metron,15,FALSE)</f>
        <v>11.79715236686391</v>
      </c>
      <c r="CB254" s="6">
        <f>VLOOKUP(Table1[[#This Row],[Reference]],metron,16,FALSE)</f>
        <v>10.317122781065089</v>
      </c>
      <c r="CC254" s="6">
        <f>VLOOKUP(Table1[[#This Row],[Reference]],metron,17,FALSE)</f>
        <v>5.0637025966747622</v>
      </c>
      <c r="CD254" s="6">
        <f>VLOOKUP(Table1[[#This Row],[Reference]],metron,18,FALSE)</f>
        <v>4.4674014571268454</v>
      </c>
      <c r="CE254" s="6">
        <f>VLOOKUP(Table1[[#This Row],[Reference]],metron,19,FALSE)</f>
        <v>6.7334497701891483</v>
      </c>
      <c r="CF254" s="6">
        <f>VLOOKUP(Table1[[#This Row],[Reference]],metron,20,FALSE)</f>
        <v>5.849721323938244</v>
      </c>
      <c r="CG254" s="6">
        <f>VLOOKUP(Table1[[#This Row],[Reference]],metron,21,FALSE)</f>
        <v>12.89644194756554</v>
      </c>
      <c r="CH254" s="6">
        <f>VLOOKUP(Table1[[#This Row],[Reference]],metron,22,FALSE)</f>
        <v>13.3434456928839</v>
      </c>
      <c r="CI254" s="6">
        <f>VLOOKUP(Table1[[#This Row],[Reference]],metron,23,FALSE)</f>
        <v>1.6144382124117971</v>
      </c>
      <c r="CJ254" s="6">
        <f>VLOOKUP(Table1[[#This Row],[Reference]],metron,24,FALSE)</f>
        <v>1.9032024606477289</v>
      </c>
      <c r="CK254" s="6">
        <f>VLOOKUP(Table1[[#This Row],[Reference]],metron,25,FALSE)</f>
        <v>9.372172969060974E-2</v>
      </c>
      <c r="CL254" s="6">
        <f>VLOOKUP(Table1[[#This Row],[Reference]],metron,26,FALSE)</f>
        <v>0.11669983716301791</v>
      </c>
    </row>
    <row r="255" spans="1:90" hidden="1" x14ac:dyDescent="0.45">
      <c r="A255" t="s">
        <v>695</v>
      </c>
      <c r="B255">
        <v>1647194400</v>
      </c>
      <c r="C255" s="23" t="s">
        <v>543</v>
      </c>
      <c r="D255" t="s">
        <v>65</v>
      </c>
      <c r="E255" t="s">
        <v>66</v>
      </c>
      <c r="F255" t="s">
        <v>79</v>
      </c>
      <c r="G255" t="s">
        <v>84</v>
      </c>
      <c r="H255" t="s">
        <v>158</v>
      </c>
      <c r="I255">
        <f>MROUND(Table1[[#This Row],[ProbH]]*100,2)/100</f>
        <v>0.32</v>
      </c>
      <c r="J255">
        <f>1/Table1[[#This Row],[odds_ft_home_team_win]]-Table1[[#This Row],[Margin]]</f>
        <v>0.32659932659932661</v>
      </c>
      <c r="K255">
        <f>1/Table1[[#This Row],[odds_ft_draw]]-Table1[[#This Row],[Margin]]</f>
        <v>0.265993265993266</v>
      </c>
      <c r="L255">
        <f>1/Table1[[#This Row],[odds_ft_away_team_win]]-Table1[[#This Row],[Margin]]</f>
        <v>0.40740740740740738</v>
      </c>
      <c r="M255">
        <v>10</v>
      </c>
      <c r="N255">
        <v>1.33</v>
      </c>
      <c r="O255">
        <v>1.46</v>
      </c>
      <c r="P255">
        <v>1.17</v>
      </c>
      <c r="Q255">
        <v>1.42</v>
      </c>
      <c r="R255" s="9" t="str" cm="1">
        <f t="array" ref="R2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55">
        <v>0</v>
      </c>
      <c r="T255">
        <v>3</v>
      </c>
      <c r="U255">
        <v>3</v>
      </c>
      <c r="V255">
        <v>1</v>
      </c>
      <c r="W255">
        <v>0</v>
      </c>
      <c r="X255">
        <v>1</v>
      </c>
      <c r="Z255" t="s">
        <v>544</v>
      </c>
      <c r="AA255">
        <v>5</v>
      </c>
      <c r="AB255">
        <v>5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12</v>
      </c>
      <c r="AL255">
        <v>14</v>
      </c>
      <c r="AM255">
        <v>4</v>
      </c>
      <c r="AN255">
        <v>5</v>
      </c>
      <c r="AO255">
        <v>8</v>
      </c>
      <c r="AP255">
        <v>9</v>
      </c>
      <c r="AQ255">
        <v>10</v>
      </c>
      <c r="AR255">
        <v>14</v>
      </c>
      <c r="AS255">
        <v>55</v>
      </c>
      <c r="AT255">
        <v>45</v>
      </c>
      <c r="AU255">
        <v>1.23</v>
      </c>
      <c r="AV255">
        <v>1.52</v>
      </c>
      <c r="AW255">
        <v>2.97</v>
      </c>
      <c r="AX255">
        <v>77</v>
      </c>
      <c r="AY255">
        <v>89</v>
      </c>
      <c r="AZ255">
        <v>69</v>
      </c>
      <c r="BA255">
        <v>37</v>
      </c>
      <c r="BB255">
        <v>8</v>
      </c>
      <c r="BC255">
        <v>61</v>
      </c>
      <c r="BD255">
        <v>76</v>
      </c>
      <c r="BE255">
        <v>44</v>
      </c>
      <c r="BF255">
        <v>88</v>
      </c>
      <c r="BG255">
        <v>10.27</v>
      </c>
      <c r="BH255">
        <v>5.62</v>
      </c>
      <c r="BI255">
        <v>2.75</v>
      </c>
      <c r="BJ255">
        <v>3.3</v>
      </c>
      <c r="BK255">
        <v>2.25</v>
      </c>
      <c r="BL255">
        <f>(1/Table1[[#This Row],[odds_ft_home_team_win]]+1/Table1[[#This Row],[odds_ft_draw]]+1/Table1[[#This Row],[odds_ft_away_team_win]]-1)/3</f>
        <v>3.7037037037037056E-2</v>
      </c>
      <c r="BM255">
        <v>1.29</v>
      </c>
      <c r="BN255">
        <v>2</v>
      </c>
      <c r="BO255">
        <v>3</v>
      </c>
      <c r="BP255">
        <v>5.5</v>
      </c>
      <c r="BQ255">
        <v>1.67</v>
      </c>
      <c r="BR255">
        <v>2.1</v>
      </c>
      <c r="BS255" t="s">
        <v>140</v>
      </c>
      <c r="BT255">
        <f>VLOOKUP(Table1[[#This Row],[Reference]],metron,8,FALSE)</f>
        <v>1.274681051426811</v>
      </c>
      <c r="BU255">
        <f>VLOOKUP(Table1[[#This Row],[Reference]],metron,9,FALSE)</f>
        <v>1.4392482240810365</v>
      </c>
      <c r="BV255">
        <f>VLOOKUP(Table1[[#This Row],[Reference]],metron,10,FALSE)</f>
        <v>2.5313454284174597</v>
      </c>
      <c r="BW255">
        <f>VLOOKUP(Table1[[#This Row],[Reference]],metron,11,FALSE)</f>
        <v>1.210167055864918</v>
      </c>
      <c r="BX255">
        <f>VLOOKUP(Table1[[#This Row],[Reference]],metron,12,FALSE)</f>
        <v>1.3211783725525419</v>
      </c>
      <c r="BY255" s="6">
        <f>VLOOKUP(Table1[[#This Row],[Reference]],metron,13,FALSE)</f>
        <v>0.53135669362084459</v>
      </c>
      <c r="BZ255" s="6">
        <f>VLOOKUP(Table1[[#This Row],[Reference]],metron,14,FALSE)</f>
        <v>0.55633423180592989</v>
      </c>
      <c r="CA255" s="6">
        <f>VLOOKUP(Table1[[#This Row],[Reference]],metron,15,FALSE)</f>
        <v>11.21109010712035</v>
      </c>
      <c r="CB255" s="6">
        <f>VLOOKUP(Table1[[#This Row],[Reference]],metron,16,FALSE)</f>
        <v>11.01700787401575</v>
      </c>
      <c r="CC255" s="6">
        <f>VLOOKUP(Table1[[#This Row],[Reference]],metron,17,FALSE)</f>
        <v>4.6792332268370611</v>
      </c>
      <c r="CD255" s="6">
        <f>VLOOKUP(Table1[[#This Row],[Reference]],metron,18,FALSE)</f>
        <v>4.7080804854679013</v>
      </c>
      <c r="CE255" s="6">
        <f>VLOOKUP(Table1[[#This Row],[Reference]],metron,19,FALSE)</f>
        <v>6.5318568802832893</v>
      </c>
      <c r="CF255" s="6">
        <f>VLOOKUP(Table1[[#This Row],[Reference]],metron,20,FALSE)</f>
        <v>6.3089273885478487</v>
      </c>
      <c r="CG255" s="6">
        <f>VLOOKUP(Table1[[#This Row],[Reference]],metron,21,FALSE)</f>
        <v>12.72547770700637</v>
      </c>
      <c r="CH255" s="6">
        <f>VLOOKUP(Table1[[#This Row],[Reference]],metron,22,FALSE)</f>
        <v>13.06847133757962</v>
      </c>
      <c r="CI255" s="6">
        <f>VLOOKUP(Table1[[#This Row],[Reference]],metron,23,FALSE)</f>
        <v>1.6902356902356901</v>
      </c>
      <c r="CJ255" s="6">
        <f>VLOOKUP(Table1[[#This Row],[Reference]],metron,24,FALSE)</f>
        <v>1.8050198959289869</v>
      </c>
      <c r="CK255" s="6">
        <f>VLOOKUP(Table1[[#This Row],[Reference]],metron,25,FALSE)</f>
        <v>0.105907560453015</v>
      </c>
      <c r="CL255" s="6">
        <f>VLOOKUP(Table1[[#This Row],[Reference]],metron,26,FALSE)</f>
        <v>0.1141720232629324</v>
      </c>
    </row>
    <row r="256" spans="1:90" hidden="1" x14ac:dyDescent="0.45">
      <c r="A256" t="s">
        <v>695</v>
      </c>
      <c r="B256">
        <v>1647212400</v>
      </c>
      <c r="C256" s="23" t="s">
        <v>545</v>
      </c>
      <c r="D256" t="s">
        <v>65</v>
      </c>
      <c r="E256" t="s">
        <v>66</v>
      </c>
      <c r="F256" t="s">
        <v>91</v>
      </c>
      <c r="G256" t="s">
        <v>102</v>
      </c>
      <c r="H256" t="s">
        <v>98</v>
      </c>
      <c r="I256">
        <f>MROUND(Table1[[#This Row],[ProbH]]*100,2)/100</f>
        <v>0.32</v>
      </c>
      <c r="J256">
        <f>1/Table1[[#This Row],[odds_ft_home_team_win]]-Table1[[#This Row],[Margin]]</f>
        <v>0.32031562119357337</v>
      </c>
      <c r="K256">
        <f>1/Table1[[#This Row],[odds_ft_draw]]-Table1[[#This Row],[Margin]]</f>
        <v>0.30216371240691509</v>
      </c>
      <c r="L256">
        <f>1/Table1[[#This Row],[odds_ft_away_team_win]]-Table1[[#This Row],[Margin]]</f>
        <v>0.3775206663995116</v>
      </c>
      <c r="M256">
        <v>10</v>
      </c>
      <c r="N256">
        <v>0.57999999999999996</v>
      </c>
      <c r="O256">
        <v>1.85</v>
      </c>
      <c r="P256">
        <v>1.1100000000000001</v>
      </c>
      <c r="Q256">
        <v>1.42</v>
      </c>
      <c r="R256" t="str" cm="1">
        <f t="array" ref="R2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6">
        <v>2</v>
      </c>
      <c r="T256">
        <v>1</v>
      </c>
      <c r="U256">
        <v>3</v>
      </c>
      <c r="V256">
        <v>1</v>
      </c>
      <c r="W256">
        <v>1</v>
      </c>
      <c r="X256">
        <v>0</v>
      </c>
      <c r="Y256" t="s">
        <v>546</v>
      </c>
      <c r="Z256">
        <v>88</v>
      </c>
      <c r="AA256">
        <v>2</v>
      </c>
      <c r="AB256">
        <v>11</v>
      </c>
      <c r="AC256">
        <v>1</v>
      </c>
      <c r="AD256">
        <v>0</v>
      </c>
      <c r="AE256">
        <v>2</v>
      </c>
      <c r="AF256">
        <v>0</v>
      </c>
      <c r="AG256">
        <v>1</v>
      </c>
      <c r="AH256">
        <v>0</v>
      </c>
      <c r="AI256">
        <v>2</v>
      </c>
      <c r="AJ256">
        <v>0</v>
      </c>
      <c r="AK256">
        <v>13</v>
      </c>
      <c r="AL256">
        <v>21</v>
      </c>
      <c r="AM256">
        <v>7</v>
      </c>
      <c r="AN256">
        <v>6</v>
      </c>
      <c r="AO256">
        <v>6</v>
      </c>
      <c r="AP256">
        <v>15</v>
      </c>
      <c r="AQ256">
        <v>7</v>
      </c>
      <c r="AR256">
        <v>14</v>
      </c>
      <c r="AS256">
        <v>34</v>
      </c>
      <c r="AT256">
        <v>66</v>
      </c>
      <c r="AU256">
        <v>1.55</v>
      </c>
      <c r="AV256">
        <v>2.16</v>
      </c>
      <c r="AW256">
        <v>2.41</v>
      </c>
      <c r="AX256">
        <v>40</v>
      </c>
      <c r="AY256">
        <v>76</v>
      </c>
      <c r="AZ256">
        <v>24</v>
      </c>
      <c r="BA256">
        <v>20</v>
      </c>
      <c r="BB256">
        <v>13</v>
      </c>
      <c r="BC256">
        <v>28</v>
      </c>
      <c r="BD256">
        <v>65</v>
      </c>
      <c r="BE256">
        <v>36</v>
      </c>
      <c r="BF256">
        <v>80</v>
      </c>
      <c r="BG256">
        <v>8.3699999999999992</v>
      </c>
      <c r="BH256">
        <v>5.82</v>
      </c>
      <c r="BI256">
        <v>2.89</v>
      </c>
      <c r="BJ256">
        <v>3.05</v>
      </c>
      <c r="BK256">
        <v>2.48</v>
      </c>
      <c r="BL256">
        <f>(1/Table1[[#This Row],[odds_ft_home_team_win]]+1/Table1[[#This Row],[odds_ft_draw]]+1/Table1[[#This Row],[odds_ft_away_team_win]]-1)/3</f>
        <v>2.5705140052101338E-2</v>
      </c>
      <c r="BM256">
        <v>1.4</v>
      </c>
      <c r="BN256">
        <v>2.38</v>
      </c>
      <c r="BO256">
        <v>4</v>
      </c>
      <c r="BP256">
        <v>8</v>
      </c>
      <c r="BQ256">
        <v>1.91</v>
      </c>
      <c r="BR256">
        <v>1.8</v>
      </c>
      <c r="BS256" t="s">
        <v>144</v>
      </c>
      <c r="BT256">
        <f>VLOOKUP(Table1[[#This Row],[Reference]],metron,8,FALSE)</f>
        <v>1.274681051426811</v>
      </c>
      <c r="BU256">
        <f>VLOOKUP(Table1[[#This Row],[Reference]],metron,9,FALSE)</f>
        <v>1.4392482240810365</v>
      </c>
      <c r="BV256">
        <f>VLOOKUP(Table1[[#This Row],[Reference]],metron,10,FALSE)</f>
        <v>2.5313454284174597</v>
      </c>
      <c r="BW256">
        <f>VLOOKUP(Table1[[#This Row],[Reference]],metron,11,FALSE)</f>
        <v>1.210167055864918</v>
      </c>
      <c r="BX256">
        <f>VLOOKUP(Table1[[#This Row],[Reference]],metron,12,FALSE)</f>
        <v>1.3211783725525419</v>
      </c>
      <c r="BY256" s="6">
        <f>VLOOKUP(Table1[[#This Row],[Reference]],metron,13,FALSE)</f>
        <v>0.53135669362084459</v>
      </c>
      <c r="BZ256" s="6">
        <f>VLOOKUP(Table1[[#This Row],[Reference]],metron,14,FALSE)</f>
        <v>0.55633423180592989</v>
      </c>
      <c r="CA256" s="6">
        <f>VLOOKUP(Table1[[#This Row],[Reference]],metron,15,FALSE)</f>
        <v>11.21109010712035</v>
      </c>
      <c r="CB256" s="6">
        <f>VLOOKUP(Table1[[#This Row],[Reference]],metron,16,FALSE)</f>
        <v>11.01700787401575</v>
      </c>
      <c r="CC256" s="6">
        <f>VLOOKUP(Table1[[#This Row],[Reference]],metron,17,FALSE)</f>
        <v>4.6792332268370611</v>
      </c>
      <c r="CD256" s="6">
        <f>VLOOKUP(Table1[[#This Row],[Reference]],metron,18,FALSE)</f>
        <v>4.7080804854679013</v>
      </c>
      <c r="CE256" s="6">
        <f>VLOOKUP(Table1[[#This Row],[Reference]],metron,19,FALSE)</f>
        <v>6.5318568802832893</v>
      </c>
      <c r="CF256" s="6">
        <f>VLOOKUP(Table1[[#This Row],[Reference]],metron,20,FALSE)</f>
        <v>6.3089273885478487</v>
      </c>
      <c r="CG256" s="6">
        <f>VLOOKUP(Table1[[#This Row],[Reference]],metron,21,FALSE)</f>
        <v>12.72547770700637</v>
      </c>
      <c r="CH256" s="6">
        <f>VLOOKUP(Table1[[#This Row],[Reference]],metron,22,FALSE)</f>
        <v>13.06847133757962</v>
      </c>
      <c r="CI256" s="6">
        <f>VLOOKUP(Table1[[#This Row],[Reference]],metron,23,FALSE)</f>
        <v>1.6902356902356901</v>
      </c>
      <c r="CJ256" s="6">
        <f>VLOOKUP(Table1[[#This Row],[Reference]],metron,24,FALSE)</f>
        <v>1.8050198959289869</v>
      </c>
      <c r="CK256" s="6">
        <f>VLOOKUP(Table1[[#This Row],[Reference]],metron,25,FALSE)</f>
        <v>0.105907560453015</v>
      </c>
      <c r="CL256" s="6">
        <f>VLOOKUP(Table1[[#This Row],[Reference]],metron,26,FALSE)</f>
        <v>0.1141720232629324</v>
      </c>
    </row>
    <row r="257" spans="1:90" hidden="1" x14ac:dyDescent="0.45">
      <c r="A257" t="s">
        <v>695</v>
      </c>
      <c r="B257">
        <v>1647219600</v>
      </c>
      <c r="C257" s="23" t="s">
        <v>547</v>
      </c>
      <c r="D257" t="s">
        <v>65</v>
      </c>
      <c r="E257" t="s">
        <v>66</v>
      </c>
      <c r="F257" t="s">
        <v>73</v>
      </c>
      <c r="G257" t="s">
        <v>106</v>
      </c>
      <c r="H257" t="s">
        <v>175</v>
      </c>
      <c r="I257">
        <f>MROUND(Table1[[#This Row],[ProbH]]*100,2)/100</f>
        <v>0.48</v>
      </c>
      <c r="J257">
        <f>1/Table1[[#This Row],[odds_ft_home_team_win]]-Table1[[#This Row],[Margin]]</f>
        <v>0.48236919665491096</v>
      </c>
      <c r="K257">
        <f>1/Table1[[#This Row],[odds_ft_draw]]-Table1[[#This Row],[Margin]]</f>
        <v>0.27519541805256093</v>
      </c>
      <c r="L257">
        <f>1/Table1[[#This Row],[odds_ft_away_team_win]]-Table1[[#This Row],[Margin]]</f>
        <v>0.24243538529252812</v>
      </c>
      <c r="M257">
        <v>10</v>
      </c>
      <c r="N257">
        <v>1.47</v>
      </c>
      <c r="O257">
        <v>0.67</v>
      </c>
      <c r="P257">
        <v>1.58</v>
      </c>
      <c r="Q257">
        <v>0.53</v>
      </c>
      <c r="R257" t="str" cm="1">
        <f t="array" ref="R2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7">
        <v>4</v>
      </c>
      <c r="T257">
        <v>0</v>
      </c>
      <c r="U257">
        <v>4</v>
      </c>
      <c r="V257">
        <v>1</v>
      </c>
      <c r="W257">
        <v>1</v>
      </c>
      <c r="X257">
        <v>0</v>
      </c>
      <c r="Y257" t="s">
        <v>548</v>
      </c>
      <c r="AA257">
        <v>3</v>
      </c>
      <c r="AB257">
        <v>4</v>
      </c>
      <c r="AC257">
        <v>3</v>
      </c>
      <c r="AD257">
        <v>0</v>
      </c>
      <c r="AE257">
        <v>1</v>
      </c>
      <c r="AF257">
        <v>0</v>
      </c>
      <c r="AG257">
        <v>1</v>
      </c>
      <c r="AH257">
        <v>2</v>
      </c>
      <c r="AI257">
        <v>0</v>
      </c>
      <c r="AJ257">
        <v>1</v>
      </c>
      <c r="AK257">
        <v>13</v>
      </c>
      <c r="AL257">
        <v>12</v>
      </c>
      <c r="AM257">
        <v>7</v>
      </c>
      <c r="AN257">
        <v>3</v>
      </c>
      <c r="AO257">
        <v>6</v>
      </c>
      <c r="AP257">
        <v>9</v>
      </c>
      <c r="AQ257">
        <v>13</v>
      </c>
      <c r="AR257">
        <v>15</v>
      </c>
      <c r="AS257">
        <v>45</v>
      </c>
      <c r="AT257">
        <v>55</v>
      </c>
      <c r="AU257">
        <v>1.63</v>
      </c>
      <c r="AV257">
        <v>1.27</v>
      </c>
      <c r="AW257">
        <v>2.68</v>
      </c>
      <c r="AX257">
        <v>63</v>
      </c>
      <c r="AY257">
        <v>90</v>
      </c>
      <c r="AZ257">
        <v>45</v>
      </c>
      <c r="BA257">
        <v>26</v>
      </c>
      <c r="BB257">
        <v>14</v>
      </c>
      <c r="BC257">
        <v>26</v>
      </c>
      <c r="BD257">
        <v>65</v>
      </c>
      <c r="BE257">
        <v>51</v>
      </c>
      <c r="BF257">
        <v>86</v>
      </c>
      <c r="BG257">
        <v>9.65</v>
      </c>
      <c r="BH257">
        <v>4.1399999999999997</v>
      </c>
      <c r="BI257">
        <v>1.96</v>
      </c>
      <c r="BJ257">
        <v>3.3</v>
      </c>
      <c r="BK257">
        <v>3.7</v>
      </c>
      <c r="BL257">
        <f>(1/Table1[[#This Row],[odds_ft_home_team_win]]+1/Table1[[#This Row],[odds_ft_draw]]+1/Table1[[#This Row],[odds_ft_away_team_win]]-1)/3</f>
        <v>2.7834884977742114E-2</v>
      </c>
      <c r="BM257">
        <v>1.33</v>
      </c>
      <c r="BN257">
        <v>2.11</v>
      </c>
      <c r="BO257">
        <v>3.6</v>
      </c>
      <c r="BP257">
        <v>6</v>
      </c>
      <c r="BQ257">
        <v>1.82</v>
      </c>
      <c r="BR257">
        <v>1.88</v>
      </c>
      <c r="BS257" t="s">
        <v>142</v>
      </c>
      <c r="BT257">
        <f>VLOOKUP(Table1[[#This Row],[Reference]],metron,8,FALSE)</f>
        <v>1.743992017160418</v>
      </c>
      <c r="BU257">
        <f>VLOOKUP(Table1[[#This Row],[Reference]],metron,9,FALSE)</f>
        <v>0.97803937284245479</v>
      </c>
      <c r="BV257">
        <f>VLOOKUP(Table1[[#This Row],[Reference]],metron,10,FALSE)</f>
        <v>2.5271929824561399</v>
      </c>
      <c r="BW257">
        <f>VLOOKUP(Table1[[#This Row],[Reference]],metron,11,FALSE)</f>
        <v>1.510877192982456</v>
      </c>
      <c r="BX257">
        <f>VLOOKUP(Table1[[#This Row],[Reference]],metron,12,FALSE)</f>
        <v>1.0163157894736841</v>
      </c>
      <c r="BY257" s="6">
        <f>VLOOKUP(Table1[[#This Row],[Reference]],metron,13,FALSE)</f>
        <v>0.67350877192982461</v>
      </c>
      <c r="BZ257" s="6">
        <f>VLOOKUP(Table1[[#This Row],[Reference]],metron,14,FALSE)</f>
        <v>0.4442105263157895</v>
      </c>
      <c r="CA257" s="6">
        <f>VLOOKUP(Table1[[#This Row],[Reference]],metron,15,FALSE)</f>
        <v>12.80980392156863</v>
      </c>
      <c r="CB257" s="6">
        <f>VLOOKUP(Table1[[#This Row],[Reference]],metron,16,FALSE)</f>
        <v>9.6872549019607845</v>
      </c>
      <c r="CC257" s="6">
        <f>VLOOKUP(Table1[[#This Row],[Reference]],metron,17,FALSE)</f>
        <v>5.6491169610129957</v>
      </c>
      <c r="CD257" s="6">
        <f>VLOOKUP(Table1[[#This Row],[Reference]],metron,18,FALSE)</f>
        <v>4.1379540153282237</v>
      </c>
      <c r="CE257" s="6">
        <f>VLOOKUP(Table1[[#This Row],[Reference]],metron,19,FALSE)</f>
        <v>7.1606869605556343</v>
      </c>
      <c r="CF257" s="6">
        <f>VLOOKUP(Table1[[#This Row],[Reference]],metron,20,FALSE)</f>
        <v>5.5493008866325608</v>
      </c>
      <c r="CG257" s="6">
        <f>VLOOKUP(Table1[[#This Row],[Reference]],metron,21,FALSE)</f>
        <v>12.9029029029029</v>
      </c>
      <c r="CH257" s="6">
        <f>VLOOKUP(Table1[[#This Row],[Reference]],metron,22,FALSE)</f>
        <v>13.75508842175509</v>
      </c>
      <c r="CI257" s="6">
        <f>VLOOKUP(Table1[[#This Row],[Reference]],metron,23,FALSE)</f>
        <v>1.5287356321839081</v>
      </c>
      <c r="CJ257" s="6">
        <f>VLOOKUP(Table1[[#This Row],[Reference]],metron,24,FALSE)</f>
        <v>1.9664750957854411</v>
      </c>
      <c r="CK257" s="6">
        <f>VLOOKUP(Table1[[#This Row],[Reference]],metron,25,FALSE)</f>
        <v>8.8441890166028103E-2</v>
      </c>
      <c r="CL257" s="6">
        <f>VLOOKUP(Table1[[#This Row],[Reference]],metron,26,FALSE)</f>
        <v>0.13409961685823751</v>
      </c>
    </row>
    <row r="258" spans="1:90" hidden="1" x14ac:dyDescent="0.45">
      <c r="A258" t="s">
        <v>695</v>
      </c>
      <c r="B258">
        <v>1647399960</v>
      </c>
      <c r="C258" s="23" t="s">
        <v>549</v>
      </c>
      <c r="D258" t="s">
        <v>65</v>
      </c>
      <c r="E258" t="s">
        <v>66</v>
      </c>
      <c r="F258" t="s">
        <v>101</v>
      </c>
      <c r="G258" t="s">
        <v>78</v>
      </c>
      <c r="H258" t="s">
        <v>138</v>
      </c>
      <c r="I258">
        <f>MROUND(Table1[[#This Row],[ProbH]]*100,2)/100</f>
        <v>0.64</v>
      </c>
      <c r="J258">
        <f>1/Table1[[#This Row],[odds_ft_home_team_win]]-Table1[[#This Row],[Margin]]</f>
        <v>0.63684863122039237</v>
      </c>
      <c r="K258">
        <f>1/Table1[[#This Row],[odds_ft_draw]]-Table1[[#This Row],[Margin]]</f>
        <v>0.21887224858510218</v>
      </c>
      <c r="L258">
        <f>1/Table1[[#This Row],[odds_ft_away_team_win]]-Table1[[#This Row],[Margin]]</f>
        <v>0.14427912019450548</v>
      </c>
      <c r="M258">
        <v>5</v>
      </c>
      <c r="N258">
        <v>1.64</v>
      </c>
      <c r="O258">
        <v>0.75</v>
      </c>
      <c r="P258">
        <v>1.79</v>
      </c>
      <c r="Q258">
        <v>0.71</v>
      </c>
      <c r="R258" t="str" cm="1">
        <f t="array" ref="R2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0</v>
      </c>
      <c r="Y258" t="s">
        <v>550</v>
      </c>
      <c r="AA258">
        <v>14</v>
      </c>
      <c r="AB258">
        <v>0</v>
      </c>
      <c r="AC258">
        <v>2</v>
      </c>
      <c r="AD258">
        <v>0</v>
      </c>
      <c r="AE258">
        <v>2</v>
      </c>
      <c r="AF258">
        <v>1</v>
      </c>
      <c r="AG258">
        <v>2</v>
      </c>
      <c r="AH258">
        <v>0</v>
      </c>
      <c r="AI258">
        <v>2</v>
      </c>
      <c r="AJ258">
        <v>1</v>
      </c>
      <c r="AK258">
        <v>17</v>
      </c>
      <c r="AL258">
        <v>3</v>
      </c>
      <c r="AM258">
        <v>12</v>
      </c>
      <c r="AN258">
        <v>2</v>
      </c>
      <c r="AO258">
        <v>5</v>
      </c>
      <c r="AP258">
        <v>1</v>
      </c>
      <c r="AQ258">
        <v>11</v>
      </c>
      <c r="AR258">
        <v>10</v>
      </c>
      <c r="AS258">
        <v>66</v>
      </c>
      <c r="AT258">
        <v>34</v>
      </c>
      <c r="AU258">
        <v>2.56</v>
      </c>
      <c r="AV258">
        <v>0.51</v>
      </c>
      <c r="AW258">
        <v>1.93</v>
      </c>
      <c r="AX258">
        <v>35</v>
      </c>
      <c r="AY258">
        <v>61</v>
      </c>
      <c r="AZ258">
        <v>27</v>
      </c>
      <c r="BA258">
        <v>16</v>
      </c>
      <c r="BB258">
        <v>0</v>
      </c>
      <c r="BC258">
        <v>16</v>
      </c>
      <c r="BD258">
        <v>53</v>
      </c>
      <c r="BE258">
        <v>36</v>
      </c>
      <c r="BF258">
        <v>82</v>
      </c>
      <c r="BG258">
        <v>8.0399999999999991</v>
      </c>
      <c r="BH258">
        <v>4.8899999999999997</v>
      </c>
      <c r="BI258">
        <v>1.49</v>
      </c>
      <c r="BJ258">
        <v>3.95</v>
      </c>
      <c r="BK258">
        <v>5.6</v>
      </c>
      <c r="BL258">
        <f>(1/Table1[[#This Row],[odds_ft_home_team_win]]+1/Table1[[#This Row],[odds_ft_draw]]+1/Table1[[#This Row],[odds_ft_away_team_win]]-1)/3</f>
        <v>3.4292308376923097E-2</v>
      </c>
      <c r="BM258">
        <v>1.33</v>
      </c>
      <c r="BN258">
        <v>2.0499999999999998</v>
      </c>
      <c r="BO258">
        <v>3.75</v>
      </c>
      <c r="BP258">
        <v>7</v>
      </c>
      <c r="BQ258">
        <v>2.0499999999999998</v>
      </c>
      <c r="BR258">
        <v>1.7</v>
      </c>
      <c r="BS258" t="s">
        <v>104</v>
      </c>
      <c r="BT258">
        <f>VLOOKUP(Table1[[#This Row],[Reference]],metron,8,FALSE)</f>
        <v>2.1745910991837163</v>
      </c>
      <c r="BU258">
        <f>VLOOKUP(Table1[[#This Row],[Reference]],metron,9,FALSE)</f>
        <v>0.59796358565236019</v>
      </c>
      <c r="BV258">
        <f>VLOOKUP(Table1[[#This Row],[Reference]],metron,10,FALSE)</f>
        <v>2.8343749999999996</v>
      </c>
      <c r="BW258">
        <f>VLOOKUP(Table1[[#This Row],[Reference]],metron,11,FALSE)</f>
        <v>1.980803571428571</v>
      </c>
      <c r="BX258">
        <f>VLOOKUP(Table1[[#This Row],[Reference]],metron,12,FALSE)</f>
        <v>0.85357142857142854</v>
      </c>
      <c r="BY258" s="6">
        <f>VLOOKUP(Table1[[#This Row],[Reference]],metron,13,FALSE)</f>
        <v>0.8683035714285714</v>
      </c>
      <c r="BZ258" s="6">
        <f>VLOOKUP(Table1[[#This Row],[Reference]],metron,14,FALSE)</f>
        <v>0.36607142857142849</v>
      </c>
      <c r="CA258" s="6">
        <f>VLOOKUP(Table1[[#This Row],[Reference]],metron,15,FALSE)</f>
        <v>15.03980099502488</v>
      </c>
      <c r="CB258" s="6">
        <f>VLOOKUP(Table1[[#This Row],[Reference]],metron,16,FALSE)</f>
        <v>8.6326699834162515</v>
      </c>
      <c r="CC258" s="6">
        <f>VLOOKUP(Table1[[#This Row],[Reference]],metron,17,FALSE)</f>
        <v>6.5189234650967203</v>
      </c>
      <c r="CD258" s="6">
        <f>VLOOKUP(Table1[[#This Row],[Reference]],metron,18,FALSE)</f>
        <v>3.4507989907485279</v>
      </c>
      <c r="CE258" s="6">
        <f>VLOOKUP(Table1[[#This Row],[Reference]],metron,19,FALSE)</f>
        <v>8.5208775299281605</v>
      </c>
      <c r="CF258" s="6">
        <f>VLOOKUP(Table1[[#This Row],[Reference]],metron,20,FALSE)</f>
        <v>5.181870992667724</v>
      </c>
      <c r="CG258" s="6">
        <f>VLOOKUP(Table1[[#This Row],[Reference]],metron,21,FALSE)</f>
        <v>12.48566610455312</v>
      </c>
      <c r="CH258" s="6">
        <f>VLOOKUP(Table1[[#This Row],[Reference]],metron,22,FALSE)</f>
        <v>13.573355817875211</v>
      </c>
      <c r="CI258" s="6">
        <f>VLOOKUP(Table1[[#This Row],[Reference]],metron,23,FALSE)</f>
        <v>1.395273023634882</v>
      </c>
      <c r="CJ258" s="6">
        <f>VLOOKUP(Table1[[#This Row],[Reference]],metron,24,FALSE)</f>
        <v>2.0586797066014668</v>
      </c>
      <c r="CK258" s="6">
        <f>VLOOKUP(Table1[[#This Row],[Reference]],metron,25,FALSE)</f>
        <v>6.8459657701711488E-2</v>
      </c>
      <c r="CL258" s="6">
        <f>VLOOKUP(Table1[[#This Row],[Reference]],metron,26,FALSE)</f>
        <v>0.12713936430317849</v>
      </c>
    </row>
    <row r="259" spans="1:90" hidden="1" x14ac:dyDescent="0.45">
      <c r="A259" t="s">
        <v>695</v>
      </c>
      <c r="B259">
        <v>1647572700</v>
      </c>
      <c r="C259" s="23" t="s">
        <v>551</v>
      </c>
      <c r="D259" t="s">
        <v>65</v>
      </c>
      <c r="E259" t="s">
        <v>66</v>
      </c>
      <c r="F259" t="s">
        <v>67</v>
      </c>
      <c r="G259" t="s">
        <v>91</v>
      </c>
      <c r="H259" t="s">
        <v>130</v>
      </c>
      <c r="I259">
        <f>MROUND(Table1[[#This Row],[ProbH]]*100,2)/100</f>
        <v>0.44</v>
      </c>
      <c r="J259">
        <f>1/Table1[[#This Row],[odds_ft_home_team_win]]-Table1[[#This Row],[Margin]]</f>
        <v>0.43132295055371977</v>
      </c>
      <c r="K259">
        <f>1/Table1[[#This Row],[odds_ft_draw]]-Table1[[#This Row],[Margin]]</f>
        <v>0.28075236729082886</v>
      </c>
      <c r="L259">
        <f>1/Table1[[#This Row],[odds_ft_away_team_win]]-Table1[[#This Row],[Margin]]</f>
        <v>0.28792468215545142</v>
      </c>
      <c r="M259">
        <v>11</v>
      </c>
      <c r="N259">
        <v>1.1499999999999999</v>
      </c>
      <c r="O259">
        <v>1.43</v>
      </c>
      <c r="P259">
        <v>1.24</v>
      </c>
      <c r="Q259">
        <v>1.25</v>
      </c>
      <c r="R259" t="str" cm="1">
        <f t="array" ref="R2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9">
        <v>2</v>
      </c>
      <c r="T259">
        <v>1</v>
      </c>
      <c r="U259">
        <v>3</v>
      </c>
      <c r="V259">
        <v>0</v>
      </c>
      <c r="W259">
        <v>0</v>
      </c>
      <c r="X259">
        <v>0</v>
      </c>
      <c r="Y259" t="s">
        <v>552</v>
      </c>
      <c r="Z259">
        <v>67</v>
      </c>
      <c r="AA259">
        <v>2</v>
      </c>
      <c r="AB259">
        <v>3</v>
      </c>
      <c r="AC259">
        <v>2</v>
      </c>
      <c r="AD259">
        <v>0</v>
      </c>
      <c r="AE259">
        <v>2</v>
      </c>
      <c r="AF259">
        <v>1</v>
      </c>
      <c r="AG259">
        <v>2</v>
      </c>
      <c r="AH259">
        <v>0</v>
      </c>
      <c r="AI259">
        <v>2</v>
      </c>
      <c r="AJ259">
        <v>1</v>
      </c>
      <c r="AK259">
        <v>10</v>
      </c>
      <c r="AL259">
        <v>10</v>
      </c>
      <c r="AM259">
        <v>3</v>
      </c>
      <c r="AN259">
        <v>3</v>
      </c>
      <c r="AO259">
        <v>7</v>
      </c>
      <c r="AP259">
        <v>7</v>
      </c>
      <c r="AQ259">
        <v>17</v>
      </c>
      <c r="AR259">
        <v>12</v>
      </c>
      <c r="AS259">
        <v>49</v>
      </c>
      <c r="AT259">
        <v>51</v>
      </c>
      <c r="AU259">
        <v>1.05</v>
      </c>
      <c r="AV259">
        <v>1.1200000000000001</v>
      </c>
      <c r="AW259">
        <v>2.15</v>
      </c>
      <c r="AX259">
        <v>41</v>
      </c>
      <c r="AY259">
        <v>63</v>
      </c>
      <c r="AZ259">
        <v>37</v>
      </c>
      <c r="BA259">
        <v>22</v>
      </c>
      <c r="BB259">
        <v>8</v>
      </c>
      <c r="BC259">
        <v>26</v>
      </c>
      <c r="BD259">
        <v>67</v>
      </c>
      <c r="BE259">
        <v>29</v>
      </c>
      <c r="BF259">
        <v>63</v>
      </c>
      <c r="BG259">
        <v>7.6</v>
      </c>
      <c r="BH259">
        <v>5.27</v>
      </c>
      <c r="BI259">
        <v>2.2400000000000002</v>
      </c>
      <c r="BJ259">
        <v>3.38</v>
      </c>
      <c r="BK259">
        <v>3.3</v>
      </c>
      <c r="BL259">
        <f>(1/Table1[[#This Row],[odds_ft_home_team_win]]+1/Table1[[#This Row],[odds_ft_draw]]+1/Table1[[#This Row],[odds_ft_away_team_win]]-1)/3</f>
        <v>1.5105620874851603E-2</v>
      </c>
      <c r="BM259">
        <v>1.36</v>
      </c>
      <c r="BN259">
        <v>2.35</v>
      </c>
      <c r="BO259">
        <v>3.75</v>
      </c>
      <c r="BP259">
        <v>7</v>
      </c>
      <c r="BQ259">
        <v>1.85</v>
      </c>
      <c r="BR259">
        <v>1.85</v>
      </c>
      <c r="BS259" t="s">
        <v>553</v>
      </c>
      <c r="BT259">
        <f>VLOOKUP(Table1[[#This Row],[Reference]],metron,8,FALSE)</f>
        <v>1.6395459745305552</v>
      </c>
      <c r="BU259">
        <f>VLOOKUP(Table1[[#This Row],[Reference]],metron,9,FALSE)</f>
        <v>1.0758429359324786</v>
      </c>
      <c r="BV259">
        <f>VLOOKUP(Table1[[#This Row],[Reference]],metron,10,FALSE)</f>
        <v>2.4807646356033461</v>
      </c>
      <c r="BW259">
        <f>VLOOKUP(Table1[[#This Row],[Reference]],metron,11,FALSE)</f>
        <v>1.4140979689366791</v>
      </c>
      <c r="BX259">
        <f>VLOOKUP(Table1[[#This Row],[Reference]],metron,12,FALSE)</f>
        <v>1.0666666666666671</v>
      </c>
      <c r="BY259" s="6">
        <f>VLOOKUP(Table1[[#This Row],[Reference]],metron,13,FALSE)</f>
        <v>0.62712066905615294</v>
      </c>
      <c r="BZ259" s="6">
        <f>VLOOKUP(Table1[[#This Row],[Reference]],metron,14,FALSE)</f>
        <v>0.46009557945041818</v>
      </c>
      <c r="CA259" s="6">
        <f>VLOOKUP(Table1[[#This Row],[Reference]],metron,15,FALSE)</f>
        <v>12.56969280146722</v>
      </c>
      <c r="CB259" s="6">
        <f>VLOOKUP(Table1[[#This Row],[Reference]],metron,16,FALSE)</f>
        <v>9.8695552498853729</v>
      </c>
      <c r="CC259" s="6">
        <f>VLOOKUP(Table1[[#This Row],[Reference]],metron,17,FALSE)</f>
        <v>5.2754256787850897</v>
      </c>
      <c r="CD259" s="6">
        <f>VLOOKUP(Table1[[#This Row],[Reference]],metron,18,FALSE)</f>
        <v>4.1279337321675103</v>
      </c>
      <c r="CE259" s="6">
        <f>VLOOKUP(Table1[[#This Row],[Reference]],metron,19,FALSE)</f>
        <v>7.2942671226821298</v>
      </c>
      <c r="CF259" s="6">
        <f>VLOOKUP(Table1[[#This Row],[Reference]],metron,20,FALSE)</f>
        <v>5.7416215177178627</v>
      </c>
      <c r="CG259" s="6">
        <f>VLOOKUP(Table1[[#This Row],[Reference]],metron,21,FALSE)</f>
        <v>12.897246007868549</v>
      </c>
      <c r="CH259" s="6">
        <f>VLOOKUP(Table1[[#This Row],[Reference]],metron,22,FALSE)</f>
        <v>13.507058551261281</v>
      </c>
      <c r="CI259" s="6">
        <f>VLOOKUP(Table1[[#This Row],[Reference]],metron,23,FALSE)</f>
        <v>1.576522702104098</v>
      </c>
      <c r="CJ259" s="6">
        <f>VLOOKUP(Table1[[#This Row],[Reference]],metron,24,FALSE)</f>
        <v>1.917165005537099</v>
      </c>
      <c r="CK259" s="6">
        <f>VLOOKUP(Table1[[#This Row],[Reference]],metron,25,FALSE)</f>
        <v>8.4385382059800659E-2</v>
      </c>
      <c r="CL259" s="6">
        <f>VLOOKUP(Table1[[#This Row],[Reference]],metron,26,FALSE)</f>
        <v>0.1233665559246955</v>
      </c>
    </row>
    <row r="260" spans="1:90" hidden="1" x14ac:dyDescent="0.45">
      <c r="A260" t="s">
        <v>695</v>
      </c>
      <c r="B260">
        <v>1647658800</v>
      </c>
      <c r="C260" s="23" t="s">
        <v>554</v>
      </c>
      <c r="D260" t="s">
        <v>65</v>
      </c>
      <c r="E260" t="s">
        <v>66</v>
      </c>
      <c r="F260" t="s">
        <v>102</v>
      </c>
      <c r="G260" t="s">
        <v>73</v>
      </c>
      <c r="H260" t="s">
        <v>122</v>
      </c>
      <c r="I260">
        <f>MROUND(Table1[[#This Row],[ProbH]]*100,2)/100</f>
        <v>0.42</v>
      </c>
      <c r="J260">
        <f>1/Table1[[#This Row],[odds_ft_home_team_win]]-Table1[[#This Row],[Margin]]</f>
        <v>0.42328322288114972</v>
      </c>
      <c r="K260">
        <f>1/Table1[[#This Row],[odds_ft_draw]]-Table1[[#This Row],[Margin]]</f>
        <v>0.28102332275340614</v>
      </c>
      <c r="L260">
        <f>1/Table1[[#This Row],[odds_ft_away_team_win]]-Table1[[#This Row],[Margin]]</f>
        <v>0.29569345436544409</v>
      </c>
      <c r="M260">
        <v>11</v>
      </c>
      <c r="N260">
        <v>1.56</v>
      </c>
      <c r="O260">
        <v>1.1399999999999999</v>
      </c>
      <c r="P260">
        <v>1.38</v>
      </c>
      <c r="Q260">
        <v>1.1100000000000001</v>
      </c>
      <c r="R260" t="str" cm="1">
        <f t="array" ref="R2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0">
        <v>2</v>
      </c>
      <c r="T260">
        <v>2</v>
      </c>
      <c r="U260">
        <v>4</v>
      </c>
      <c r="V260">
        <v>0</v>
      </c>
      <c r="W260">
        <v>0</v>
      </c>
      <c r="X260">
        <v>0</v>
      </c>
      <c r="Y260" t="s">
        <v>555</v>
      </c>
      <c r="Z260" t="s">
        <v>556</v>
      </c>
      <c r="AA260">
        <v>5</v>
      </c>
      <c r="AB260">
        <v>3</v>
      </c>
      <c r="AC260">
        <v>2</v>
      </c>
      <c r="AD260">
        <v>0</v>
      </c>
      <c r="AE260">
        <v>2</v>
      </c>
      <c r="AF260">
        <v>0</v>
      </c>
      <c r="AG260">
        <v>2</v>
      </c>
      <c r="AH260">
        <v>0</v>
      </c>
      <c r="AI260">
        <v>0</v>
      </c>
      <c r="AJ260">
        <v>2</v>
      </c>
      <c r="AK260">
        <v>22</v>
      </c>
      <c r="AL260">
        <v>15</v>
      </c>
      <c r="AM260">
        <v>6</v>
      </c>
      <c r="AN260">
        <v>7</v>
      </c>
      <c r="AO260">
        <v>16</v>
      </c>
      <c r="AP260">
        <v>8</v>
      </c>
      <c r="AQ260">
        <v>12</v>
      </c>
      <c r="AR260">
        <v>13</v>
      </c>
      <c r="AS260">
        <v>62</v>
      </c>
      <c r="AT260">
        <v>38</v>
      </c>
      <c r="AU260">
        <v>2.19</v>
      </c>
      <c r="AV260">
        <v>1.61</v>
      </c>
      <c r="AW260">
        <v>2.38</v>
      </c>
      <c r="AX260">
        <v>64</v>
      </c>
      <c r="AY260">
        <v>77</v>
      </c>
      <c r="AZ260">
        <v>44</v>
      </c>
      <c r="BA260">
        <v>17</v>
      </c>
      <c r="BB260">
        <v>4</v>
      </c>
      <c r="BC260">
        <v>30</v>
      </c>
      <c r="BD260">
        <v>60</v>
      </c>
      <c r="BE260">
        <v>47</v>
      </c>
      <c r="BF260">
        <v>87</v>
      </c>
      <c r="BG260">
        <v>11.89</v>
      </c>
      <c r="BH260">
        <v>5.76</v>
      </c>
      <c r="BI260">
        <v>2.1800000000000002</v>
      </c>
      <c r="BJ260">
        <v>3.16</v>
      </c>
      <c r="BK260">
        <v>3.02</v>
      </c>
      <c r="BL260">
        <f>(1/Table1[[#This Row],[odds_ft_home_team_win]]+1/Table1[[#This Row],[odds_ft_draw]]+1/Table1[[#This Row],[odds_ft_away_team_win]]-1)/3</f>
        <v>3.5432373449125455E-2</v>
      </c>
      <c r="BM260">
        <v>1.31</v>
      </c>
      <c r="BN260">
        <v>2.0299999999999998</v>
      </c>
      <c r="BO260">
        <v>3.4</v>
      </c>
      <c r="BP260">
        <v>6.35</v>
      </c>
      <c r="BQ260">
        <v>1.77</v>
      </c>
      <c r="BR260">
        <v>1.94</v>
      </c>
      <c r="BS260" t="s">
        <v>124</v>
      </c>
      <c r="BT260">
        <f>VLOOKUP(Table1[[#This Row],[Reference]],metron,8,FALSE)</f>
        <v>1.5780106027030405</v>
      </c>
      <c r="BU260">
        <f>VLOOKUP(Table1[[#This Row],[Reference]],metron,9,FALSE)</f>
        <v>1.1353025412447635</v>
      </c>
      <c r="BV260">
        <f>VLOOKUP(Table1[[#This Row],[Reference]],metron,10,FALSE)</f>
        <v>2.4884649511978703</v>
      </c>
      <c r="BW260">
        <f>VLOOKUP(Table1[[#This Row],[Reference]],metron,11,FALSE)</f>
        <v>1.396960958296362</v>
      </c>
      <c r="BX260">
        <f>VLOOKUP(Table1[[#This Row],[Reference]],metron,12,FALSE)</f>
        <v>1.091503992901508</v>
      </c>
      <c r="BY260" s="6">
        <f>VLOOKUP(Table1[[#This Row],[Reference]],metron,13,FALSE)</f>
        <v>0.60765391014975045</v>
      </c>
      <c r="BZ260" s="6">
        <f>VLOOKUP(Table1[[#This Row],[Reference]],metron,14,FALSE)</f>
        <v>0.47276760953965608</v>
      </c>
      <c r="CA260" s="6">
        <f>VLOOKUP(Table1[[#This Row],[Reference]],metron,15,FALSE)</f>
        <v>12.29504785684561</v>
      </c>
      <c r="CB260" s="6">
        <f>VLOOKUP(Table1[[#This Row],[Reference]],metron,16,FALSE)</f>
        <v>10.047232625884311</v>
      </c>
      <c r="CC260" s="6">
        <f>VLOOKUP(Table1[[#This Row],[Reference]],metron,17,FALSE)</f>
        <v>5.2917192097519967</v>
      </c>
      <c r="CD260" s="6">
        <f>VLOOKUP(Table1[[#This Row],[Reference]],metron,18,FALSE)</f>
        <v>4.2580916351408158</v>
      </c>
      <c r="CE260" s="6">
        <f>VLOOKUP(Table1[[#This Row],[Reference]],metron,19,FALSE)</f>
        <v>7.0033286470936131</v>
      </c>
      <c r="CF260" s="6">
        <f>VLOOKUP(Table1[[#This Row],[Reference]],metron,20,FALSE)</f>
        <v>5.789140990743495</v>
      </c>
      <c r="CG260" s="6">
        <f>VLOOKUP(Table1[[#This Row],[Reference]],metron,21,FALSE)</f>
        <v>12.77041895895049</v>
      </c>
      <c r="CH260" s="6">
        <f>VLOOKUP(Table1[[#This Row],[Reference]],metron,22,FALSE)</f>
        <v>13.411129919593741</v>
      </c>
      <c r="CI260" s="6">
        <f>VLOOKUP(Table1[[#This Row],[Reference]],metron,23,FALSE)</f>
        <v>1.556141062018646</v>
      </c>
      <c r="CJ260" s="6">
        <f>VLOOKUP(Table1[[#This Row],[Reference]],metron,24,FALSE)</f>
        <v>1.9114308877178761</v>
      </c>
      <c r="CK260" s="6">
        <f>VLOOKUP(Table1[[#This Row],[Reference]],metron,25,FALSE)</f>
        <v>8.4920956627482766E-2</v>
      </c>
      <c r="CL260" s="6">
        <f>VLOOKUP(Table1[[#This Row],[Reference]],metron,26,FALSE)</f>
        <v>0.1323469801378192</v>
      </c>
    </row>
    <row r="261" spans="1:90" hidden="1" x14ac:dyDescent="0.45">
      <c r="A261" t="s">
        <v>695</v>
      </c>
      <c r="B261">
        <v>1647730800</v>
      </c>
      <c r="C261" s="23" t="s">
        <v>557</v>
      </c>
      <c r="D261" t="s">
        <v>65</v>
      </c>
      <c r="E261" t="s">
        <v>66</v>
      </c>
      <c r="F261" t="s">
        <v>96</v>
      </c>
      <c r="G261" t="s">
        <v>72</v>
      </c>
      <c r="H261" t="s">
        <v>133</v>
      </c>
      <c r="I261">
        <f>MROUND(Table1[[#This Row],[ProbH]]*100,2)/100</f>
        <v>0.48</v>
      </c>
      <c r="J261">
        <f>1/Table1[[#This Row],[odds_ft_home_team_win]]-Table1[[#This Row],[Margin]]</f>
        <v>0.4880406636598677</v>
      </c>
      <c r="K261">
        <f>1/Table1[[#This Row],[odds_ft_draw]]-Table1[[#This Row],[Margin]]</f>
        <v>0.27871266388926819</v>
      </c>
      <c r="L261">
        <f>1/Table1[[#This Row],[odds_ft_away_team_win]]-Table1[[#This Row],[Margin]]</f>
        <v>0.23324667245086414</v>
      </c>
      <c r="M261">
        <v>11</v>
      </c>
      <c r="N261">
        <v>1.53</v>
      </c>
      <c r="O261">
        <v>1.1399999999999999</v>
      </c>
      <c r="P261">
        <v>1.58</v>
      </c>
      <c r="Q261">
        <v>1.28</v>
      </c>
      <c r="R261" t="str" cm="1">
        <f t="array" ref="R2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61">
        <v>1</v>
      </c>
      <c r="T261">
        <v>3</v>
      </c>
      <c r="U261">
        <v>4</v>
      </c>
      <c r="V261">
        <v>2</v>
      </c>
      <c r="W261">
        <v>0</v>
      </c>
      <c r="X261">
        <v>2</v>
      </c>
      <c r="Y261">
        <v>69</v>
      </c>
      <c r="Z261" t="s">
        <v>558</v>
      </c>
      <c r="AA261">
        <v>5</v>
      </c>
      <c r="AB261">
        <v>1</v>
      </c>
      <c r="AC261">
        <v>1</v>
      </c>
      <c r="AD261">
        <v>0</v>
      </c>
      <c r="AE261">
        <v>4</v>
      </c>
      <c r="AF261">
        <v>0</v>
      </c>
      <c r="AG261">
        <v>0</v>
      </c>
      <c r="AH261">
        <v>1</v>
      </c>
      <c r="AI261">
        <v>3</v>
      </c>
      <c r="AJ261">
        <v>1</v>
      </c>
      <c r="AK261">
        <v>11</v>
      </c>
      <c r="AL261">
        <v>9</v>
      </c>
      <c r="AM261">
        <v>7</v>
      </c>
      <c r="AN261">
        <v>4</v>
      </c>
      <c r="AO261">
        <v>4</v>
      </c>
      <c r="AP261">
        <v>5</v>
      </c>
      <c r="AQ261">
        <v>7</v>
      </c>
      <c r="AR261">
        <v>15</v>
      </c>
      <c r="AS261">
        <v>57</v>
      </c>
      <c r="AT261">
        <v>43</v>
      </c>
      <c r="AU261">
        <v>1.38</v>
      </c>
      <c r="AV261">
        <v>1.08</v>
      </c>
      <c r="AW261">
        <v>2.21</v>
      </c>
      <c r="AX261">
        <v>42</v>
      </c>
      <c r="AY261">
        <v>62</v>
      </c>
      <c r="AZ261">
        <v>49</v>
      </c>
      <c r="BA261">
        <v>17</v>
      </c>
      <c r="BB261">
        <v>10</v>
      </c>
      <c r="BC261">
        <v>17</v>
      </c>
      <c r="BD261">
        <v>59</v>
      </c>
      <c r="BE261">
        <v>49</v>
      </c>
      <c r="BF261">
        <v>66</v>
      </c>
      <c r="BG261">
        <v>10.34</v>
      </c>
      <c r="BH261">
        <v>4.99</v>
      </c>
      <c r="BI261">
        <v>2.0099999999999998</v>
      </c>
      <c r="BJ261">
        <v>3.47</v>
      </c>
      <c r="BK261">
        <v>4.12</v>
      </c>
      <c r="BL261">
        <f>(1/Table1[[#This Row],[odds_ft_home_team_win]]+1/Table1[[#This Row],[odds_ft_draw]]+1/Table1[[#This Row],[odds_ft_away_team_win]]-1)/3</f>
        <v>9.4717741510776197E-3</v>
      </c>
      <c r="BM261">
        <v>1.36</v>
      </c>
      <c r="BN261">
        <v>2.1</v>
      </c>
      <c r="BO261">
        <v>3.75</v>
      </c>
      <c r="BP261">
        <v>7</v>
      </c>
      <c r="BQ261">
        <v>1.91</v>
      </c>
      <c r="BR261">
        <v>1.8</v>
      </c>
      <c r="BS261" t="s">
        <v>99</v>
      </c>
      <c r="BT261">
        <f>VLOOKUP(Table1[[#This Row],[Reference]],metron,8,FALSE)</f>
        <v>1.743992017160418</v>
      </c>
      <c r="BU261">
        <f>VLOOKUP(Table1[[#This Row],[Reference]],metron,9,FALSE)</f>
        <v>0.97803937284245479</v>
      </c>
      <c r="BV261">
        <f>VLOOKUP(Table1[[#This Row],[Reference]],metron,10,FALSE)</f>
        <v>2.5271929824561399</v>
      </c>
      <c r="BW261">
        <f>VLOOKUP(Table1[[#This Row],[Reference]],metron,11,FALSE)</f>
        <v>1.510877192982456</v>
      </c>
      <c r="BX261">
        <f>VLOOKUP(Table1[[#This Row],[Reference]],metron,12,FALSE)</f>
        <v>1.0163157894736841</v>
      </c>
      <c r="BY261" s="6">
        <f>VLOOKUP(Table1[[#This Row],[Reference]],metron,13,FALSE)</f>
        <v>0.67350877192982461</v>
      </c>
      <c r="BZ261" s="6">
        <f>VLOOKUP(Table1[[#This Row],[Reference]],metron,14,FALSE)</f>
        <v>0.4442105263157895</v>
      </c>
      <c r="CA261" s="6">
        <f>VLOOKUP(Table1[[#This Row],[Reference]],metron,15,FALSE)</f>
        <v>12.80980392156863</v>
      </c>
      <c r="CB261" s="6">
        <f>VLOOKUP(Table1[[#This Row],[Reference]],metron,16,FALSE)</f>
        <v>9.6872549019607845</v>
      </c>
      <c r="CC261" s="6">
        <f>VLOOKUP(Table1[[#This Row],[Reference]],metron,17,FALSE)</f>
        <v>5.6491169610129957</v>
      </c>
      <c r="CD261" s="6">
        <f>VLOOKUP(Table1[[#This Row],[Reference]],metron,18,FALSE)</f>
        <v>4.1379540153282237</v>
      </c>
      <c r="CE261" s="6">
        <f>VLOOKUP(Table1[[#This Row],[Reference]],metron,19,FALSE)</f>
        <v>7.1606869605556343</v>
      </c>
      <c r="CF261" s="6">
        <f>VLOOKUP(Table1[[#This Row],[Reference]],metron,20,FALSE)</f>
        <v>5.5493008866325608</v>
      </c>
      <c r="CG261" s="6">
        <f>VLOOKUP(Table1[[#This Row],[Reference]],metron,21,FALSE)</f>
        <v>12.9029029029029</v>
      </c>
      <c r="CH261" s="6">
        <f>VLOOKUP(Table1[[#This Row],[Reference]],metron,22,FALSE)</f>
        <v>13.75508842175509</v>
      </c>
      <c r="CI261" s="6">
        <f>VLOOKUP(Table1[[#This Row],[Reference]],metron,23,FALSE)</f>
        <v>1.5287356321839081</v>
      </c>
      <c r="CJ261" s="6">
        <f>VLOOKUP(Table1[[#This Row],[Reference]],metron,24,FALSE)</f>
        <v>1.9664750957854411</v>
      </c>
      <c r="CK261" s="6">
        <f>VLOOKUP(Table1[[#This Row],[Reference]],metron,25,FALSE)</f>
        <v>8.8441890166028103E-2</v>
      </c>
      <c r="CL261" s="6">
        <f>VLOOKUP(Table1[[#This Row],[Reference]],metron,26,FALSE)</f>
        <v>0.13409961685823751</v>
      </c>
    </row>
    <row r="262" spans="1:90" hidden="1" x14ac:dyDescent="0.45">
      <c r="A262" t="s">
        <v>695</v>
      </c>
      <c r="B262">
        <v>1647738000</v>
      </c>
      <c r="C262" s="23" t="s">
        <v>559</v>
      </c>
      <c r="D262" t="s">
        <v>65</v>
      </c>
      <c r="E262" t="s">
        <v>66</v>
      </c>
      <c r="F262" t="s">
        <v>107</v>
      </c>
      <c r="G262" t="s">
        <v>101</v>
      </c>
      <c r="H262" t="s">
        <v>74</v>
      </c>
      <c r="I262">
        <f>MROUND(Table1[[#This Row],[ProbH]]*100,2)/100</f>
        <v>0.44</v>
      </c>
      <c r="J262">
        <f>1/Table1[[#This Row],[odds_ft_home_team_win]]-Table1[[#This Row],[Margin]]</f>
        <v>0.44562614859272587</v>
      </c>
      <c r="K262">
        <f>1/Table1[[#This Row],[odds_ft_draw]]-Table1[[#This Row],[Margin]]</f>
        <v>0.2767656247262188</v>
      </c>
      <c r="L262">
        <f>1/Table1[[#This Row],[odds_ft_away_team_win]]-Table1[[#This Row],[Margin]]</f>
        <v>0.27760822668105534</v>
      </c>
      <c r="M262">
        <v>11</v>
      </c>
      <c r="N262">
        <v>2</v>
      </c>
      <c r="O262">
        <v>1.1399999999999999</v>
      </c>
      <c r="P262">
        <v>2</v>
      </c>
      <c r="Q262">
        <v>1.05</v>
      </c>
      <c r="R262" t="str" cm="1">
        <f t="array" ref="R2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2">
        <v>2</v>
      </c>
      <c r="T262">
        <v>0</v>
      </c>
      <c r="U262">
        <v>2</v>
      </c>
      <c r="V262">
        <v>0</v>
      </c>
      <c r="W262">
        <v>0</v>
      </c>
      <c r="X262">
        <v>0</v>
      </c>
      <c r="Y262" t="s">
        <v>560</v>
      </c>
      <c r="AA262">
        <v>3</v>
      </c>
      <c r="AB262">
        <v>5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7</v>
      </c>
      <c r="AL262">
        <v>4</v>
      </c>
      <c r="AM262">
        <v>6</v>
      </c>
      <c r="AN262">
        <v>0</v>
      </c>
      <c r="AO262">
        <v>1</v>
      </c>
      <c r="AP262">
        <v>4</v>
      </c>
      <c r="AQ262">
        <v>4</v>
      </c>
      <c r="AR262">
        <v>5</v>
      </c>
      <c r="AS262">
        <v>67</v>
      </c>
      <c r="AT262">
        <v>33</v>
      </c>
      <c r="AU262">
        <v>1.05</v>
      </c>
      <c r="AV262">
        <v>0.27</v>
      </c>
      <c r="AW262">
        <v>2.52</v>
      </c>
      <c r="AX262">
        <v>59</v>
      </c>
      <c r="AY262">
        <v>76</v>
      </c>
      <c r="AZ262">
        <v>52</v>
      </c>
      <c r="BA262">
        <v>25</v>
      </c>
      <c r="BB262">
        <v>7</v>
      </c>
      <c r="BC262">
        <v>35</v>
      </c>
      <c r="BD262">
        <v>69</v>
      </c>
      <c r="BE262">
        <v>35</v>
      </c>
      <c r="BF262">
        <v>72</v>
      </c>
      <c r="BG262">
        <v>12.21</v>
      </c>
      <c r="BH262">
        <v>5.53</v>
      </c>
      <c r="BI262">
        <v>2.1800000000000002</v>
      </c>
      <c r="BJ262">
        <v>3.45</v>
      </c>
      <c r="BK262">
        <v>3.44</v>
      </c>
      <c r="BL262">
        <f>(1/Table1[[#This Row],[odds_ft_home_team_win]]+1/Table1[[#This Row],[odds_ft_draw]]+1/Table1[[#This Row],[odds_ft_away_team_win]]-1)/3</f>
        <v>1.3089447737549312E-2</v>
      </c>
      <c r="BM262">
        <v>1.29</v>
      </c>
      <c r="BN262">
        <v>1.93</v>
      </c>
      <c r="BO262">
        <v>3</v>
      </c>
      <c r="BP262">
        <v>5.5</v>
      </c>
      <c r="BQ262">
        <v>1.7</v>
      </c>
      <c r="BR262">
        <v>2.0499999999999998</v>
      </c>
      <c r="BS262" t="s">
        <v>161</v>
      </c>
      <c r="BT262">
        <f>VLOOKUP(Table1[[#This Row],[Reference]],metron,8,FALSE)</f>
        <v>1.6395459745305552</v>
      </c>
      <c r="BU262">
        <f>VLOOKUP(Table1[[#This Row],[Reference]],metron,9,FALSE)</f>
        <v>1.0758429359324786</v>
      </c>
      <c r="BV262">
        <f>VLOOKUP(Table1[[#This Row],[Reference]],metron,10,FALSE)</f>
        <v>2.4807646356033461</v>
      </c>
      <c r="BW262">
        <f>VLOOKUP(Table1[[#This Row],[Reference]],metron,11,FALSE)</f>
        <v>1.4140979689366791</v>
      </c>
      <c r="BX262">
        <f>VLOOKUP(Table1[[#This Row],[Reference]],metron,12,FALSE)</f>
        <v>1.0666666666666671</v>
      </c>
      <c r="BY262" s="6">
        <f>VLOOKUP(Table1[[#This Row],[Reference]],metron,13,FALSE)</f>
        <v>0.62712066905615294</v>
      </c>
      <c r="BZ262" s="6">
        <f>VLOOKUP(Table1[[#This Row],[Reference]],metron,14,FALSE)</f>
        <v>0.46009557945041818</v>
      </c>
      <c r="CA262" s="6">
        <f>VLOOKUP(Table1[[#This Row],[Reference]],metron,15,FALSE)</f>
        <v>12.56969280146722</v>
      </c>
      <c r="CB262" s="6">
        <f>VLOOKUP(Table1[[#This Row],[Reference]],metron,16,FALSE)</f>
        <v>9.8695552498853729</v>
      </c>
      <c r="CC262" s="6">
        <f>VLOOKUP(Table1[[#This Row],[Reference]],metron,17,FALSE)</f>
        <v>5.2754256787850897</v>
      </c>
      <c r="CD262" s="6">
        <f>VLOOKUP(Table1[[#This Row],[Reference]],metron,18,FALSE)</f>
        <v>4.1279337321675103</v>
      </c>
      <c r="CE262" s="6">
        <f>VLOOKUP(Table1[[#This Row],[Reference]],metron,19,FALSE)</f>
        <v>7.2942671226821298</v>
      </c>
      <c r="CF262" s="6">
        <f>VLOOKUP(Table1[[#This Row],[Reference]],metron,20,FALSE)</f>
        <v>5.7416215177178627</v>
      </c>
      <c r="CG262" s="6">
        <f>VLOOKUP(Table1[[#This Row],[Reference]],metron,21,FALSE)</f>
        <v>12.897246007868549</v>
      </c>
      <c r="CH262" s="6">
        <f>VLOOKUP(Table1[[#This Row],[Reference]],metron,22,FALSE)</f>
        <v>13.507058551261281</v>
      </c>
      <c r="CI262" s="6">
        <f>VLOOKUP(Table1[[#This Row],[Reference]],metron,23,FALSE)</f>
        <v>1.576522702104098</v>
      </c>
      <c r="CJ262" s="6">
        <f>VLOOKUP(Table1[[#This Row],[Reference]],metron,24,FALSE)</f>
        <v>1.917165005537099</v>
      </c>
      <c r="CK262" s="6">
        <f>VLOOKUP(Table1[[#This Row],[Reference]],metron,25,FALSE)</f>
        <v>8.4385382059800659E-2</v>
      </c>
      <c r="CL262" s="6">
        <f>VLOOKUP(Table1[[#This Row],[Reference]],metron,26,FALSE)</f>
        <v>0.1233665559246955</v>
      </c>
    </row>
    <row r="263" spans="1:90" hidden="1" x14ac:dyDescent="0.45">
      <c r="A263" t="s">
        <v>695</v>
      </c>
      <c r="B263">
        <v>1647745200</v>
      </c>
      <c r="C263" s="23" t="s">
        <v>561</v>
      </c>
      <c r="D263" t="s">
        <v>65</v>
      </c>
      <c r="E263" t="s">
        <v>66</v>
      </c>
      <c r="F263" t="s">
        <v>84</v>
      </c>
      <c r="G263" t="s">
        <v>112</v>
      </c>
      <c r="H263" t="s">
        <v>175</v>
      </c>
      <c r="I263">
        <f>MROUND(Table1[[#This Row],[ProbH]]*100,2)/100</f>
        <v>0.5</v>
      </c>
      <c r="J263">
        <f>1/Table1[[#This Row],[odds_ft_home_team_win]]-Table1[[#This Row],[Margin]]</f>
        <v>0.49625905758674055</v>
      </c>
      <c r="K263">
        <f>1/Table1[[#This Row],[odds_ft_draw]]-Table1[[#This Row],[Margin]]</f>
        <v>0.27258792724348574</v>
      </c>
      <c r="L263">
        <f>1/Table1[[#This Row],[odds_ft_away_team_win]]-Table1[[#This Row],[Margin]]</f>
        <v>0.23115301516977371</v>
      </c>
      <c r="M263">
        <v>11</v>
      </c>
      <c r="N263">
        <v>1.5</v>
      </c>
      <c r="O263">
        <v>1.46</v>
      </c>
      <c r="P263">
        <v>1.89</v>
      </c>
      <c r="Q263">
        <v>1.5</v>
      </c>
      <c r="R263" t="str" cm="1">
        <f t="array" ref="R2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18</v>
      </c>
      <c r="AA263">
        <v>3</v>
      </c>
      <c r="AB263">
        <v>1</v>
      </c>
      <c r="AC263">
        <v>2</v>
      </c>
      <c r="AD263">
        <v>0</v>
      </c>
      <c r="AE263">
        <v>2</v>
      </c>
      <c r="AF263">
        <v>1</v>
      </c>
      <c r="AG263">
        <v>0</v>
      </c>
      <c r="AH263">
        <v>2</v>
      </c>
      <c r="AI263">
        <v>0</v>
      </c>
      <c r="AJ263">
        <v>3</v>
      </c>
      <c r="AK263">
        <v>11</v>
      </c>
      <c r="AL263">
        <v>9</v>
      </c>
      <c r="AM263">
        <v>6</v>
      </c>
      <c r="AN263">
        <v>5</v>
      </c>
      <c r="AO263">
        <v>5</v>
      </c>
      <c r="AP263">
        <v>4</v>
      </c>
      <c r="AQ263">
        <v>13</v>
      </c>
      <c r="AR263">
        <v>21</v>
      </c>
      <c r="AS263">
        <v>53</v>
      </c>
      <c r="AT263">
        <v>47</v>
      </c>
      <c r="AU263">
        <v>1.52</v>
      </c>
      <c r="AV263">
        <v>1.25</v>
      </c>
      <c r="AW263">
        <v>2.48</v>
      </c>
      <c r="AX263">
        <v>68</v>
      </c>
      <c r="AY263">
        <v>72</v>
      </c>
      <c r="AZ263">
        <v>44</v>
      </c>
      <c r="BA263">
        <v>28</v>
      </c>
      <c r="BB263">
        <v>8</v>
      </c>
      <c r="BC263">
        <v>44</v>
      </c>
      <c r="BD263">
        <v>76</v>
      </c>
      <c r="BE263">
        <v>24</v>
      </c>
      <c r="BF263">
        <v>61</v>
      </c>
      <c r="BG263">
        <v>8.8000000000000007</v>
      </c>
      <c r="BH263">
        <v>5.23</v>
      </c>
      <c r="BI263">
        <v>1.96</v>
      </c>
      <c r="BJ263">
        <v>3.49</v>
      </c>
      <c r="BK263">
        <v>4.08</v>
      </c>
      <c r="BL263">
        <f>(1/Table1[[#This Row],[odds_ft_home_team_win]]+1/Table1[[#This Row],[odds_ft_draw]]+1/Table1[[#This Row],[odds_ft_away_team_win]]-1)/3</f>
        <v>1.3945024045912543E-2</v>
      </c>
      <c r="BM263">
        <v>1.36</v>
      </c>
      <c r="BN263">
        <v>2.1</v>
      </c>
      <c r="BO263">
        <v>4</v>
      </c>
      <c r="BP263">
        <v>7.5</v>
      </c>
      <c r="BQ263">
        <v>2</v>
      </c>
      <c r="BR263">
        <v>1.73</v>
      </c>
      <c r="BS263" t="s">
        <v>88</v>
      </c>
      <c r="BT263">
        <f>VLOOKUP(Table1[[#This Row],[Reference]],metron,8,FALSE)</f>
        <v>1.8001937313313046</v>
      </c>
      <c r="BU263">
        <f>VLOOKUP(Table1[[#This Row],[Reference]],metron,9,FALSE)</f>
        <v>0.9268512077832276</v>
      </c>
      <c r="BV263">
        <f>VLOOKUP(Table1[[#This Row],[Reference]],metron,10,FALSE)</f>
        <v>2.5202079886551649</v>
      </c>
      <c r="BW263">
        <f>VLOOKUP(Table1[[#This Row],[Reference]],metron,11,FALSE)</f>
        <v>1.5342708579532029</v>
      </c>
      <c r="BX263">
        <f>VLOOKUP(Table1[[#This Row],[Reference]],metron,12,FALSE)</f>
        <v>0.98593713070196176</v>
      </c>
      <c r="BY263" s="6">
        <f>VLOOKUP(Table1[[#This Row],[Reference]],metron,13,FALSE)</f>
        <v>0.67513590167809023</v>
      </c>
      <c r="BZ263" s="6">
        <f>VLOOKUP(Table1[[#This Row],[Reference]],metron,14,FALSE)</f>
        <v>0.4286727337194185</v>
      </c>
      <c r="CA263" s="6">
        <f>VLOOKUP(Table1[[#This Row],[Reference]],metron,15,FALSE)</f>
        <v>12.98669114272602</v>
      </c>
      <c r="CB263" s="6">
        <f>VLOOKUP(Table1[[#This Row],[Reference]],metron,16,FALSE)</f>
        <v>9.4167049105094076</v>
      </c>
      <c r="CC263" s="6">
        <f>VLOOKUP(Table1[[#This Row],[Reference]],metron,17,FALSE)</f>
        <v>5.6645716945996272</v>
      </c>
      <c r="CD263" s="6">
        <f>VLOOKUP(Table1[[#This Row],[Reference]],metron,18,FALSE)</f>
        <v>4.0242085661080074</v>
      </c>
      <c r="CE263" s="6">
        <f>VLOOKUP(Table1[[#This Row],[Reference]],metron,19,FALSE)</f>
        <v>7.3221194481263927</v>
      </c>
      <c r="CF263" s="6">
        <f>VLOOKUP(Table1[[#This Row],[Reference]],metron,20,FALSE)</f>
        <v>5.3924963444014002</v>
      </c>
      <c r="CG263" s="6">
        <f>VLOOKUP(Table1[[#This Row],[Reference]],metron,21,FALSE)</f>
        <v>12.508162313432839</v>
      </c>
      <c r="CH263" s="6">
        <f>VLOOKUP(Table1[[#This Row],[Reference]],metron,22,FALSE)</f>
        <v>13.36963619402985</v>
      </c>
      <c r="CI263" s="6">
        <f>VLOOKUP(Table1[[#This Row],[Reference]],metron,23,FALSE)</f>
        <v>1.4438014689517029</v>
      </c>
      <c r="CJ263" s="6">
        <f>VLOOKUP(Table1[[#This Row],[Reference]],metron,24,FALSE)</f>
        <v>1.9410193634542621</v>
      </c>
      <c r="CK263" s="6">
        <f>VLOOKUP(Table1[[#This Row],[Reference]],metron,25,FALSE)</f>
        <v>8.4130870242599604E-2</v>
      </c>
      <c r="CL263" s="6">
        <f>VLOOKUP(Table1[[#This Row],[Reference]],metron,26,FALSE)</f>
        <v>0.1275317160026708</v>
      </c>
    </row>
    <row r="264" spans="1:90" hidden="1" x14ac:dyDescent="0.45">
      <c r="A264" t="s">
        <v>695</v>
      </c>
      <c r="B264">
        <v>1647817200</v>
      </c>
      <c r="C264" s="23" t="s">
        <v>562</v>
      </c>
      <c r="D264" t="s">
        <v>65</v>
      </c>
      <c r="E264" t="s">
        <v>66</v>
      </c>
      <c r="F264" t="s">
        <v>68</v>
      </c>
      <c r="G264" t="s">
        <v>79</v>
      </c>
      <c r="H264" t="s">
        <v>103</v>
      </c>
      <c r="I264">
        <f>MROUND(Table1[[#This Row],[ProbH]]*100,2)/100</f>
        <v>0.54</v>
      </c>
      <c r="J264">
        <f>1/Table1[[#This Row],[odds_ft_home_team_win]]-Table1[[#This Row],[Margin]]</f>
        <v>0.54480321079918659</v>
      </c>
      <c r="K264">
        <f>1/Table1[[#This Row],[odds_ft_draw]]-Table1[[#This Row],[Margin]]</f>
        <v>0.25506478021568568</v>
      </c>
      <c r="L264">
        <f>1/Table1[[#This Row],[odds_ft_away_team_win]]-Table1[[#This Row],[Margin]]</f>
        <v>0.20013200898512767</v>
      </c>
      <c r="M264">
        <v>11</v>
      </c>
      <c r="N264">
        <v>1.71</v>
      </c>
      <c r="O264">
        <v>1.5</v>
      </c>
      <c r="P264">
        <v>1.9</v>
      </c>
      <c r="Q264">
        <v>1.29</v>
      </c>
      <c r="R264" t="str" cm="1">
        <f t="array" ref="R2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4">
        <v>3</v>
      </c>
      <c r="T264">
        <v>0</v>
      </c>
      <c r="U264">
        <v>3</v>
      </c>
      <c r="V264">
        <v>3</v>
      </c>
      <c r="W264">
        <v>3</v>
      </c>
      <c r="X264">
        <v>0</v>
      </c>
      <c r="Y264" t="s">
        <v>563</v>
      </c>
      <c r="AA264">
        <v>3</v>
      </c>
      <c r="AB264">
        <v>1</v>
      </c>
      <c r="AC264">
        <v>0</v>
      </c>
      <c r="AD264">
        <v>0</v>
      </c>
      <c r="AE264">
        <v>2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18</v>
      </c>
      <c r="AL264">
        <v>5</v>
      </c>
      <c r="AM264">
        <v>10</v>
      </c>
      <c r="AN264">
        <v>0</v>
      </c>
      <c r="AO264">
        <v>8</v>
      </c>
      <c r="AP264">
        <v>5</v>
      </c>
      <c r="AQ264">
        <v>9</v>
      </c>
      <c r="AR264">
        <v>11</v>
      </c>
      <c r="AS264">
        <v>52</v>
      </c>
      <c r="AT264">
        <v>48</v>
      </c>
      <c r="AU264">
        <v>2.17</v>
      </c>
      <c r="AV264">
        <v>0.45</v>
      </c>
      <c r="AW264">
        <v>2.36</v>
      </c>
      <c r="AX264">
        <v>40</v>
      </c>
      <c r="AY264">
        <v>75</v>
      </c>
      <c r="AZ264">
        <v>40</v>
      </c>
      <c r="BA264">
        <v>25</v>
      </c>
      <c r="BB264">
        <v>7</v>
      </c>
      <c r="BC264">
        <v>18</v>
      </c>
      <c r="BD264">
        <v>72</v>
      </c>
      <c r="BE264">
        <v>36</v>
      </c>
      <c r="BF264">
        <v>83</v>
      </c>
      <c r="BG264">
        <v>9</v>
      </c>
      <c r="BH264">
        <v>4.43</v>
      </c>
      <c r="BI264">
        <v>1.75</v>
      </c>
      <c r="BJ264">
        <v>3.55</v>
      </c>
      <c r="BK264">
        <v>4.41</v>
      </c>
      <c r="BL264">
        <f>(1/Table1[[#This Row],[odds_ft_home_team_win]]+1/Table1[[#This Row],[odds_ft_draw]]+1/Table1[[#This Row],[odds_ft_away_team_win]]-1)/3</f>
        <v>2.6625360629384771E-2</v>
      </c>
      <c r="BM264">
        <v>1.33</v>
      </c>
      <c r="BN264">
        <v>1.93</v>
      </c>
      <c r="BO264">
        <v>3.4</v>
      </c>
      <c r="BP264">
        <v>6.5</v>
      </c>
      <c r="BQ264">
        <v>1.8</v>
      </c>
      <c r="BR264">
        <v>1.91</v>
      </c>
      <c r="BS264" t="s">
        <v>116</v>
      </c>
      <c r="BT264">
        <f>VLOOKUP(Table1[[#This Row],[Reference]],metron,8,FALSE)</f>
        <v>1.915666026436746</v>
      </c>
      <c r="BU264">
        <f>VLOOKUP(Table1[[#This Row],[Reference]],metron,9,FALSE)</f>
        <v>0.82283834599204153</v>
      </c>
      <c r="BV264">
        <f>VLOOKUP(Table1[[#This Row],[Reference]],metron,10,FALSE)</f>
        <v>2.6359702267612941</v>
      </c>
      <c r="BW264">
        <f>VLOOKUP(Table1[[#This Row],[Reference]],metron,11,FALSE)</f>
        <v>1.684957590444867</v>
      </c>
      <c r="BX264">
        <f>VLOOKUP(Table1[[#This Row],[Reference]],metron,12,FALSE)</f>
        <v>0.95101263631642718</v>
      </c>
      <c r="BY264" s="6">
        <f>VLOOKUP(Table1[[#This Row],[Reference]],metron,13,FALSE)</f>
        <v>0.72650164445213783</v>
      </c>
      <c r="BZ264" s="6">
        <f>VLOOKUP(Table1[[#This Row],[Reference]],metron,14,FALSE)</f>
        <v>0.42097974727367138</v>
      </c>
      <c r="CA264" s="6">
        <f>VLOOKUP(Table1[[#This Row],[Reference]],metron,15,FALSE)</f>
        <v>13.338806970509379</v>
      </c>
      <c r="CB264" s="6">
        <f>VLOOKUP(Table1[[#This Row],[Reference]],metron,16,FALSE)</f>
        <v>9.2530160857908843</v>
      </c>
      <c r="CC264" s="6">
        <f>VLOOKUP(Table1[[#This Row],[Reference]],metron,17,FALSE)</f>
        <v>5.9915081521739131</v>
      </c>
      <c r="CD264" s="6">
        <f>VLOOKUP(Table1[[#This Row],[Reference]],metron,18,FALSE)</f>
        <v>3.9772418478260869</v>
      </c>
      <c r="CE264" s="6">
        <f>VLOOKUP(Table1[[#This Row],[Reference]],metron,19,FALSE)</f>
        <v>7.3472988183354664</v>
      </c>
      <c r="CF264" s="6">
        <f>VLOOKUP(Table1[[#This Row],[Reference]],metron,20,FALSE)</f>
        <v>5.2757742379647974</v>
      </c>
      <c r="CG264" s="6">
        <f>VLOOKUP(Table1[[#This Row],[Reference]],metron,21,FALSE)</f>
        <v>12.59428182437032</v>
      </c>
      <c r="CH264" s="6">
        <f>VLOOKUP(Table1[[#This Row],[Reference]],metron,22,FALSE)</f>
        <v>13.577944179714089</v>
      </c>
      <c r="CI264" s="6">
        <f>VLOOKUP(Table1[[#This Row],[Reference]],metron,23,FALSE)</f>
        <v>1.4276913099870301</v>
      </c>
      <c r="CJ264" s="6">
        <f>VLOOKUP(Table1[[#This Row],[Reference]],metron,24,FALSE)</f>
        <v>1.940985732814527</v>
      </c>
      <c r="CK264" s="6">
        <f>VLOOKUP(Table1[[#This Row],[Reference]],metron,25,FALSE)</f>
        <v>8.0739299610894946E-2</v>
      </c>
      <c r="CL264" s="6">
        <f>VLOOKUP(Table1[[#This Row],[Reference]],metron,26,FALSE)</f>
        <v>0.12743190661478601</v>
      </c>
    </row>
    <row r="265" spans="1:90" hidden="1" x14ac:dyDescent="0.45">
      <c r="A265" t="s">
        <v>695</v>
      </c>
      <c r="B265">
        <v>1647824400</v>
      </c>
      <c r="C265" s="23" t="s">
        <v>564</v>
      </c>
      <c r="D265" t="s">
        <v>65</v>
      </c>
      <c r="E265" t="s">
        <v>66</v>
      </c>
      <c r="F265" t="s">
        <v>97</v>
      </c>
      <c r="G265" t="s">
        <v>90</v>
      </c>
      <c r="H265" t="s">
        <v>158</v>
      </c>
      <c r="I265">
        <f>MROUND(Table1[[#This Row],[ProbH]]*100,2)/100</f>
        <v>0.42</v>
      </c>
      <c r="J265">
        <f>1/Table1[[#This Row],[odds_ft_home_team_win]]-Table1[[#This Row],[Margin]]</f>
        <v>0.42584213172448471</v>
      </c>
      <c r="K265">
        <f>1/Table1[[#This Row],[odds_ft_draw]]-Table1[[#This Row],[Margin]]</f>
        <v>0.30668677727501259</v>
      </c>
      <c r="L265">
        <f>1/Table1[[#This Row],[odds_ft_away_team_win]]-Table1[[#This Row],[Margin]]</f>
        <v>0.26747109100050281</v>
      </c>
      <c r="M265">
        <v>11</v>
      </c>
      <c r="N265">
        <v>1.56</v>
      </c>
      <c r="O265">
        <v>1.1399999999999999</v>
      </c>
      <c r="P265">
        <v>1.55</v>
      </c>
      <c r="Q265">
        <v>1.32</v>
      </c>
      <c r="R265" s="9" t="str" cm="1">
        <f t="array" ref="R2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5">
        <v>1</v>
      </c>
      <c r="T265">
        <v>1</v>
      </c>
      <c r="U265">
        <v>2</v>
      </c>
      <c r="V265">
        <v>0</v>
      </c>
      <c r="W265">
        <v>0</v>
      </c>
      <c r="X265">
        <v>0</v>
      </c>
      <c r="Y265" t="s">
        <v>193</v>
      </c>
      <c r="Z265">
        <v>66</v>
      </c>
      <c r="AA265">
        <v>1</v>
      </c>
      <c r="AB265">
        <v>2</v>
      </c>
      <c r="AC265">
        <v>3</v>
      </c>
      <c r="AD265">
        <v>2</v>
      </c>
      <c r="AE265">
        <v>3</v>
      </c>
      <c r="AF265">
        <v>1</v>
      </c>
      <c r="AG265">
        <v>2</v>
      </c>
      <c r="AH265">
        <v>3</v>
      </c>
      <c r="AI265">
        <v>3</v>
      </c>
      <c r="AJ265">
        <v>1</v>
      </c>
      <c r="AK265">
        <v>17</v>
      </c>
      <c r="AL265">
        <v>11</v>
      </c>
      <c r="AM265">
        <v>4</v>
      </c>
      <c r="AN265">
        <v>4</v>
      </c>
      <c r="AO265">
        <v>13</v>
      </c>
      <c r="AP265">
        <v>7</v>
      </c>
      <c r="AQ265">
        <v>13</v>
      </c>
      <c r="AR265">
        <v>11</v>
      </c>
      <c r="AS265">
        <v>44</v>
      </c>
      <c r="AT265">
        <v>56</v>
      </c>
      <c r="AU265">
        <v>1.68</v>
      </c>
      <c r="AV265">
        <v>1.1200000000000001</v>
      </c>
      <c r="AW265">
        <v>1.59</v>
      </c>
      <c r="AX265">
        <v>31</v>
      </c>
      <c r="AY265">
        <v>47</v>
      </c>
      <c r="AZ265">
        <v>28</v>
      </c>
      <c r="BA265">
        <v>11</v>
      </c>
      <c r="BB265">
        <v>0</v>
      </c>
      <c r="BC265">
        <v>18</v>
      </c>
      <c r="BD265">
        <v>41</v>
      </c>
      <c r="BE265">
        <v>31</v>
      </c>
      <c r="BF265">
        <v>70</v>
      </c>
      <c r="BG265">
        <v>8.3800000000000008</v>
      </c>
      <c r="BH265">
        <v>4.6900000000000004</v>
      </c>
      <c r="BI265">
        <v>2.21</v>
      </c>
      <c r="BJ265">
        <v>3</v>
      </c>
      <c r="BK265">
        <v>3.4</v>
      </c>
      <c r="BL265">
        <f>(1/Table1[[#This Row],[odds_ft_home_team_win]]+1/Table1[[#This Row],[odds_ft_draw]]+1/Table1[[#This Row],[odds_ft_away_team_win]]-1)/3</f>
        <v>2.6646556058320742E-2</v>
      </c>
      <c r="BM265">
        <v>1.5</v>
      </c>
      <c r="BN265">
        <v>2.38</v>
      </c>
      <c r="BO265">
        <v>4.75</v>
      </c>
      <c r="BP265">
        <v>9</v>
      </c>
      <c r="BQ265">
        <v>2.2000000000000002</v>
      </c>
      <c r="BR265">
        <v>1.62</v>
      </c>
      <c r="BS265" t="s">
        <v>136</v>
      </c>
      <c r="BT265">
        <f>VLOOKUP(Table1[[#This Row],[Reference]],metron,8,FALSE)</f>
        <v>1.5780106027030405</v>
      </c>
      <c r="BU265">
        <f>VLOOKUP(Table1[[#This Row],[Reference]],metron,9,FALSE)</f>
        <v>1.1353025412447635</v>
      </c>
      <c r="BV265">
        <f>VLOOKUP(Table1[[#This Row],[Reference]],metron,10,FALSE)</f>
        <v>2.4884649511978703</v>
      </c>
      <c r="BW265">
        <f>VLOOKUP(Table1[[#This Row],[Reference]],metron,11,FALSE)</f>
        <v>1.396960958296362</v>
      </c>
      <c r="BX265">
        <f>VLOOKUP(Table1[[#This Row],[Reference]],metron,12,FALSE)</f>
        <v>1.091503992901508</v>
      </c>
      <c r="BY265" s="6">
        <f>VLOOKUP(Table1[[#This Row],[Reference]],metron,13,FALSE)</f>
        <v>0.60765391014975045</v>
      </c>
      <c r="BZ265" s="6">
        <f>VLOOKUP(Table1[[#This Row],[Reference]],metron,14,FALSE)</f>
        <v>0.47276760953965608</v>
      </c>
      <c r="CA265" s="6">
        <f>VLOOKUP(Table1[[#This Row],[Reference]],metron,15,FALSE)</f>
        <v>12.29504785684561</v>
      </c>
      <c r="CB265" s="6">
        <f>VLOOKUP(Table1[[#This Row],[Reference]],metron,16,FALSE)</f>
        <v>10.047232625884311</v>
      </c>
      <c r="CC265" s="6">
        <f>VLOOKUP(Table1[[#This Row],[Reference]],metron,17,FALSE)</f>
        <v>5.2917192097519967</v>
      </c>
      <c r="CD265" s="6">
        <f>VLOOKUP(Table1[[#This Row],[Reference]],metron,18,FALSE)</f>
        <v>4.2580916351408158</v>
      </c>
      <c r="CE265" s="6">
        <f>VLOOKUP(Table1[[#This Row],[Reference]],metron,19,FALSE)</f>
        <v>7.0033286470936131</v>
      </c>
      <c r="CF265" s="6">
        <f>VLOOKUP(Table1[[#This Row],[Reference]],metron,20,FALSE)</f>
        <v>5.789140990743495</v>
      </c>
      <c r="CG265" s="6">
        <f>VLOOKUP(Table1[[#This Row],[Reference]],metron,21,FALSE)</f>
        <v>12.77041895895049</v>
      </c>
      <c r="CH265" s="6">
        <f>VLOOKUP(Table1[[#This Row],[Reference]],metron,22,FALSE)</f>
        <v>13.411129919593741</v>
      </c>
      <c r="CI265" s="6">
        <f>VLOOKUP(Table1[[#This Row],[Reference]],metron,23,FALSE)</f>
        <v>1.556141062018646</v>
      </c>
      <c r="CJ265" s="6">
        <f>VLOOKUP(Table1[[#This Row],[Reference]],metron,24,FALSE)</f>
        <v>1.9114308877178761</v>
      </c>
      <c r="CK265" s="6">
        <f>VLOOKUP(Table1[[#This Row],[Reference]],metron,25,FALSE)</f>
        <v>8.4920956627482766E-2</v>
      </c>
      <c r="CL265" s="6">
        <f>VLOOKUP(Table1[[#This Row],[Reference]],metron,26,FALSE)</f>
        <v>0.1323469801378192</v>
      </c>
    </row>
    <row r="266" spans="1:90" hidden="1" x14ac:dyDescent="0.45">
      <c r="A266" t="s">
        <v>695</v>
      </c>
      <c r="B266">
        <v>1647831600</v>
      </c>
      <c r="C266" s="23" t="s">
        <v>565</v>
      </c>
      <c r="D266" t="s">
        <v>65</v>
      </c>
      <c r="E266" t="s">
        <v>66</v>
      </c>
      <c r="F266" t="s">
        <v>113</v>
      </c>
      <c r="G266" t="s">
        <v>85</v>
      </c>
      <c r="H266" t="s">
        <v>66</v>
      </c>
      <c r="I266">
        <f>MROUND(Table1[[#This Row],[ProbH]]*100,2)/100</f>
        <v>0.28000000000000003</v>
      </c>
      <c r="J266">
        <f>1/Table1[[#This Row],[odds_ft_home_team_win]]-Table1[[#This Row],[Margin]]</f>
        <v>0.28935185185185186</v>
      </c>
      <c r="K266">
        <f>1/Table1[[#This Row],[odds_ft_draw]]-Table1[[#This Row],[Margin]]</f>
        <v>0.28935185185185186</v>
      </c>
      <c r="L266">
        <f>1/Table1[[#This Row],[odds_ft_away_team_win]]-Table1[[#This Row],[Margin]]</f>
        <v>0.42129629629629628</v>
      </c>
      <c r="M266">
        <v>11</v>
      </c>
      <c r="N266">
        <v>1.69</v>
      </c>
      <c r="O266">
        <v>1.5</v>
      </c>
      <c r="P266">
        <v>1.71</v>
      </c>
      <c r="Q266">
        <v>1.4</v>
      </c>
      <c r="R266" t="str" cm="1">
        <f t="array" ref="R2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66">
        <v>1</v>
      </c>
      <c r="T266">
        <v>2</v>
      </c>
      <c r="U266">
        <v>3</v>
      </c>
      <c r="V266">
        <v>2</v>
      </c>
      <c r="W266">
        <v>0</v>
      </c>
      <c r="X266">
        <v>2</v>
      </c>
      <c r="Y266">
        <v>57</v>
      </c>
      <c r="Z266" t="s">
        <v>566</v>
      </c>
      <c r="AA266">
        <v>6</v>
      </c>
      <c r="AB266">
        <v>2</v>
      </c>
      <c r="AC266">
        <v>4</v>
      </c>
      <c r="AD266">
        <v>0</v>
      </c>
      <c r="AE266">
        <v>5</v>
      </c>
      <c r="AF266">
        <v>0</v>
      </c>
      <c r="AG266">
        <v>3</v>
      </c>
      <c r="AH266">
        <v>1</v>
      </c>
      <c r="AI266">
        <v>3</v>
      </c>
      <c r="AJ266">
        <v>2</v>
      </c>
      <c r="AK266">
        <v>17</v>
      </c>
      <c r="AL266">
        <v>9</v>
      </c>
      <c r="AM266">
        <v>5</v>
      </c>
      <c r="AN266">
        <v>6</v>
      </c>
      <c r="AO266">
        <v>12</v>
      </c>
      <c r="AP266">
        <v>3</v>
      </c>
      <c r="AQ266">
        <v>21</v>
      </c>
      <c r="AR266">
        <v>14</v>
      </c>
      <c r="AS266">
        <v>57</v>
      </c>
      <c r="AT266">
        <v>43</v>
      </c>
      <c r="AU266">
        <v>1.63</v>
      </c>
      <c r="AV266">
        <v>1.1200000000000001</v>
      </c>
      <c r="AW266">
        <v>2.2400000000000002</v>
      </c>
      <c r="AX266">
        <v>47</v>
      </c>
      <c r="AY266">
        <v>64</v>
      </c>
      <c r="AZ266">
        <v>50</v>
      </c>
      <c r="BA266">
        <v>18</v>
      </c>
      <c r="BB266">
        <v>0</v>
      </c>
      <c r="BC266">
        <v>29</v>
      </c>
      <c r="BD266">
        <v>70</v>
      </c>
      <c r="BE266">
        <v>33</v>
      </c>
      <c r="BF266">
        <v>70</v>
      </c>
      <c r="BG266">
        <v>6.34</v>
      </c>
      <c r="BH266">
        <v>5.48</v>
      </c>
      <c r="BI266">
        <v>3.2</v>
      </c>
      <c r="BJ266">
        <v>3.2</v>
      </c>
      <c r="BK266">
        <v>2.25</v>
      </c>
      <c r="BL266">
        <f>(1/Table1[[#This Row],[odds_ft_home_team_win]]+1/Table1[[#This Row],[odds_ft_draw]]+1/Table1[[#This Row],[odds_ft_away_team_win]]-1)/3</f>
        <v>2.314814814814814E-2</v>
      </c>
      <c r="BM266">
        <v>0</v>
      </c>
      <c r="BN266">
        <v>1.98</v>
      </c>
      <c r="BO266">
        <v>0</v>
      </c>
      <c r="BP266">
        <v>0</v>
      </c>
      <c r="BQ266">
        <v>0</v>
      </c>
      <c r="BR266">
        <v>0</v>
      </c>
      <c r="BS266" t="s">
        <v>120</v>
      </c>
      <c r="BT266">
        <f>VLOOKUP(Table1[[#This Row],[Reference]],metron,8,FALSE)</f>
        <v>1.1529533168233341</v>
      </c>
      <c r="BU266">
        <f>VLOOKUP(Table1[[#This Row],[Reference]],metron,9,FALSE)</f>
        <v>1.5628535554286829</v>
      </c>
      <c r="BV266">
        <f>VLOOKUP(Table1[[#This Row],[Reference]],metron,10,FALSE)</f>
        <v>2.5445607358071678</v>
      </c>
      <c r="BW266">
        <f>VLOOKUP(Table1[[#This Row],[Reference]],metron,11,FALSE)</f>
        <v>1.128766254360926</v>
      </c>
      <c r="BX266">
        <f>VLOOKUP(Table1[[#This Row],[Reference]],metron,12,FALSE)</f>
        <v>1.415794481446242</v>
      </c>
      <c r="BY266" s="6">
        <f>VLOOKUP(Table1[[#This Row],[Reference]],metron,13,FALSE)</f>
        <v>0.49635267998731369</v>
      </c>
      <c r="BZ266" s="6">
        <f>VLOOKUP(Table1[[#This Row],[Reference]],metron,14,FALSE)</f>
        <v>0.61084681255946716</v>
      </c>
      <c r="CA266" s="6">
        <f>VLOOKUP(Table1[[#This Row],[Reference]],metron,15,FALSE)</f>
        <v>11.04442036836403</v>
      </c>
      <c r="CB266" s="6">
        <f>VLOOKUP(Table1[[#This Row],[Reference]],metron,16,FALSE)</f>
        <v>11.38840736728061</v>
      </c>
      <c r="CC266" s="6">
        <f>VLOOKUP(Table1[[#This Row],[Reference]],metron,17,FALSE)</f>
        <v>4.5379574003276897</v>
      </c>
      <c r="CD266" s="6">
        <f>VLOOKUP(Table1[[#This Row],[Reference]],metron,18,FALSE)</f>
        <v>4.8481703986892413</v>
      </c>
      <c r="CE266" s="6">
        <f>VLOOKUP(Table1[[#This Row],[Reference]],metron,19,FALSE)</f>
        <v>6.5064629680363399</v>
      </c>
      <c r="CF266" s="6">
        <f>VLOOKUP(Table1[[#This Row],[Reference]],metron,20,FALSE)</f>
        <v>6.540236968591369</v>
      </c>
      <c r="CG266" s="6">
        <f>VLOOKUP(Table1[[#This Row],[Reference]],metron,21,FALSE)</f>
        <v>13.117582417582421</v>
      </c>
      <c r="CH266" s="6">
        <f>VLOOKUP(Table1[[#This Row],[Reference]],metron,22,FALSE)</f>
        <v>13.28241758241758</v>
      </c>
      <c r="CI266" s="6">
        <f>VLOOKUP(Table1[[#This Row],[Reference]],metron,23,FALSE)</f>
        <v>1.792592592592593</v>
      </c>
      <c r="CJ266" s="6">
        <f>VLOOKUP(Table1[[#This Row],[Reference]],metron,24,FALSE)</f>
        <v>1.806980433632998</v>
      </c>
      <c r="CK266" s="6">
        <f>VLOOKUP(Table1[[#This Row],[Reference]],metron,25,FALSE)</f>
        <v>0.1047065044949762</v>
      </c>
      <c r="CL266" s="6">
        <f>VLOOKUP(Table1[[#This Row],[Reference]],metron,26,FALSE)</f>
        <v>0.1073506081438392</v>
      </c>
    </row>
    <row r="267" spans="1:90" hidden="1" x14ac:dyDescent="0.45">
      <c r="A267" t="s">
        <v>695</v>
      </c>
      <c r="B267">
        <v>1647831960</v>
      </c>
      <c r="C267" s="23" t="s">
        <v>567</v>
      </c>
      <c r="D267" t="s">
        <v>65</v>
      </c>
      <c r="E267" t="s">
        <v>66</v>
      </c>
      <c r="F267" t="s">
        <v>106</v>
      </c>
      <c r="G267" t="s">
        <v>78</v>
      </c>
      <c r="H267" t="s">
        <v>98</v>
      </c>
      <c r="I267">
        <f>MROUND(Table1[[#This Row],[ProbH]]*100,2)/100</f>
        <v>0.57999999999999996</v>
      </c>
      <c r="J267">
        <f>1/Table1[[#This Row],[odds_ft_home_team_win]]-Table1[[#This Row],[Margin]]</f>
        <v>0.57942166765696179</v>
      </c>
      <c r="K267">
        <f>1/Table1[[#This Row],[odds_ft_draw]]-Table1[[#This Row],[Margin]]</f>
        <v>0.2511388393741335</v>
      </c>
      <c r="L267">
        <f>1/Table1[[#This Row],[odds_ft_away_team_win]]-Table1[[#This Row],[Margin]]</f>
        <v>0.16943949296890476</v>
      </c>
      <c r="M267">
        <v>11</v>
      </c>
      <c r="N267">
        <v>1.38</v>
      </c>
      <c r="O267">
        <v>0.69</v>
      </c>
      <c r="P267">
        <v>1.35</v>
      </c>
      <c r="Q267">
        <v>0.71</v>
      </c>
      <c r="R267" t="str" cm="1">
        <f t="array" ref="R2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86</v>
      </c>
      <c r="AA267">
        <v>7</v>
      </c>
      <c r="AB267">
        <v>5</v>
      </c>
      <c r="AC267">
        <v>4</v>
      </c>
      <c r="AD267">
        <v>1</v>
      </c>
      <c r="AE267">
        <v>3</v>
      </c>
      <c r="AF267">
        <v>0</v>
      </c>
      <c r="AG267">
        <v>2</v>
      </c>
      <c r="AH267">
        <v>3</v>
      </c>
      <c r="AI267">
        <v>0</v>
      </c>
      <c r="AJ267">
        <v>3</v>
      </c>
      <c r="AK267">
        <v>8</v>
      </c>
      <c r="AL267">
        <v>14</v>
      </c>
      <c r="AM267">
        <v>2</v>
      </c>
      <c r="AN267">
        <v>5</v>
      </c>
      <c r="AO267">
        <v>6</v>
      </c>
      <c r="AP267">
        <v>9</v>
      </c>
      <c r="AQ267">
        <v>13</v>
      </c>
      <c r="AR267">
        <v>7</v>
      </c>
      <c r="AS267">
        <v>41</v>
      </c>
      <c r="AT267">
        <v>59</v>
      </c>
      <c r="AU267">
        <v>0.88</v>
      </c>
      <c r="AV267">
        <v>1.47</v>
      </c>
      <c r="AW267">
        <v>2.08</v>
      </c>
      <c r="AX267">
        <v>43</v>
      </c>
      <c r="AY267">
        <v>66</v>
      </c>
      <c r="AZ267">
        <v>31</v>
      </c>
      <c r="BA267">
        <v>15</v>
      </c>
      <c r="BB267">
        <v>4</v>
      </c>
      <c r="BC267">
        <v>19</v>
      </c>
      <c r="BD267">
        <v>54</v>
      </c>
      <c r="BE267">
        <v>43</v>
      </c>
      <c r="BF267">
        <v>81</v>
      </c>
      <c r="BG267">
        <v>7.77</v>
      </c>
      <c r="BH267">
        <v>4.3</v>
      </c>
      <c r="BI267">
        <v>1.65</v>
      </c>
      <c r="BJ267">
        <v>3.6</v>
      </c>
      <c r="BK267">
        <v>5.0999999999999996</v>
      </c>
      <c r="BL267">
        <f>(1/Table1[[#This Row],[odds_ft_home_team_win]]+1/Table1[[#This Row],[odds_ft_draw]]+1/Table1[[#This Row],[odds_ft_away_team_win]]-1)/3</f>
        <v>2.6638938403644286E-2</v>
      </c>
      <c r="BM267">
        <v>1.35</v>
      </c>
      <c r="BN267">
        <v>1.98</v>
      </c>
      <c r="BO267">
        <v>3.62</v>
      </c>
      <c r="BP267">
        <v>6.9</v>
      </c>
      <c r="BQ267">
        <v>1.86</v>
      </c>
      <c r="BR267">
        <v>1.87</v>
      </c>
      <c r="BS267" t="s">
        <v>110</v>
      </c>
      <c r="BT267">
        <f>VLOOKUP(Table1[[#This Row],[Reference]],metron,8,FALSE)</f>
        <v>2.0230889143600308</v>
      </c>
      <c r="BU267">
        <f>VLOOKUP(Table1[[#This Row],[Reference]],metron,9,FALSE)</f>
        <v>0.72731480520165426</v>
      </c>
      <c r="BV267">
        <f>VLOOKUP(Table1[[#This Row],[Reference]],metron,10,FALSE)</f>
        <v>2.6362999299229148</v>
      </c>
      <c r="BW267">
        <f>VLOOKUP(Table1[[#This Row],[Reference]],metron,11,FALSE)</f>
        <v>1.7619715019855171</v>
      </c>
      <c r="BX267">
        <f>VLOOKUP(Table1[[#This Row],[Reference]],metron,12,FALSE)</f>
        <v>0.87432842793739785</v>
      </c>
      <c r="BY267" s="6">
        <f>VLOOKUP(Table1[[#This Row],[Reference]],metron,13,FALSE)</f>
        <v>0.78411214953271025</v>
      </c>
      <c r="BZ267" s="6">
        <f>VLOOKUP(Table1[[#This Row],[Reference]],metron,14,FALSE)</f>
        <v>0.38060747663551397</v>
      </c>
      <c r="CA267" s="6">
        <f>VLOOKUP(Table1[[#This Row],[Reference]],metron,15,FALSE)</f>
        <v>14.215499378367181</v>
      </c>
      <c r="CB267" s="6">
        <f>VLOOKUP(Table1[[#This Row],[Reference]],metron,16,FALSE)</f>
        <v>8.9523612261806136</v>
      </c>
      <c r="CC267" s="6">
        <f>VLOOKUP(Table1[[#This Row],[Reference]],metron,17,FALSE)</f>
        <v>6.3083121289228163</v>
      </c>
      <c r="CD267" s="6">
        <f>VLOOKUP(Table1[[#This Row],[Reference]],metron,18,FALSE)</f>
        <v>3.7757524374735061</v>
      </c>
      <c r="CE267" s="6">
        <f>VLOOKUP(Table1[[#This Row],[Reference]],metron,19,FALSE)</f>
        <v>7.9071872494443642</v>
      </c>
      <c r="CF267" s="6">
        <f>VLOOKUP(Table1[[#This Row],[Reference]],metron,20,FALSE)</f>
        <v>5.1766087887071075</v>
      </c>
      <c r="CG267" s="6">
        <f>VLOOKUP(Table1[[#This Row],[Reference]],metron,21,FALSE)</f>
        <v>12.634239592183521</v>
      </c>
      <c r="CH267" s="6">
        <f>VLOOKUP(Table1[[#This Row],[Reference]],metron,22,FALSE)</f>
        <v>13.597706032285471</v>
      </c>
      <c r="CI267" s="6">
        <f>VLOOKUP(Table1[[#This Row],[Reference]],metron,23,FALSE)</f>
        <v>1.365400161681487</v>
      </c>
      <c r="CJ267" s="6">
        <f>VLOOKUP(Table1[[#This Row],[Reference]],metron,24,FALSE)</f>
        <v>1.963621665319321</v>
      </c>
      <c r="CK267" s="6">
        <f>VLOOKUP(Table1[[#This Row],[Reference]],metron,25,FALSE)</f>
        <v>7.1544058205335492E-2</v>
      </c>
      <c r="CL267" s="6">
        <f>VLOOKUP(Table1[[#This Row],[Reference]],metron,26,FALSE)</f>
        <v>0.1216653193209378</v>
      </c>
    </row>
    <row r="268" spans="1:90" hidden="1" x14ac:dyDescent="0.45">
      <c r="A268" t="s">
        <v>695</v>
      </c>
      <c r="B268">
        <v>1648335600</v>
      </c>
      <c r="C268" s="23" t="s">
        <v>568</v>
      </c>
      <c r="D268" t="s">
        <v>65</v>
      </c>
      <c r="E268" t="s">
        <v>66</v>
      </c>
      <c r="F268" t="s">
        <v>96</v>
      </c>
      <c r="G268" t="s">
        <v>113</v>
      </c>
      <c r="H268" t="s">
        <v>98</v>
      </c>
      <c r="I268">
        <f>MROUND(Table1[[#This Row],[ProbH]]*100,2)/100</f>
        <v>0.57999999999999996</v>
      </c>
      <c r="J268">
        <f>1/Table1[[#This Row],[odds_ft_home_team_win]]-Table1[[#This Row],[Margin]]</f>
        <v>0.58438228438228434</v>
      </c>
      <c r="K268">
        <f>1/Table1[[#This Row],[odds_ft_draw]]-Table1[[#This Row],[Margin]]</f>
        <v>0.24498834498834496</v>
      </c>
      <c r="L268">
        <f>1/Table1[[#This Row],[odds_ft_away_team_win]]-Table1[[#This Row],[Margin]]</f>
        <v>0.17062937062937059</v>
      </c>
      <c r="M268">
        <v>9</v>
      </c>
      <c r="N268">
        <v>1.44</v>
      </c>
      <c r="O268">
        <v>0.38</v>
      </c>
      <c r="P268">
        <v>1.58</v>
      </c>
      <c r="Q268">
        <v>0.72</v>
      </c>
      <c r="R268" t="str" cm="1">
        <f t="array" ref="R2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0</v>
      </c>
      <c r="Y268">
        <v>73</v>
      </c>
      <c r="Z268">
        <v>80</v>
      </c>
      <c r="AA268">
        <v>5</v>
      </c>
      <c r="AB268">
        <v>2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14</v>
      </c>
      <c r="AL268">
        <v>5</v>
      </c>
      <c r="AM268">
        <v>5</v>
      </c>
      <c r="AN268">
        <v>4</v>
      </c>
      <c r="AO268">
        <v>9</v>
      </c>
      <c r="AP268">
        <v>1</v>
      </c>
      <c r="AQ268">
        <v>12</v>
      </c>
      <c r="AR268">
        <v>10</v>
      </c>
      <c r="AS268">
        <v>57</v>
      </c>
      <c r="AT268">
        <v>43</v>
      </c>
      <c r="AU268">
        <v>1.66</v>
      </c>
      <c r="AV268">
        <v>0.83</v>
      </c>
      <c r="AW268">
        <v>2.54</v>
      </c>
      <c r="AX268">
        <v>38</v>
      </c>
      <c r="AY268">
        <v>71</v>
      </c>
      <c r="AZ268">
        <v>52</v>
      </c>
      <c r="BA268">
        <v>27</v>
      </c>
      <c r="BB268">
        <v>11</v>
      </c>
      <c r="BC268">
        <v>32</v>
      </c>
      <c r="BD268">
        <v>67</v>
      </c>
      <c r="BE268">
        <v>41</v>
      </c>
      <c r="BF268">
        <v>63</v>
      </c>
      <c r="BG268">
        <v>7.56</v>
      </c>
      <c r="BH268">
        <v>5.21</v>
      </c>
      <c r="BI268">
        <v>1.65</v>
      </c>
      <c r="BJ268">
        <v>3.75</v>
      </c>
      <c r="BK268">
        <v>5.2</v>
      </c>
      <c r="BL268">
        <f>(1/Table1[[#This Row],[odds_ft_home_team_win]]+1/Table1[[#This Row],[odds_ft_draw]]+1/Table1[[#This Row],[odds_ft_away_team_win]]-1)/3</f>
        <v>2.1678321678321694E-2</v>
      </c>
      <c r="BM268">
        <v>0</v>
      </c>
      <c r="BN268">
        <v>1.98</v>
      </c>
      <c r="BO268">
        <v>0</v>
      </c>
      <c r="BP268">
        <v>0</v>
      </c>
      <c r="BQ268">
        <v>0</v>
      </c>
      <c r="BR268">
        <v>0</v>
      </c>
      <c r="BS268" t="s">
        <v>99</v>
      </c>
      <c r="BT268">
        <f>VLOOKUP(Table1[[#This Row],[Reference]],metron,8,FALSE)</f>
        <v>2.0230889143600308</v>
      </c>
      <c r="BU268">
        <f>VLOOKUP(Table1[[#This Row],[Reference]],metron,9,FALSE)</f>
        <v>0.72731480520165426</v>
      </c>
      <c r="BV268">
        <f>VLOOKUP(Table1[[#This Row],[Reference]],metron,10,FALSE)</f>
        <v>2.6362999299229148</v>
      </c>
      <c r="BW268">
        <f>VLOOKUP(Table1[[#This Row],[Reference]],metron,11,FALSE)</f>
        <v>1.7619715019855171</v>
      </c>
      <c r="BX268">
        <f>VLOOKUP(Table1[[#This Row],[Reference]],metron,12,FALSE)</f>
        <v>0.87432842793739785</v>
      </c>
      <c r="BY268" s="6">
        <f>VLOOKUP(Table1[[#This Row],[Reference]],metron,13,FALSE)</f>
        <v>0.78411214953271025</v>
      </c>
      <c r="BZ268" s="6">
        <f>VLOOKUP(Table1[[#This Row],[Reference]],metron,14,FALSE)</f>
        <v>0.38060747663551397</v>
      </c>
      <c r="CA268" s="6">
        <f>VLOOKUP(Table1[[#This Row],[Reference]],metron,15,FALSE)</f>
        <v>14.215499378367181</v>
      </c>
      <c r="CB268" s="6">
        <f>VLOOKUP(Table1[[#This Row],[Reference]],metron,16,FALSE)</f>
        <v>8.9523612261806136</v>
      </c>
      <c r="CC268" s="6">
        <f>VLOOKUP(Table1[[#This Row],[Reference]],metron,17,FALSE)</f>
        <v>6.3083121289228163</v>
      </c>
      <c r="CD268" s="6">
        <f>VLOOKUP(Table1[[#This Row],[Reference]],metron,18,FALSE)</f>
        <v>3.7757524374735061</v>
      </c>
      <c r="CE268" s="6">
        <f>VLOOKUP(Table1[[#This Row],[Reference]],metron,19,FALSE)</f>
        <v>7.9071872494443642</v>
      </c>
      <c r="CF268" s="6">
        <f>VLOOKUP(Table1[[#This Row],[Reference]],metron,20,FALSE)</f>
        <v>5.1766087887071075</v>
      </c>
      <c r="CG268" s="6">
        <f>VLOOKUP(Table1[[#This Row],[Reference]],metron,21,FALSE)</f>
        <v>12.634239592183521</v>
      </c>
      <c r="CH268" s="6">
        <f>VLOOKUP(Table1[[#This Row],[Reference]],metron,22,FALSE)</f>
        <v>13.597706032285471</v>
      </c>
      <c r="CI268" s="6">
        <f>VLOOKUP(Table1[[#This Row],[Reference]],metron,23,FALSE)</f>
        <v>1.365400161681487</v>
      </c>
      <c r="CJ268" s="6">
        <f>VLOOKUP(Table1[[#This Row],[Reference]],metron,24,FALSE)</f>
        <v>1.963621665319321</v>
      </c>
      <c r="CK268" s="6">
        <f>VLOOKUP(Table1[[#This Row],[Reference]],metron,25,FALSE)</f>
        <v>7.1544058205335492E-2</v>
      </c>
      <c r="CL268" s="6">
        <f>VLOOKUP(Table1[[#This Row],[Reference]],metron,26,FALSE)</f>
        <v>0.1216653193209378</v>
      </c>
    </row>
    <row r="269" spans="1:90" hidden="1" x14ac:dyDescent="0.45">
      <c r="A269" t="s">
        <v>695</v>
      </c>
      <c r="B269">
        <v>1648864800</v>
      </c>
      <c r="C269" s="23" t="s">
        <v>569</v>
      </c>
      <c r="D269" t="s">
        <v>65</v>
      </c>
      <c r="E269" t="s">
        <v>66</v>
      </c>
      <c r="F269" t="s">
        <v>91</v>
      </c>
      <c r="G269" t="s">
        <v>113</v>
      </c>
      <c r="H269" t="s">
        <v>158</v>
      </c>
      <c r="I269">
        <f>MROUND(Table1[[#This Row],[ProbH]]*100,2)/100</f>
        <v>0.5</v>
      </c>
      <c r="J269">
        <f>1/Table1[[#This Row],[odds_ft_home_team_win]]-Table1[[#This Row],[Margin]]</f>
        <v>0.49986709197235507</v>
      </c>
      <c r="K269">
        <f>1/Table1[[#This Row],[odds_ft_draw]]-Table1[[#This Row],[Margin]]</f>
        <v>0.27658160552897393</v>
      </c>
      <c r="L269">
        <f>1/Table1[[#This Row],[odds_ft_away_team_win]]-Table1[[#This Row],[Margin]]</f>
        <v>0.22355130249867092</v>
      </c>
      <c r="M269">
        <v>12</v>
      </c>
      <c r="N269">
        <v>0.77</v>
      </c>
      <c r="O269">
        <v>0.43</v>
      </c>
      <c r="P269">
        <v>1.1100000000000001</v>
      </c>
      <c r="Q269">
        <v>0.72</v>
      </c>
      <c r="R269" s="9" t="str" cm="1">
        <f t="array" ref="R2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70</v>
      </c>
      <c r="AA269">
        <v>7</v>
      </c>
      <c r="AB269">
        <v>4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17</v>
      </c>
      <c r="AL269">
        <v>7</v>
      </c>
      <c r="AM269">
        <v>8</v>
      </c>
      <c r="AN269">
        <v>4</v>
      </c>
      <c r="AO269">
        <v>9</v>
      </c>
      <c r="AP269">
        <v>3</v>
      </c>
      <c r="AQ269">
        <v>13</v>
      </c>
      <c r="AR269">
        <v>11</v>
      </c>
      <c r="AS269">
        <v>50</v>
      </c>
      <c r="AT269">
        <v>50</v>
      </c>
      <c r="AU269">
        <v>2.17</v>
      </c>
      <c r="AV269">
        <v>1.1499999999999999</v>
      </c>
      <c r="AW269">
        <v>2.67</v>
      </c>
      <c r="AX269">
        <v>45</v>
      </c>
      <c r="AY269">
        <v>78</v>
      </c>
      <c r="AZ269">
        <v>44</v>
      </c>
      <c r="BA269">
        <v>22</v>
      </c>
      <c r="BB269">
        <v>11</v>
      </c>
      <c r="BC269">
        <v>30</v>
      </c>
      <c r="BD269">
        <v>70</v>
      </c>
      <c r="BE269">
        <v>41</v>
      </c>
      <c r="BF269">
        <v>78</v>
      </c>
      <c r="BG269">
        <v>6.91</v>
      </c>
      <c r="BH269">
        <v>5.54</v>
      </c>
      <c r="BI269">
        <v>1.9</v>
      </c>
      <c r="BJ269">
        <v>3.3</v>
      </c>
      <c r="BK269">
        <v>4</v>
      </c>
      <c r="BL269">
        <f>(1/Table1[[#This Row],[odds_ft_home_team_win]]+1/Table1[[#This Row],[odds_ft_draw]]+1/Table1[[#This Row],[odds_ft_away_team_win]]-1)/3</f>
        <v>2.6448697501329093E-2</v>
      </c>
      <c r="BM269">
        <v>0</v>
      </c>
      <c r="BN269">
        <v>2.2999999999999998</v>
      </c>
      <c r="BO269">
        <v>0</v>
      </c>
      <c r="BP269">
        <v>0</v>
      </c>
      <c r="BQ269">
        <v>0</v>
      </c>
      <c r="BR269">
        <v>0</v>
      </c>
      <c r="BS269" t="s">
        <v>144</v>
      </c>
      <c r="BT269">
        <f>VLOOKUP(Table1[[#This Row],[Reference]],metron,8,FALSE)</f>
        <v>1.8001937313313046</v>
      </c>
      <c r="BU269">
        <f>VLOOKUP(Table1[[#This Row],[Reference]],metron,9,FALSE)</f>
        <v>0.9268512077832276</v>
      </c>
      <c r="BV269">
        <f>VLOOKUP(Table1[[#This Row],[Reference]],metron,10,FALSE)</f>
        <v>2.5202079886551649</v>
      </c>
      <c r="BW269">
        <f>VLOOKUP(Table1[[#This Row],[Reference]],metron,11,FALSE)</f>
        <v>1.5342708579532029</v>
      </c>
      <c r="BX269">
        <f>VLOOKUP(Table1[[#This Row],[Reference]],metron,12,FALSE)</f>
        <v>0.98593713070196176</v>
      </c>
      <c r="BY269" s="6">
        <f>VLOOKUP(Table1[[#This Row],[Reference]],metron,13,FALSE)</f>
        <v>0.67513590167809023</v>
      </c>
      <c r="BZ269" s="6">
        <f>VLOOKUP(Table1[[#This Row],[Reference]],metron,14,FALSE)</f>
        <v>0.4286727337194185</v>
      </c>
      <c r="CA269" s="6">
        <f>VLOOKUP(Table1[[#This Row],[Reference]],metron,15,FALSE)</f>
        <v>12.98669114272602</v>
      </c>
      <c r="CB269" s="6">
        <f>VLOOKUP(Table1[[#This Row],[Reference]],metron,16,FALSE)</f>
        <v>9.4167049105094076</v>
      </c>
      <c r="CC269" s="6">
        <f>VLOOKUP(Table1[[#This Row],[Reference]],metron,17,FALSE)</f>
        <v>5.6645716945996272</v>
      </c>
      <c r="CD269" s="6">
        <f>VLOOKUP(Table1[[#This Row],[Reference]],metron,18,FALSE)</f>
        <v>4.0242085661080074</v>
      </c>
      <c r="CE269" s="6">
        <f>VLOOKUP(Table1[[#This Row],[Reference]],metron,19,FALSE)</f>
        <v>7.3221194481263927</v>
      </c>
      <c r="CF269" s="6">
        <f>VLOOKUP(Table1[[#This Row],[Reference]],metron,20,FALSE)</f>
        <v>5.3924963444014002</v>
      </c>
      <c r="CG269" s="6">
        <f>VLOOKUP(Table1[[#This Row],[Reference]],metron,21,FALSE)</f>
        <v>12.508162313432839</v>
      </c>
      <c r="CH269" s="6">
        <f>VLOOKUP(Table1[[#This Row],[Reference]],metron,22,FALSE)</f>
        <v>13.36963619402985</v>
      </c>
      <c r="CI269" s="6">
        <f>VLOOKUP(Table1[[#This Row],[Reference]],metron,23,FALSE)</f>
        <v>1.4438014689517029</v>
      </c>
      <c r="CJ269" s="6">
        <f>VLOOKUP(Table1[[#This Row],[Reference]],metron,24,FALSE)</f>
        <v>1.9410193634542621</v>
      </c>
      <c r="CK269" s="6">
        <f>VLOOKUP(Table1[[#This Row],[Reference]],metron,25,FALSE)</f>
        <v>8.4130870242599604E-2</v>
      </c>
      <c r="CL269" s="6">
        <f>VLOOKUP(Table1[[#This Row],[Reference]],metron,26,FALSE)</f>
        <v>0.1275317160026708</v>
      </c>
    </row>
    <row r="270" spans="1:90" hidden="1" x14ac:dyDescent="0.45">
      <c r="A270" t="s">
        <v>695</v>
      </c>
      <c r="B270">
        <v>1648940400</v>
      </c>
      <c r="C270" s="23" t="s">
        <v>570</v>
      </c>
      <c r="D270" t="s">
        <v>65</v>
      </c>
      <c r="E270" t="s">
        <v>66</v>
      </c>
      <c r="F270" t="s">
        <v>112</v>
      </c>
      <c r="G270" t="s">
        <v>97</v>
      </c>
      <c r="H270" t="s">
        <v>98</v>
      </c>
      <c r="I270">
        <f>MROUND(Table1[[#This Row],[ProbH]]*100,2)/100</f>
        <v>0.4</v>
      </c>
      <c r="J270">
        <f>1/Table1[[#This Row],[odds_ft_home_team_win]]-Table1[[#This Row],[Margin]]</f>
        <v>0.4039958561426461</v>
      </c>
      <c r="K270">
        <f>1/Table1[[#This Row],[odds_ft_draw]]-Table1[[#This Row],[Margin]]</f>
        <v>0.312775157336808</v>
      </c>
      <c r="L270">
        <f>1/Table1[[#This Row],[odds_ft_away_team_win]]-Table1[[#This Row],[Margin]]</f>
        <v>0.28322898652054579</v>
      </c>
      <c r="M270">
        <v>12</v>
      </c>
      <c r="N270">
        <v>1.4</v>
      </c>
      <c r="O270">
        <v>1.76</v>
      </c>
      <c r="P270">
        <v>1.25</v>
      </c>
      <c r="Q270">
        <v>1.68</v>
      </c>
      <c r="R270" t="str" cm="1">
        <f t="array" ref="R2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37</v>
      </c>
      <c r="AA270">
        <v>5</v>
      </c>
      <c r="AB270">
        <v>9</v>
      </c>
      <c r="AC270">
        <v>2</v>
      </c>
      <c r="AD270">
        <v>0</v>
      </c>
      <c r="AE270">
        <v>3</v>
      </c>
      <c r="AF270">
        <v>0</v>
      </c>
      <c r="AG270">
        <v>0</v>
      </c>
      <c r="AH270">
        <v>2</v>
      </c>
      <c r="AI270">
        <v>2</v>
      </c>
      <c r="AJ270">
        <v>1</v>
      </c>
      <c r="AK270">
        <v>7</v>
      </c>
      <c r="AL270">
        <v>15</v>
      </c>
      <c r="AM270">
        <v>3</v>
      </c>
      <c r="AN270">
        <v>5</v>
      </c>
      <c r="AO270">
        <v>4</v>
      </c>
      <c r="AP270">
        <v>10</v>
      </c>
      <c r="AQ270">
        <v>21</v>
      </c>
      <c r="AR270">
        <v>12</v>
      </c>
      <c r="AS270">
        <v>35</v>
      </c>
      <c r="AT270">
        <v>65</v>
      </c>
      <c r="AU270">
        <v>0.86</v>
      </c>
      <c r="AV270">
        <v>1.74</v>
      </c>
      <c r="AW270">
        <v>2.36</v>
      </c>
      <c r="AX270">
        <v>51</v>
      </c>
      <c r="AY270">
        <v>73</v>
      </c>
      <c r="AZ270">
        <v>36</v>
      </c>
      <c r="BA270">
        <v>16</v>
      </c>
      <c r="BB270">
        <v>10</v>
      </c>
      <c r="BC270">
        <v>29</v>
      </c>
      <c r="BD270">
        <v>85</v>
      </c>
      <c r="BE270">
        <v>31</v>
      </c>
      <c r="BF270">
        <v>67</v>
      </c>
      <c r="BG270">
        <v>10.210000000000001</v>
      </c>
      <c r="BH270">
        <v>4.1900000000000004</v>
      </c>
      <c r="BI270">
        <v>2.38</v>
      </c>
      <c r="BJ270">
        <v>3.04</v>
      </c>
      <c r="BK270">
        <v>3.34</v>
      </c>
      <c r="BL270">
        <f>(1/Table1[[#This Row],[odds_ft_home_team_win]]+1/Table1[[#This Row],[odds_ft_draw]]+1/Table1[[#This Row],[odds_ft_away_team_win]]-1)/3</f>
        <v>1.6172211084244676E-2</v>
      </c>
      <c r="BM270">
        <v>1.5</v>
      </c>
      <c r="BN270">
        <v>2.41</v>
      </c>
      <c r="BO270">
        <v>5</v>
      </c>
      <c r="BP270">
        <v>9</v>
      </c>
      <c r="BQ270">
        <v>2.1</v>
      </c>
      <c r="BR270">
        <v>1.67</v>
      </c>
      <c r="BS270" t="s">
        <v>116</v>
      </c>
      <c r="BT270">
        <f>VLOOKUP(Table1[[#This Row],[Reference]],metron,8,FALSE)</f>
        <v>1.5181603563290151</v>
      </c>
      <c r="BU270">
        <f>VLOOKUP(Table1[[#This Row],[Reference]],metron,9,FALSE)</f>
        <v>1.1952730370775513</v>
      </c>
      <c r="BV270">
        <f>VLOOKUP(Table1[[#This Row],[Reference]],metron,10,FALSE)</f>
        <v>2.4956155335383219</v>
      </c>
      <c r="BW270">
        <f>VLOOKUP(Table1[[#This Row],[Reference]],metron,11,FALSE)</f>
        <v>1.344038264434575</v>
      </c>
      <c r="BX270">
        <f>VLOOKUP(Table1[[#This Row],[Reference]],metron,12,FALSE)</f>
        <v>1.1515772691037469</v>
      </c>
      <c r="BY270" s="6">
        <f>VLOOKUP(Table1[[#This Row],[Reference]],metron,13,FALSE)</f>
        <v>0.59936225942375587</v>
      </c>
      <c r="BZ270" s="6">
        <f>VLOOKUP(Table1[[#This Row],[Reference]],metron,14,FALSE)</f>
        <v>0.50723152260562576</v>
      </c>
      <c r="CA270" s="6">
        <f>VLOOKUP(Table1[[#This Row],[Reference]],metron,15,FALSE)</f>
        <v>11.99278846153846</v>
      </c>
      <c r="CB270" s="6">
        <f>VLOOKUP(Table1[[#This Row],[Reference]],metron,16,FALSE)</f>
        <v>10.0277534965035</v>
      </c>
      <c r="CC270" s="6">
        <f>VLOOKUP(Table1[[#This Row],[Reference]],metron,17,FALSE)</f>
        <v>5.2857459543338514</v>
      </c>
      <c r="CD270" s="6">
        <f>VLOOKUP(Table1[[#This Row],[Reference]],metron,18,FALSE)</f>
        <v>4.4067834183107957</v>
      </c>
      <c r="CE270" s="6">
        <f>VLOOKUP(Table1[[#This Row],[Reference]],metron,19,FALSE)</f>
        <v>6.7070425072046085</v>
      </c>
      <c r="CF270" s="6">
        <f>VLOOKUP(Table1[[#This Row],[Reference]],metron,20,FALSE)</f>
        <v>5.6209700781927046</v>
      </c>
      <c r="CG270" s="6">
        <f>VLOOKUP(Table1[[#This Row],[Reference]],metron,21,FALSE)</f>
        <v>13.04463690872752</v>
      </c>
      <c r="CH270" s="6">
        <f>VLOOKUP(Table1[[#This Row],[Reference]],metron,22,FALSE)</f>
        <v>13.49811236953142</v>
      </c>
      <c r="CI270" s="6">
        <f>VLOOKUP(Table1[[#This Row],[Reference]],metron,23,FALSE)</f>
        <v>1.5836526181353769</v>
      </c>
      <c r="CJ270" s="6">
        <f>VLOOKUP(Table1[[#This Row],[Reference]],metron,24,FALSE)</f>
        <v>1.8744146445295871</v>
      </c>
      <c r="CK270" s="6">
        <f>VLOOKUP(Table1[[#This Row],[Reference]],metron,25,FALSE)</f>
        <v>8.5994040017028525E-2</v>
      </c>
      <c r="CL270" s="6">
        <f>VLOOKUP(Table1[[#This Row],[Reference]],metron,26,FALSE)</f>
        <v>0.13452532992762881</v>
      </c>
    </row>
    <row r="271" spans="1:90" hidden="1" x14ac:dyDescent="0.45">
      <c r="A271" t="s">
        <v>695</v>
      </c>
      <c r="B271">
        <v>1648947600</v>
      </c>
      <c r="C271" s="23" t="s">
        <v>571</v>
      </c>
      <c r="D271" t="s">
        <v>65</v>
      </c>
      <c r="E271" t="s">
        <v>66</v>
      </c>
      <c r="F271" t="s">
        <v>72</v>
      </c>
      <c r="G271" t="s">
        <v>68</v>
      </c>
      <c r="H271" t="s">
        <v>66</v>
      </c>
      <c r="I271">
        <f>MROUND(Table1[[#This Row],[ProbH]]*100,2)/100</f>
        <v>0.32</v>
      </c>
      <c r="J271">
        <f>1/Table1[[#This Row],[odds_ft_home_team_win]]-Table1[[#This Row],[Margin]]</f>
        <v>0.32901650765252655</v>
      </c>
      <c r="K271">
        <f>1/Table1[[#This Row],[odds_ft_draw]]-Table1[[#This Row],[Margin]]</f>
        <v>0.30101347399054651</v>
      </c>
      <c r="L271">
        <f>1/Table1[[#This Row],[odds_ft_away_team_win]]-Table1[[#This Row],[Margin]]</f>
        <v>0.36997001835692689</v>
      </c>
      <c r="M271">
        <v>12</v>
      </c>
      <c r="N271">
        <v>1.1499999999999999</v>
      </c>
      <c r="O271">
        <v>1.27</v>
      </c>
      <c r="P271">
        <v>1.24</v>
      </c>
      <c r="Q271">
        <v>1.53</v>
      </c>
      <c r="R271" t="str" cm="1">
        <f t="array" ref="R2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Z271" t="s">
        <v>193</v>
      </c>
      <c r="AA271">
        <v>1</v>
      </c>
      <c r="AB271">
        <v>5</v>
      </c>
      <c r="AC271">
        <v>4</v>
      </c>
      <c r="AD271">
        <v>0</v>
      </c>
      <c r="AE271">
        <v>2</v>
      </c>
      <c r="AF271">
        <v>0</v>
      </c>
      <c r="AG271">
        <v>0</v>
      </c>
      <c r="AH271">
        <v>4</v>
      </c>
      <c r="AI271">
        <v>1</v>
      </c>
      <c r="AJ271">
        <v>1</v>
      </c>
      <c r="AK271">
        <v>7</v>
      </c>
      <c r="AL271">
        <v>15</v>
      </c>
      <c r="AM271">
        <v>3</v>
      </c>
      <c r="AN271">
        <v>4</v>
      </c>
      <c r="AO271">
        <v>4</v>
      </c>
      <c r="AP271">
        <v>11</v>
      </c>
      <c r="AQ271">
        <v>19</v>
      </c>
      <c r="AR271">
        <v>10</v>
      </c>
      <c r="AS271">
        <v>55</v>
      </c>
      <c r="AT271">
        <v>45</v>
      </c>
      <c r="AU271">
        <v>0.9</v>
      </c>
      <c r="AV271">
        <v>1.58</v>
      </c>
      <c r="AW271">
        <v>2.16</v>
      </c>
      <c r="AX271">
        <v>42</v>
      </c>
      <c r="AY271">
        <v>61</v>
      </c>
      <c r="AZ271">
        <v>51</v>
      </c>
      <c r="BA271">
        <v>14</v>
      </c>
      <c r="BB271">
        <v>4</v>
      </c>
      <c r="BC271">
        <v>46</v>
      </c>
      <c r="BD271">
        <v>69</v>
      </c>
      <c r="BE271">
        <v>19</v>
      </c>
      <c r="BF271">
        <v>65</v>
      </c>
      <c r="BG271">
        <v>9.4600000000000009</v>
      </c>
      <c r="BH271">
        <v>3.85</v>
      </c>
      <c r="BI271">
        <v>2.81</v>
      </c>
      <c r="BJ271">
        <v>3.05</v>
      </c>
      <c r="BK271">
        <v>2.52</v>
      </c>
      <c r="BL271">
        <f>(1/Table1[[#This Row],[odds_ft_home_team_win]]+1/Table1[[#This Row],[odds_ft_draw]]+1/Table1[[#This Row],[odds_ft_away_team_win]]-1)/3</f>
        <v>2.6855378468469897E-2</v>
      </c>
      <c r="BM271">
        <v>1.45</v>
      </c>
      <c r="BN271">
        <v>2.36</v>
      </c>
      <c r="BO271">
        <v>4.75</v>
      </c>
      <c r="BP271">
        <v>8</v>
      </c>
      <c r="BQ271">
        <v>2.0499999999999998</v>
      </c>
      <c r="BR271">
        <v>1.7</v>
      </c>
      <c r="BS271" t="s">
        <v>76</v>
      </c>
      <c r="BT271">
        <f>VLOOKUP(Table1[[#This Row],[Reference]],metron,8,FALSE)</f>
        <v>1.274681051426811</v>
      </c>
      <c r="BU271">
        <f>VLOOKUP(Table1[[#This Row],[Reference]],metron,9,FALSE)</f>
        <v>1.4392482240810365</v>
      </c>
      <c r="BV271">
        <f>VLOOKUP(Table1[[#This Row],[Reference]],metron,10,FALSE)</f>
        <v>2.5313454284174597</v>
      </c>
      <c r="BW271">
        <f>VLOOKUP(Table1[[#This Row],[Reference]],metron,11,FALSE)</f>
        <v>1.210167055864918</v>
      </c>
      <c r="BX271">
        <f>VLOOKUP(Table1[[#This Row],[Reference]],metron,12,FALSE)</f>
        <v>1.3211783725525419</v>
      </c>
      <c r="BY271" s="6">
        <f>VLOOKUP(Table1[[#This Row],[Reference]],metron,13,FALSE)</f>
        <v>0.53135669362084459</v>
      </c>
      <c r="BZ271" s="6">
        <f>VLOOKUP(Table1[[#This Row],[Reference]],metron,14,FALSE)</f>
        <v>0.55633423180592989</v>
      </c>
      <c r="CA271" s="6">
        <f>VLOOKUP(Table1[[#This Row],[Reference]],metron,15,FALSE)</f>
        <v>11.21109010712035</v>
      </c>
      <c r="CB271" s="6">
        <f>VLOOKUP(Table1[[#This Row],[Reference]],metron,16,FALSE)</f>
        <v>11.01700787401575</v>
      </c>
      <c r="CC271" s="6">
        <f>VLOOKUP(Table1[[#This Row],[Reference]],metron,17,FALSE)</f>
        <v>4.6792332268370611</v>
      </c>
      <c r="CD271" s="6">
        <f>VLOOKUP(Table1[[#This Row],[Reference]],metron,18,FALSE)</f>
        <v>4.7080804854679013</v>
      </c>
      <c r="CE271" s="6">
        <f>VLOOKUP(Table1[[#This Row],[Reference]],metron,19,FALSE)</f>
        <v>6.5318568802832893</v>
      </c>
      <c r="CF271" s="6">
        <f>VLOOKUP(Table1[[#This Row],[Reference]],metron,20,FALSE)</f>
        <v>6.3089273885478487</v>
      </c>
      <c r="CG271" s="6">
        <f>VLOOKUP(Table1[[#This Row],[Reference]],metron,21,FALSE)</f>
        <v>12.72547770700637</v>
      </c>
      <c r="CH271" s="6">
        <f>VLOOKUP(Table1[[#This Row],[Reference]],metron,22,FALSE)</f>
        <v>13.06847133757962</v>
      </c>
      <c r="CI271" s="6">
        <f>VLOOKUP(Table1[[#This Row],[Reference]],metron,23,FALSE)</f>
        <v>1.6902356902356901</v>
      </c>
      <c r="CJ271" s="6">
        <f>VLOOKUP(Table1[[#This Row],[Reference]],metron,24,FALSE)</f>
        <v>1.8050198959289869</v>
      </c>
      <c r="CK271" s="6">
        <f>VLOOKUP(Table1[[#This Row],[Reference]],metron,25,FALSE)</f>
        <v>0.105907560453015</v>
      </c>
      <c r="CL271" s="6">
        <f>VLOOKUP(Table1[[#This Row],[Reference]],metron,26,FALSE)</f>
        <v>0.1141720232629324</v>
      </c>
    </row>
    <row r="272" spans="1:90" hidden="1" x14ac:dyDescent="0.45">
      <c r="A272" t="s">
        <v>695</v>
      </c>
      <c r="B272">
        <v>1648954800</v>
      </c>
      <c r="C272" s="23" t="s">
        <v>572</v>
      </c>
      <c r="D272" t="s">
        <v>65</v>
      </c>
      <c r="E272" t="s">
        <v>66</v>
      </c>
      <c r="F272" t="s">
        <v>78</v>
      </c>
      <c r="G272" t="s">
        <v>96</v>
      </c>
      <c r="H272" t="s">
        <v>122</v>
      </c>
      <c r="I272">
        <f>MROUND(Table1[[#This Row],[ProbH]]*100,2)/100</f>
        <v>0.34</v>
      </c>
      <c r="J272">
        <f>1/Table1[[#This Row],[odds_ft_home_team_win]]-Table1[[#This Row],[Margin]]</f>
        <v>0.34002556583201743</v>
      </c>
      <c r="K272">
        <f>1/Table1[[#This Row],[odds_ft_draw]]-Table1[[#This Row],[Margin]]</f>
        <v>0.2989698473569441</v>
      </c>
      <c r="L272">
        <f>1/Table1[[#This Row],[odds_ft_away_team_win]]-Table1[[#This Row],[Margin]]</f>
        <v>0.36100458681103836</v>
      </c>
      <c r="M272">
        <v>12</v>
      </c>
      <c r="N272">
        <v>1.07</v>
      </c>
      <c r="O272">
        <v>1.19</v>
      </c>
      <c r="P272">
        <v>0.88</v>
      </c>
      <c r="Q272">
        <v>1.1000000000000001</v>
      </c>
      <c r="R272" t="str" cm="1">
        <f t="array" ref="R2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Z272">
        <v>75</v>
      </c>
      <c r="AA272">
        <v>2</v>
      </c>
      <c r="AB272">
        <v>2</v>
      </c>
      <c r="AC272">
        <v>1</v>
      </c>
      <c r="AD272">
        <v>0</v>
      </c>
      <c r="AE272">
        <v>2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10</v>
      </c>
      <c r="AL272">
        <v>18</v>
      </c>
      <c r="AM272">
        <v>4</v>
      </c>
      <c r="AN272">
        <v>8</v>
      </c>
      <c r="AO272">
        <v>6</v>
      </c>
      <c r="AP272">
        <v>10</v>
      </c>
      <c r="AQ272">
        <v>7</v>
      </c>
      <c r="AR272">
        <v>18</v>
      </c>
      <c r="AS272">
        <v>53</v>
      </c>
      <c r="AT272">
        <v>47</v>
      </c>
      <c r="AU272">
        <v>1.1200000000000001</v>
      </c>
      <c r="AV272">
        <v>1.94</v>
      </c>
      <c r="AW272">
        <v>2.5</v>
      </c>
      <c r="AX272">
        <v>60</v>
      </c>
      <c r="AY272">
        <v>73</v>
      </c>
      <c r="AZ272">
        <v>57</v>
      </c>
      <c r="BA272">
        <v>27</v>
      </c>
      <c r="BB272">
        <v>7</v>
      </c>
      <c r="BC272">
        <v>41</v>
      </c>
      <c r="BD272">
        <v>73</v>
      </c>
      <c r="BE272">
        <v>37</v>
      </c>
      <c r="BF272">
        <v>76</v>
      </c>
      <c r="BG272">
        <v>7.09</v>
      </c>
      <c r="BH272">
        <v>5.49</v>
      </c>
      <c r="BI272">
        <v>2.75</v>
      </c>
      <c r="BJ272">
        <v>3.1</v>
      </c>
      <c r="BK272">
        <v>2.6</v>
      </c>
      <c r="BL272">
        <f>(1/Table1[[#This Row],[odds_ft_home_team_win]]+1/Table1[[#This Row],[odds_ft_draw]]+1/Table1[[#This Row],[odds_ft_away_team_win]]-1)/3</f>
        <v>2.36107978043462E-2</v>
      </c>
      <c r="BM272">
        <v>1.42</v>
      </c>
      <c r="BN272">
        <v>2.35</v>
      </c>
      <c r="BO272">
        <v>4.5</v>
      </c>
      <c r="BP272">
        <v>8</v>
      </c>
      <c r="BQ272">
        <v>1.95</v>
      </c>
      <c r="BR272">
        <v>1.8</v>
      </c>
      <c r="BS272" t="s">
        <v>82</v>
      </c>
      <c r="BT272">
        <f>VLOOKUP(Table1[[#This Row],[Reference]],metron,8,FALSE)</f>
        <v>1.3382439854569812</v>
      </c>
      <c r="BU272">
        <f>VLOOKUP(Table1[[#This Row],[Reference]],metron,9,FALSE)</f>
        <v>1.3740319615582339</v>
      </c>
      <c r="BV272">
        <f>VLOOKUP(Table1[[#This Row],[Reference]],metron,10,FALSE)</f>
        <v>2.5229727551184897</v>
      </c>
      <c r="BW272">
        <f>VLOOKUP(Table1[[#This Row],[Reference]],metron,11,FALSE)</f>
        <v>1.228921489601805</v>
      </c>
      <c r="BX272">
        <f>VLOOKUP(Table1[[#This Row],[Reference]],metron,12,FALSE)</f>
        <v>1.2940512655166849</v>
      </c>
      <c r="BY272" s="6">
        <f>VLOOKUP(Table1[[#This Row],[Reference]],metron,13,FALSE)</f>
        <v>0.53240890035472432</v>
      </c>
      <c r="BZ272" s="6">
        <f>VLOOKUP(Table1[[#This Row],[Reference]],metron,14,FALSE)</f>
        <v>0.56514027732989358</v>
      </c>
      <c r="CA272" s="6">
        <f>VLOOKUP(Table1[[#This Row],[Reference]],metron,15,FALSE)</f>
        <v>11.417888124439131</v>
      </c>
      <c r="CB272" s="6">
        <f>VLOOKUP(Table1[[#This Row],[Reference]],metron,16,FALSE)</f>
        <v>10.76308704756207</v>
      </c>
      <c r="CC272" s="6">
        <f>VLOOKUP(Table1[[#This Row],[Reference]],metron,17,FALSE)</f>
        <v>4.8317672021824798</v>
      </c>
      <c r="CD272" s="6">
        <f>VLOOKUP(Table1[[#This Row],[Reference]],metron,18,FALSE)</f>
        <v>4.6698999696877843</v>
      </c>
      <c r="CE272" s="6">
        <f>VLOOKUP(Table1[[#This Row],[Reference]],metron,19,FALSE)</f>
        <v>6.5861209222566508</v>
      </c>
      <c r="CF272" s="6">
        <f>VLOOKUP(Table1[[#This Row],[Reference]],metron,20,FALSE)</f>
        <v>6.093187077874286</v>
      </c>
      <c r="CG272" s="6">
        <f>VLOOKUP(Table1[[#This Row],[Reference]],metron,21,FALSE)</f>
        <v>12.685679611650491</v>
      </c>
      <c r="CH272" s="6">
        <f>VLOOKUP(Table1[[#This Row],[Reference]],metron,22,FALSE)</f>
        <v>13.02639563106796</v>
      </c>
      <c r="CI272" s="6">
        <f>VLOOKUP(Table1[[#This Row],[Reference]],metron,23,FALSE)</f>
        <v>1.6481211768132831</v>
      </c>
      <c r="CJ272" s="6">
        <f>VLOOKUP(Table1[[#This Row],[Reference]],metron,24,FALSE)</f>
        <v>1.8572676958928049</v>
      </c>
      <c r="CK272" s="6">
        <f>VLOOKUP(Table1[[#This Row],[Reference]],metron,25,FALSE)</f>
        <v>9.641712787649287E-2</v>
      </c>
      <c r="CL272" s="6">
        <f>VLOOKUP(Table1[[#This Row],[Reference]],metron,26,FALSE)</f>
        <v>0.11302068161957469</v>
      </c>
    </row>
    <row r="273" spans="1:90" hidden="1" x14ac:dyDescent="0.45">
      <c r="A273" t="s">
        <v>695</v>
      </c>
      <c r="B273">
        <v>1649005200</v>
      </c>
      <c r="C273" s="23" t="s">
        <v>573</v>
      </c>
      <c r="D273" t="s">
        <v>65</v>
      </c>
      <c r="E273" t="s">
        <v>66</v>
      </c>
      <c r="F273" t="s">
        <v>79</v>
      </c>
      <c r="G273" t="s">
        <v>102</v>
      </c>
      <c r="H273" t="s">
        <v>130</v>
      </c>
      <c r="I273">
        <f>MROUND(Table1[[#This Row],[ProbH]]*100,2)/100</f>
        <v>0.36</v>
      </c>
      <c r="J273">
        <f>1/Table1[[#This Row],[odds_ft_home_team_win]]-Table1[[#This Row],[Margin]]</f>
        <v>0.3656114775659367</v>
      </c>
      <c r="K273">
        <f>1/Table1[[#This Row],[odds_ft_draw]]-Table1[[#This Row],[Margin]]</f>
        <v>0.27984598857464121</v>
      </c>
      <c r="L273">
        <f>1/Table1[[#This Row],[odds_ft_away_team_win]]-Table1[[#This Row],[Margin]]</f>
        <v>0.35454253385942186</v>
      </c>
      <c r="M273">
        <v>12</v>
      </c>
      <c r="N273">
        <v>1.23</v>
      </c>
      <c r="O273">
        <v>1.71</v>
      </c>
      <c r="P273">
        <v>1.17</v>
      </c>
      <c r="Q273">
        <v>1.42</v>
      </c>
      <c r="R273" t="str" cm="1">
        <f t="array" ref="R2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3">
        <v>2</v>
      </c>
      <c r="T273">
        <v>1</v>
      </c>
      <c r="U273">
        <v>3</v>
      </c>
      <c r="V273">
        <v>3</v>
      </c>
      <c r="W273">
        <v>2</v>
      </c>
      <c r="X273">
        <v>1</v>
      </c>
      <c r="Y273" t="s">
        <v>574</v>
      </c>
      <c r="Z273" t="s">
        <v>149</v>
      </c>
      <c r="AA273">
        <v>4</v>
      </c>
      <c r="AB273">
        <v>7</v>
      </c>
      <c r="AC273">
        <v>5</v>
      </c>
      <c r="AD273">
        <v>0</v>
      </c>
      <c r="AE273">
        <v>2</v>
      </c>
      <c r="AF273">
        <v>0</v>
      </c>
      <c r="AG273">
        <v>0</v>
      </c>
      <c r="AH273">
        <v>5</v>
      </c>
      <c r="AI273">
        <v>1</v>
      </c>
      <c r="AJ273">
        <v>1</v>
      </c>
      <c r="AK273">
        <v>10</v>
      </c>
      <c r="AL273">
        <v>22</v>
      </c>
      <c r="AM273">
        <v>6</v>
      </c>
      <c r="AN273">
        <v>7</v>
      </c>
      <c r="AO273">
        <v>4</v>
      </c>
      <c r="AP273">
        <v>15</v>
      </c>
      <c r="AQ273">
        <v>16</v>
      </c>
      <c r="AR273">
        <v>17</v>
      </c>
      <c r="AS273">
        <v>43</v>
      </c>
      <c r="AT273">
        <v>57</v>
      </c>
      <c r="AU273">
        <v>1.2</v>
      </c>
      <c r="AV273">
        <v>2.29</v>
      </c>
      <c r="AW273">
        <v>2.69</v>
      </c>
      <c r="AX273">
        <v>64</v>
      </c>
      <c r="AY273">
        <v>89</v>
      </c>
      <c r="AZ273">
        <v>49</v>
      </c>
      <c r="BA273">
        <v>26</v>
      </c>
      <c r="BB273">
        <v>8</v>
      </c>
      <c r="BC273">
        <v>46</v>
      </c>
      <c r="BD273">
        <v>71</v>
      </c>
      <c r="BE273">
        <v>49</v>
      </c>
      <c r="BF273">
        <v>78</v>
      </c>
      <c r="BG273">
        <v>8.69</v>
      </c>
      <c r="BH273">
        <v>5.92</v>
      </c>
      <c r="BI273">
        <v>2.48</v>
      </c>
      <c r="BJ273">
        <v>3.15</v>
      </c>
      <c r="BK273">
        <v>2.5499999999999998</v>
      </c>
      <c r="BL273">
        <f>(1/Table1[[#This Row],[odds_ft_home_team_win]]+1/Table1[[#This Row],[odds_ft_draw]]+1/Table1[[#This Row],[odds_ft_away_team_win]]-1)/3</f>
        <v>3.7614328885676208E-2</v>
      </c>
      <c r="BM273">
        <v>1.36</v>
      </c>
      <c r="BN273">
        <v>2.15</v>
      </c>
      <c r="BO273">
        <v>3.75</v>
      </c>
      <c r="BP273">
        <v>7</v>
      </c>
      <c r="BQ273">
        <v>1.91</v>
      </c>
      <c r="BR273">
        <v>1.91</v>
      </c>
      <c r="BS273" t="s">
        <v>140</v>
      </c>
      <c r="BT273">
        <f>VLOOKUP(Table1[[#This Row],[Reference]],metron,8,FALSE)</f>
        <v>1.4023864615972674</v>
      </c>
      <c r="BU273">
        <f>VLOOKUP(Table1[[#This Row],[Reference]],metron,9,FALSE)</f>
        <v>1.3093265904245279</v>
      </c>
      <c r="BV273">
        <f>VLOOKUP(Table1[[#This Row],[Reference]],metron,10,FALSE)</f>
        <v>2.5110350525197691</v>
      </c>
      <c r="BW273">
        <f>VLOOKUP(Table1[[#This Row],[Reference]],metron,11,FALSE)</f>
        <v>1.269326094653606</v>
      </c>
      <c r="BX273">
        <f>VLOOKUP(Table1[[#This Row],[Reference]],metron,12,FALSE)</f>
        <v>1.2417089578661631</v>
      </c>
      <c r="BY273" s="6">
        <f>VLOOKUP(Table1[[#This Row],[Reference]],metron,13,FALSE)</f>
        <v>0.56586402266288949</v>
      </c>
      <c r="BZ273" s="6">
        <f>VLOOKUP(Table1[[#This Row],[Reference]],metron,14,FALSE)</f>
        <v>0.55158168083097259</v>
      </c>
      <c r="CA273" s="6">
        <f>VLOOKUP(Table1[[#This Row],[Reference]],metron,15,FALSE)</f>
        <v>11.49400826446281</v>
      </c>
      <c r="CB273" s="6">
        <f>VLOOKUP(Table1[[#This Row],[Reference]],metron,16,FALSE)</f>
        <v>10.507231404958681</v>
      </c>
      <c r="CC273" s="6">
        <f>VLOOKUP(Table1[[#This Row],[Reference]],metron,17,FALSE)</f>
        <v>4.9238790406673623</v>
      </c>
      <c r="CD273" s="6">
        <f>VLOOKUP(Table1[[#This Row],[Reference]],metron,18,FALSE)</f>
        <v>4.6296141814389991</v>
      </c>
      <c r="CE273" s="6">
        <f>VLOOKUP(Table1[[#This Row],[Reference]],metron,19,FALSE)</f>
        <v>6.5701292237954476</v>
      </c>
      <c r="CF273" s="6">
        <f>VLOOKUP(Table1[[#This Row],[Reference]],metron,20,FALSE)</f>
        <v>5.8776172235196817</v>
      </c>
      <c r="CG273" s="6">
        <f>VLOOKUP(Table1[[#This Row],[Reference]],metron,21,FALSE)</f>
        <v>12.798739495798319</v>
      </c>
      <c r="CH273" s="6">
        <f>VLOOKUP(Table1[[#This Row],[Reference]],metron,22,FALSE)</f>
        <v>12.98844537815126</v>
      </c>
      <c r="CI273" s="6">
        <f>VLOOKUP(Table1[[#This Row],[Reference]],metron,23,FALSE)</f>
        <v>1.604928297313674</v>
      </c>
      <c r="CJ273" s="6">
        <f>VLOOKUP(Table1[[#This Row],[Reference]],metron,24,FALSE)</f>
        <v>1.791961219955565</v>
      </c>
      <c r="CK273" s="6">
        <f>VLOOKUP(Table1[[#This Row],[Reference]],metron,25,FALSE)</f>
        <v>8.887093516461321E-2</v>
      </c>
      <c r="CL273" s="6">
        <f>VLOOKUP(Table1[[#This Row],[Reference]],metron,26,FALSE)</f>
        <v>0.11694607150070691</v>
      </c>
    </row>
    <row r="274" spans="1:90" hidden="1" x14ac:dyDescent="0.45">
      <c r="A274" t="s">
        <v>695</v>
      </c>
      <c r="B274">
        <v>1649023200</v>
      </c>
      <c r="C274" s="23" t="s">
        <v>575</v>
      </c>
      <c r="D274" t="s">
        <v>65</v>
      </c>
      <c r="E274" t="s">
        <v>66</v>
      </c>
      <c r="F274" t="s">
        <v>85</v>
      </c>
      <c r="G274" t="s">
        <v>67</v>
      </c>
      <c r="H274" t="s">
        <v>165</v>
      </c>
      <c r="I274">
        <f>MROUND(Table1[[#This Row],[ProbH]]*100,2)/100</f>
        <v>0.56000000000000005</v>
      </c>
      <c r="J274">
        <f>1/Table1[[#This Row],[odds_ft_home_team_win]]-Table1[[#This Row],[Margin]]</f>
        <v>0.56771944800113816</v>
      </c>
      <c r="K274">
        <f>1/Table1[[#This Row],[odds_ft_draw]]-Table1[[#This Row],[Margin]]</f>
        <v>0.24334898278560252</v>
      </c>
      <c r="L274">
        <f>1/Table1[[#This Row],[odds_ft_away_team_win]]-Table1[[#This Row],[Margin]]</f>
        <v>0.18893156921325935</v>
      </c>
      <c r="M274">
        <v>12</v>
      </c>
      <c r="N274">
        <v>1.71</v>
      </c>
      <c r="O274">
        <v>0.56999999999999995</v>
      </c>
      <c r="P274">
        <v>1.55</v>
      </c>
      <c r="Q274">
        <v>0.65</v>
      </c>
      <c r="R274" t="str" cm="1">
        <f t="array" ref="R2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74">
        <v>1</v>
      </c>
      <c r="T274">
        <v>1</v>
      </c>
      <c r="U274">
        <v>2</v>
      </c>
      <c r="V274">
        <v>1</v>
      </c>
      <c r="W274">
        <v>0</v>
      </c>
      <c r="X274">
        <v>1</v>
      </c>
      <c r="Y274">
        <v>69</v>
      </c>
      <c r="Z274">
        <v>44</v>
      </c>
      <c r="AA274">
        <v>8</v>
      </c>
      <c r="AB274">
        <v>3</v>
      </c>
      <c r="AC274">
        <v>3</v>
      </c>
      <c r="AD274">
        <v>1</v>
      </c>
      <c r="AE274">
        <v>3</v>
      </c>
      <c r="AF274">
        <v>0</v>
      </c>
      <c r="AG274">
        <v>0</v>
      </c>
      <c r="AH274">
        <v>4</v>
      </c>
      <c r="AI274">
        <v>1</v>
      </c>
      <c r="AJ274">
        <v>2</v>
      </c>
      <c r="AK274">
        <v>9</v>
      </c>
      <c r="AL274">
        <v>11</v>
      </c>
      <c r="AM274">
        <v>5</v>
      </c>
      <c r="AN274">
        <v>6</v>
      </c>
      <c r="AO274">
        <v>4</v>
      </c>
      <c r="AP274">
        <v>5</v>
      </c>
      <c r="AQ274">
        <v>13</v>
      </c>
      <c r="AR274">
        <v>15</v>
      </c>
      <c r="AS274">
        <v>64</v>
      </c>
      <c r="AT274">
        <v>36</v>
      </c>
      <c r="AU274">
        <v>1.28</v>
      </c>
      <c r="AV274">
        <v>1.44</v>
      </c>
      <c r="AW274">
        <v>2</v>
      </c>
      <c r="AX274">
        <v>48</v>
      </c>
      <c r="AY274">
        <v>70</v>
      </c>
      <c r="AZ274">
        <v>37</v>
      </c>
      <c r="BA274">
        <v>7</v>
      </c>
      <c r="BB274">
        <v>3</v>
      </c>
      <c r="BC274">
        <v>22</v>
      </c>
      <c r="BD274">
        <v>70</v>
      </c>
      <c r="BE274">
        <v>32</v>
      </c>
      <c r="BF274">
        <v>70</v>
      </c>
      <c r="BG274">
        <v>10</v>
      </c>
      <c r="BH274">
        <v>5.43</v>
      </c>
      <c r="BI274">
        <v>1.65</v>
      </c>
      <c r="BJ274">
        <v>3.55</v>
      </c>
      <c r="BK274">
        <v>4.4000000000000004</v>
      </c>
      <c r="BL274">
        <f>(1/Table1[[#This Row],[odds_ft_home_team_win]]+1/Table1[[#This Row],[odds_ft_draw]]+1/Table1[[#This Row],[odds_ft_away_team_win]]-1)/3</f>
        <v>3.8341158059467917E-2</v>
      </c>
      <c r="BM274">
        <v>1.32</v>
      </c>
      <c r="BN274">
        <v>1.95</v>
      </c>
      <c r="BO274">
        <v>3.3</v>
      </c>
      <c r="BP274">
        <v>6.25</v>
      </c>
      <c r="BQ274">
        <v>1.95</v>
      </c>
      <c r="BR274">
        <v>1.8</v>
      </c>
      <c r="BS274" t="s">
        <v>128</v>
      </c>
      <c r="BT274">
        <f>VLOOKUP(Table1[[#This Row],[Reference]],metron,8,FALSE)</f>
        <v>1.9673156855724254</v>
      </c>
      <c r="BU274">
        <f>VLOOKUP(Table1[[#This Row],[Reference]],metron,9,FALSE)</f>
        <v>0.77729484582409181</v>
      </c>
      <c r="BV274">
        <f>VLOOKUP(Table1[[#This Row],[Reference]],metron,10,FALSE)</f>
        <v>2.6892488954344627</v>
      </c>
      <c r="BW274">
        <f>VLOOKUP(Table1[[#This Row],[Reference]],metron,11,FALSE)</f>
        <v>1.7546812539448771</v>
      </c>
      <c r="BX274">
        <f>VLOOKUP(Table1[[#This Row],[Reference]],metron,12,FALSE)</f>
        <v>0.93456764148958549</v>
      </c>
      <c r="BY274" s="6">
        <f>VLOOKUP(Table1[[#This Row],[Reference]],metron,13,FALSE)</f>
        <v>0.77824531874605507</v>
      </c>
      <c r="BZ274" s="6">
        <f>VLOOKUP(Table1[[#This Row],[Reference]],metron,14,FALSE)</f>
        <v>0.41237113402061848</v>
      </c>
      <c r="CA274" s="6">
        <f>VLOOKUP(Table1[[#This Row],[Reference]],metron,15,FALSE)</f>
        <v>13.77153558052435</v>
      </c>
      <c r="CB274" s="6">
        <f>VLOOKUP(Table1[[#This Row],[Reference]],metron,16,FALSE)</f>
        <v>9.0445692883895124</v>
      </c>
      <c r="CC274" s="6">
        <f>VLOOKUP(Table1[[#This Row],[Reference]],metron,17,FALSE)</f>
        <v>6.0821292775665396</v>
      </c>
      <c r="CD274" s="6">
        <f>VLOOKUP(Table1[[#This Row],[Reference]],metron,18,FALSE)</f>
        <v>3.8201520912547529</v>
      </c>
      <c r="CE274" s="6">
        <f>VLOOKUP(Table1[[#This Row],[Reference]],metron,19,FALSE)</f>
        <v>7.6894063029578108</v>
      </c>
      <c r="CF274" s="6">
        <f>VLOOKUP(Table1[[#This Row],[Reference]],metron,20,FALSE)</f>
        <v>5.224417197134759</v>
      </c>
      <c r="CG274" s="6">
        <f>VLOOKUP(Table1[[#This Row],[Reference]],metron,21,FALSE)</f>
        <v>12.297605473204101</v>
      </c>
      <c r="CH274" s="6">
        <f>VLOOKUP(Table1[[#This Row],[Reference]],metron,22,FALSE)</f>
        <v>13.310908399847969</v>
      </c>
      <c r="CI274" s="6">
        <f>VLOOKUP(Table1[[#This Row],[Reference]],metron,23,FALSE)</f>
        <v>1.3713126843657819</v>
      </c>
      <c r="CJ274" s="6">
        <f>VLOOKUP(Table1[[#This Row],[Reference]],metron,24,FALSE)</f>
        <v>1.9516961651917399</v>
      </c>
      <c r="CK274" s="6">
        <f>VLOOKUP(Table1[[#This Row],[Reference]],metron,25,FALSE)</f>
        <v>6.6002949852507375E-2</v>
      </c>
      <c r="CL274" s="6">
        <f>VLOOKUP(Table1[[#This Row],[Reference]],metron,26,FALSE)</f>
        <v>0.1297935103244838</v>
      </c>
    </row>
    <row r="275" spans="1:90" hidden="1" x14ac:dyDescent="0.45">
      <c r="A275" t="s">
        <v>695</v>
      </c>
      <c r="B275">
        <v>1649030400</v>
      </c>
      <c r="C275" s="23" t="s">
        <v>576</v>
      </c>
      <c r="D275" t="s">
        <v>65</v>
      </c>
      <c r="E275" t="s">
        <v>66</v>
      </c>
      <c r="F275" t="s">
        <v>107</v>
      </c>
      <c r="G275" t="s">
        <v>106</v>
      </c>
      <c r="H275" t="s">
        <v>108</v>
      </c>
      <c r="I275">
        <f>MROUND(Table1[[#This Row],[ProbH]]*100,2)/100</f>
        <v>0.57999999999999996</v>
      </c>
      <c r="J275">
        <f>1/Table1[[#This Row],[odds_ft_home_team_win]]-Table1[[#This Row],[Margin]]</f>
        <v>0.57540860529184301</v>
      </c>
      <c r="K275">
        <f>1/Table1[[#This Row],[odds_ft_draw]]-Table1[[#This Row],[Margin]]</f>
        <v>0.24762595849079128</v>
      </c>
      <c r="L275">
        <f>1/Table1[[#This Row],[odds_ft_away_team_win]]-Table1[[#This Row],[Margin]]</f>
        <v>0.17696543621736577</v>
      </c>
      <c r="M275">
        <v>12</v>
      </c>
      <c r="N275">
        <v>2.06</v>
      </c>
      <c r="O275">
        <v>0.62</v>
      </c>
      <c r="P275">
        <v>2</v>
      </c>
      <c r="Q275">
        <v>0.53</v>
      </c>
      <c r="R275" t="str" cm="1">
        <f t="array" ref="R2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5">
        <v>2</v>
      </c>
      <c r="T275">
        <v>0</v>
      </c>
      <c r="U275">
        <v>2</v>
      </c>
      <c r="V275">
        <v>0</v>
      </c>
      <c r="W275">
        <v>0</v>
      </c>
      <c r="X275">
        <v>0</v>
      </c>
      <c r="Y275" t="s">
        <v>577</v>
      </c>
      <c r="AA275">
        <v>7</v>
      </c>
      <c r="AB275">
        <v>6</v>
      </c>
      <c r="AC275">
        <v>0</v>
      </c>
      <c r="AD275">
        <v>0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13</v>
      </c>
      <c r="AL275">
        <v>10</v>
      </c>
      <c r="AM275">
        <v>7</v>
      </c>
      <c r="AN275">
        <v>9</v>
      </c>
      <c r="AO275">
        <v>6</v>
      </c>
      <c r="AP275">
        <v>1</v>
      </c>
      <c r="AQ275">
        <v>6</v>
      </c>
      <c r="AR275">
        <v>8</v>
      </c>
      <c r="AS275">
        <v>58</v>
      </c>
      <c r="AT275">
        <v>42</v>
      </c>
      <c r="AU275">
        <v>1.8</v>
      </c>
      <c r="AV275">
        <v>1.65</v>
      </c>
      <c r="AW275">
        <v>2.78</v>
      </c>
      <c r="AX275">
        <v>52</v>
      </c>
      <c r="AY275">
        <v>91</v>
      </c>
      <c r="AZ275">
        <v>55</v>
      </c>
      <c r="BA275">
        <v>25</v>
      </c>
      <c r="BB275">
        <v>7</v>
      </c>
      <c r="BC275">
        <v>27</v>
      </c>
      <c r="BD275">
        <v>74</v>
      </c>
      <c r="BE275">
        <v>45</v>
      </c>
      <c r="BF275">
        <v>87</v>
      </c>
      <c r="BG275">
        <v>10.06</v>
      </c>
      <c r="BH275">
        <v>4.9800000000000004</v>
      </c>
      <c r="BI275">
        <v>1.63</v>
      </c>
      <c r="BJ275">
        <v>3.5</v>
      </c>
      <c r="BK275">
        <v>4.6500000000000004</v>
      </c>
      <c r="BL275">
        <f>(1/Table1[[#This Row],[odds_ft_home_team_win]]+1/Table1[[#This Row],[odds_ft_draw]]+1/Table1[[#This Row],[odds_ft_away_team_win]]-1)/3</f>
        <v>3.8088327223494423E-2</v>
      </c>
      <c r="BM275">
        <v>1.34</v>
      </c>
      <c r="BN275">
        <v>1.87</v>
      </c>
      <c r="BO275">
        <v>3.5</v>
      </c>
      <c r="BP275">
        <v>6.75</v>
      </c>
      <c r="BQ275">
        <v>2.0499999999999998</v>
      </c>
      <c r="BR275">
        <v>1.7</v>
      </c>
      <c r="BS275" t="s">
        <v>161</v>
      </c>
      <c r="BT275">
        <f>VLOOKUP(Table1[[#This Row],[Reference]],metron,8,FALSE)</f>
        <v>2.0230889143600308</v>
      </c>
      <c r="BU275">
        <f>VLOOKUP(Table1[[#This Row],[Reference]],metron,9,FALSE)</f>
        <v>0.72731480520165426</v>
      </c>
      <c r="BV275">
        <f>VLOOKUP(Table1[[#This Row],[Reference]],metron,10,FALSE)</f>
        <v>2.6362999299229148</v>
      </c>
      <c r="BW275">
        <f>VLOOKUP(Table1[[#This Row],[Reference]],metron,11,FALSE)</f>
        <v>1.7619715019855171</v>
      </c>
      <c r="BX275">
        <f>VLOOKUP(Table1[[#This Row],[Reference]],metron,12,FALSE)</f>
        <v>0.87432842793739785</v>
      </c>
      <c r="BY275" s="6">
        <f>VLOOKUP(Table1[[#This Row],[Reference]],metron,13,FALSE)</f>
        <v>0.78411214953271025</v>
      </c>
      <c r="BZ275" s="6">
        <f>VLOOKUP(Table1[[#This Row],[Reference]],metron,14,FALSE)</f>
        <v>0.38060747663551397</v>
      </c>
      <c r="CA275" s="6">
        <f>VLOOKUP(Table1[[#This Row],[Reference]],metron,15,FALSE)</f>
        <v>14.215499378367181</v>
      </c>
      <c r="CB275" s="6">
        <f>VLOOKUP(Table1[[#This Row],[Reference]],metron,16,FALSE)</f>
        <v>8.9523612261806136</v>
      </c>
      <c r="CC275" s="6">
        <f>VLOOKUP(Table1[[#This Row],[Reference]],metron,17,FALSE)</f>
        <v>6.3083121289228163</v>
      </c>
      <c r="CD275" s="6">
        <f>VLOOKUP(Table1[[#This Row],[Reference]],metron,18,FALSE)</f>
        <v>3.7757524374735061</v>
      </c>
      <c r="CE275" s="6">
        <f>VLOOKUP(Table1[[#This Row],[Reference]],metron,19,FALSE)</f>
        <v>7.9071872494443642</v>
      </c>
      <c r="CF275" s="6">
        <f>VLOOKUP(Table1[[#This Row],[Reference]],metron,20,FALSE)</f>
        <v>5.1766087887071075</v>
      </c>
      <c r="CG275" s="6">
        <f>VLOOKUP(Table1[[#This Row],[Reference]],metron,21,FALSE)</f>
        <v>12.634239592183521</v>
      </c>
      <c r="CH275" s="6">
        <f>VLOOKUP(Table1[[#This Row],[Reference]],metron,22,FALSE)</f>
        <v>13.597706032285471</v>
      </c>
      <c r="CI275" s="6">
        <f>VLOOKUP(Table1[[#This Row],[Reference]],metron,23,FALSE)</f>
        <v>1.365400161681487</v>
      </c>
      <c r="CJ275" s="6">
        <f>VLOOKUP(Table1[[#This Row],[Reference]],metron,24,FALSE)</f>
        <v>1.963621665319321</v>
      </c>
      <c r="CK275" s="6">
        <f>VLOOKUP(Table1[[#This Row],[Reference]],metron,25,FALSE)</f>
        <v>7.1544058205335492E-2</v>
      </c>
      <c r="CL275" s="6">
        <f>VLOOKUP(Table1[[#This Row],[Reference]],metron,26,FALSE)</f>
        <v>0.1216653193209378</v>
      </c>
    </row>
    <row r="276" spans="1:90" hidden="1" x14ac:dyDescent="0.45">
      <c r="A276" t="s">
        <v>695</v>
      </c>
      <c r="B276">
        <v>1649030400</v>
      </c>
      <c r="C276" s="23" t="s">
        <v>576</v>
      </c>
      <c r="D276" t="s">
        <v>65</v>
      </c>
      <c r="E276" t="s">
        <v>66</v>
      </c>
      <c r="F276" t="s">
        <v>73</v>
      </c>
      <c r="G276" t="s">
        <v>84</v>
      </c>
      <c r="H276" t="s">
        <v>133</v>
      </c>
      <c r="I276">
        <f>MROUND(Table1[[#This Row],[ProbH]]*100,2)/100</f>
        <v>0.32</v>
      </c>
      <c r="J276">
        <f>1/Table1[[#This Row],[odds_ft_home_team_win]]-Table1[[#This Row],[Margin]]</f>
        <v>0.31156793364168917</v>
      </c>
      <c r="K276">
        <f>1/Table1[[#This Row],[odds_ft_draw]]-Table1[[#This Row],[Margin]]</f>
        <v>0.29426170570712984</v>
      </c>
      <c r="L276">
        <f>1/Table1[[#This Row],[odds_ft_away_team_win]]-Table1[[#This Row],[Margin]]</f>
        <v>0.394170360651181</v>
      </c>
      <c r="M276">
        <v>12</v>
      </c>
      <c r="N276">
        <v>1.56</v>
      </c>
      <c r="O276">
        <v>1.57</v>
      </c>
      <c r="P276">
        <v>1.58</v>
      </c>
      <c r="Q276">
        <v>1.42</v>
      </c>
      <c r="R276" t="str" cm="1">
        <f t="array" ref="R2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6">
        <v>3</v>
      </c>
      <c r="T276">
        <v>1</v>
      </c>
      <c r="U276">
        <v>4</v>
      </c>
      <c r="V276">
        <v>1</v>
      </c>
      <c r="W276">
        <v>1</v>
      </c>
      <c r="X276">
        <v>0</v>
      </c>
      <c r="Y276" t="s">
        <v>578</v>
      </c>
      <c r="Z276">
        <v>82</v>
      </c>
      <c r="AA276">
        <v>9</v>
      </c>
      <c r="AB276">
        <v>3</v>
      </c>
      <c r="AC276">
        <v>4</v>
      </c>
      <c r="AD276">
        <v>0</v>
      </c>
      <c r="AE276">
        <v>1</v>
      </c>
      <c r="AF276">
        <v>0</v>
      </c>
      <c r="AG276">
        <v>2</v>
      </c>
      <c r="AH276">
        <v>2</v>
      </c>
      <c r="AI276">
        <v>1</v>
      </c>
      <c r="AJ276">
        <v>0</v>
      </c>
      <c r="AK276">
        <v>11</v>
      </c>
      <c r="AL276">
        <v>13</v>
      </c>
      <c r="AM276">
        <v>7</v>
      </c>
      <c r="AN276">
        <v>3</v>
      </c>
      <c r="AO276">
        <v>4</v>
      </c>
      <c r="AP276">
        <v>10</v>
      </c>
      <c r="AQ276">
        <v>13</v>
      </c>
      <c r="AR276">
        <v>8</v>
      </c>
      <c r="AS276">
        <v>35</v>
      </c>
      <c r="AT276">
        <v>65</v>
      </c>
      <c r="AU276">
        <v>1.51</v>
      </c>
      <c r="AV276">
        <v>1.38</v>
      </c>
      <c r="AW276">
        <v>2.75</v>
      </c>
      <c r="AX276">
        <v>60</v>
      </c>
      <c r="AY276">
        <v>84</v>
      </c>
      <c r="AZ276">
        <v>54</v>
      </c>
      <c r="BA276">
        <v>30</v>
      </c>
      <c r="BB276">
        <v>13</v>
      </c>
      <c r="BC276">
        <v>38</v>
      </c>
      <c r="BD276">
        <v>65</v>
      </c>
      <c r="BE276">
        <v>53</v>
      </c>
      <c r="BF276">
        <v>91</v>
      </c>
      <c r="BG276">
        <v>11.83</v>
      </c>
      <c r="BH276">
        <v>3.99</v>
      </c>
      <c r="BI276">
        <v>2.87</v>
      </c>
      <c r="BJ276">
        <v>3.02</v>
      </c>
      <c r="BK276">
        <v>2.3199999999999998</v>
      </c>
      <c r="BL276">
        <f>(1/Table1[[#This Row],[odds_ft_home_team_win]]+1/Table1[[#This Row],[odds_ft_draw]]+1/Table1[[#This Row],[odds_ft_away_team_win]]-1)/3</f>
        <v>3.6864122107439723E-2</v>
      </c>
      <c r="BM276">
        <v>1.44</v>
      </c>
      <c r="BN276">
        <v>2.15</v>
      </c>
      <c r="BO276">
        <v>4.33</v>
      </c>
      <c r="BP276">
        <v>9</v>
      </c>
      <c r="BQ276">
        <v>1.95</v>
      </c>
      <c r="BR276">
        <v>1.8</v>
      </c>
      <c r="BS276" t="s">
        <v>142</v>
      </c>
      <c r="BT276">
        <f>VLOOKUP(Table1[[#This Row],[Reference]],metron,8,FALSE)</f>
        <v>1.274681051426811</v>
      </c>
      <c r="BU276">
        <f>VLOOKUP(Table1[[#This Row],[Reference]],metron,9,FALSE)</f>
        <v>1.4392482240810365</v>
      </c>
      <c r="BV276">
        <f>VLOOKUP(Table1[[#This Row],[Reference]],metron,10,FALSE)</f>
        <v>2.5313454284174597</v>
      </c>
      <c r="BW276">
        <f>VLOOKUP(Table1[[#This Row],[Reference]],metron,11,FALSE)</f>
        <v>1.210167055864918</v>
      </c>
      <c r="BX276">
        <f>VLOOKUP(Table1[[#This Row],[Reference]],metron,12,FALSE)</f>
        <v>1.3211783725525419</v>
      </c>
      <c r="BY276" s="6">
        <f>VLOOKUP(Table1[[#This Row],[Reference]],metron,13,FALSE)</f>
        <v>0.53135669362084459</v>
      </c>
      <c r="BZ276" s="6">
        <f>VLOOKUP(Table1[[#This Row],[Reference]],metron,14,FALSE)</f>
        <v>0.55633423180592989</v>
      </c>
      <c r="CA276" s="6">
        <f>VLOOKUP(Table1[[#This Row],[Reference]],metron,15,FALSE)</f>
        <v>11.21109010712035</v>
      </c>
      <c r="CB276" s="6">
        <f>VLOOKUP(Table1[[#This Row],[Reference]],metron,16,FALSE)</f>
        <v>11.01700787401575</v>
      </c>
      <c r="CC276" s="6">
        <f>VLOOKUP(Table1[[#This Row],[Reference]],metron,17,FALSE)</f>
        <v>4.6792332268370611</v>
      </c>
      <c r="CD276" s="6">
        <f>VLOOKUP(Table1[[#This Row],[Reference]],metron,18,FALSE)</f>
        <v>4.7080804854679013</v>
      </c>
      <c r="CE276" s="6">
        <f>VLOOKUP(Table1[[#This Row],[Reference]],metron,19,FALSE)</f>
        <v>6.5318568802832893</v>
      </c>
      <c r="CF276" s="6">
        <f>VLOOKUP(Table1[[#This Row],[Reference]],metron,20,FALSE)</f>
        <v>6.3089273885478487</v>
      </c>
      <c r="CG276" s="6">
        <f>VLOOKUP(Table1[[#This Row],[Reference]],metron,21,FALSE)</f>
        <v>12.72547770700637</v>
      </c>
      <c r="CH276" s="6">
        <f>VLOOKUP(Table1[[#This Row],[Reference]],metron,22,FALSE)</f>
        <v>13.06847133757962</v>
      </c>
      <c r="CI276" s="6">
        <f>VLOOKUP(Table1[[#This Row],[Reference]],metron,23,FALSE)</f>
        <v>1.6902356902356901</v>
      </c>
      <c r="CJ276" s="6">
        <f>VLOOKUP(Table1[[#This Row],[Reference]],metron,24,FALSE)</f>
        <v>1.8050198959289869</v>
      </c>
      <c r="CK276" s="6">
        <f>VLOOKUP(Table1[[#This Row],[Reference]],metron,25,FALSE)</f>
        <v>0.105907560453015</v>
      </c>
      <c r="CL276" s="6">
        <f>VLOOKUP(Table1[[#This Row],[Reference]],metron,26,FALSE)</f>
        <v>0.1141720232629324</v>
      </c>
    </row>
    <row r="277" spans="1:90" hidden="1" x14ac:dyDescent="0.45">
      <c r="A277" t="s">
        <v>695</v>
      </c>
      <c r="B277">
        <v>1649289600</v>
      </c>
      <c r="C277" s="23" t="s">
        <v>579</v>
      </c>
      <c r="D277" t="s">
        <v>65</v>
      </c>
      <c r="E277" t="s">
        <v>66</v>
      </c>
      <c r="F277" t="s">
        <v>79</v>
      </c>
      <c r="G277" t="s">
        <v>101</v>
      </c>
      <c r="H277" t="s">
        <v>92</v>
      </c>
      <c r="I277">
        <f>MROUND(Table1[[#This Row],[ProbH]]*100,2)/100</f>
        <v>0.24</v>
      </c>
      <c r="J277">
        <f>1/Table1[[#This Row],[odds_ft_home_team_win]]-Table1[[#This Row],[Margin]]</f>
        <v>0.23182145099953325</v>
      </c>
      <c r="K277">
        <f>1/Table1[[#This Row],[odds_ft_draw]]-Table1[[#This Row],[Margin]]</f>
        <v>0.2608791512901103</v>
      </c>
      <c r="L277">
        <f>1/Table1[[#This Row],[odds_ft_away_team_win]]-Table1[[#This Row],[Margin]]</f>
        <v>0.50729939771035659</v>
      </c>
      <c r="M277">
        <v>4</v>
      </c>
      <c r="N277">
        <v>1.36</v>
      </c>
      <c r="O277">
        <v>1.07</v>
      </c>
      <c r="P277">
        <v>1.17</v>
      </c>
      <c r="Q277">
        <v>1.05</v>
      </c>
      <c r="R277" t="str" cm="1">
        <f t="array" ref="R2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77">
        <v>2</v>
      </c>
      <c r="T277">
        <v>2</v>
      </c>
      <c r="U277">
        <v>4</v>
      </c>
      <c r="V277">
        <v>3</v>
      </c>
      <c r="W277">
        <v>1</v>
      </c>
      <c r="X277">
        <v>2</v>
      </c>
      <c r="Y277" t="s">
        <v>580</v>
      </c>
      <c r="Z277" t="s">
        <v>581</v>
      </c>
      <c r="AA277">
        <v>2</v>
      </c>
      <c r="AB277">
        <v>3</v>
      </c>
      <c r="AC277">
        <v>3</v>
      </c>
      <c r="AD277">
        <v>0</v>
      </c>
      <c r="AE277">
        <v>4</v>
      </c>
      <c r="AF277">
        <v>0</v>
      </c>
      <c r="AG277">
        <v>2</v>
      </c>
      <c r="AH277">
        <v>1</v>
      </c>
      <c r="AI277">
        <v>2</v>
      </c>
      <c r="AJ277">
        <v>2</v>
      </c>
      <c r="AK277">
        <v>13</v>
      </c>
      <c r="AL277">
        <v>12</v>
      </c>
      <c r="AM277">
        <v>5</v>
      </c>
      <c r="AN277">
        <v>5</v>
      </c>
      <c r="AO277">
        <v>8</v>
      </c>
      <c r="AP277">
        <v>7</v>
      </c>
      <c r="AQ277">
        <v>11</v>
      </c>
      <c r="AR277">
        <v>12</v>
      </c>
      <c r="AS277">
        <v>61</v>
      </c>
      <c r="AT277">
        <v>39</v>
      </c>
      <c r="AU277">
        <v>1.43</v>
      </c>
      <c r="AV277">
        <v>1.31</v>
      </c>
      <c r="AW277">
        <v>2.7</v>
      </c>
      <c r="AX277">
        <v>73</v>
      </c>
      <c r="AY277">
        <v>83</v>
      </c>
      <c r="AZ277">
        <v>60</v>
      </c>
      <c r="BA277">
        <v>32</v>
      </c>
      <c r="BB277">
        <v>7</v>
      </c>
      <c r="BC277">
        <v>49</v>
      </c>
      <c r="BD277">
        <v>73</v>
      </c>
      <c r="BE277">
        <v>42</v>
      </c>
      <c r="BF277">
        <v>69</v>
      </c>
      <c r="BG277">
        <v>9.77</v>
      </c>
      <c r="BH277">
        <v>5.8</v>
      </c>
      <c r="BI277">
        <v>3.65</v>
      </c>
      <c r="BJ277">
        <v>3.3</v>
      </c>
      <c r="BK277">
        <v>1.82</v>
      </c>
      <c r="BL277">
        <f>(1/Table1[[#This Row],[odds_ft_home_team_win]]+1/Table1[[#This Row],[odds_ft_draw]]+1/Table1[[#This Row],[odds_ft_away_team_win]]-1)/3</f>
        <v>4.2151151740192759E-2</v>
      </c>
      <c r="BM277">
        <v>1.28</v>
      </c>
      <c r="BN277">
        <v>1.92</v>
      </c>
      <c r="BO277">
        <v>3.13</v>
      </c>
      <c r="BP277">
        <v>5.95</v>
      </c>
      <c r="BQ277">
        <v>1.67</v>
      </c>
      <c r="BR277">
        <v>2.08</v>
      </c>
      <c r="BS277" t="s">
        <v>140</v>
      </c>
      <c r="BT277">
        <f>VLOOKUP(Table1[[#This Row],[Reference]],metron,8,FALSE)</f>
        <v>1.0221684690062811</v>
      </c>
      <c r="BU277">
        <f>VLOOKUP(Table1[[#This Row],[Reference]],metron,9,FALSE)</f>
        <v>1.7036119427882386</v>
      </c>
      <c r="BV277">
        <f>VLOOKUP(Table1[[#This Row],[Reference]],metron,10,FALSE)</f>
        <v>2.6014437689969609</v>
      </c>
      <c r="BW277">
        <f>VLOOKUP(Table1[[#This Row],[Reference]],metron,11,FALSE)</f>
        <v>1.067249240121581</v>
      </c>
      <c r="BX277">
        <f>VLOOKUP(Table1[[#This Row],[Reference]],metron,12,FALSE)</f>
        <v>1.53419452887538</v>
      </c>
      <c r="BY277" s="6">
        <f>VLOOKUP(Table1[[#This Row],[Reference]],metron,13,FALSE)</f>
        <v>0.45589353612167299</v>
      </c>
      <c r="BZ277" s="6">
        <f>VLOOKUP(Table1[[#This Row],[Reference]],metron,14,FALSE)</f>
        <v>0.65133079847908748</v>
      </c>
      <c r="CA277" s="6">
        <f>VLOOKUP(Table1[[#This Row],[Reference]],metron,15,FALSE)</f>
        <v>10.75886524822695</v>
      </c>
      <c r="CB277" s="6">
        <f>VLOOKUP(Table1[[#This Row],[Reference]],metron,16,FALSE)</f>
        <v>12.46679561573179</v>
      </c>
      <c r="CC277" s="6">
        <f>VLOOKUP(Table1[[#This Row],[Reference]],metron,17,FALSE)</f>
        <v>4.1157347204161248</v>
      </c>
      <c r="CD277" s="6">
        <f>VLOOKUP(Table1[[#This Row],[Reference]],metron,18,FALSE)</f>
        <v>5.1072821846553964</v>
      </c>
      <c r="CE277" s="6">
        <f>VLOOKUP(Table1[[#This Row],[Reference]],metron,19,FALSE)</f>
        <v>6.6431305278108255</v>
      </c>
      <c r="CF277" s="6">
        <f>VLOOKUP(Table1[[#This Row],[Reference]],metron,20,FALSE)</f>
        <v>7.3595134310763939</v>
      </c>
      <c r="CG277" s="6">
        <f>VLOOKUP(Table1[[#This Row],[Reference]],metron,21,FALSE)</f>
        <v>13.11140235910878</v>
      </c>
      <c r="CH277" s="6">
        <f>VLOOKUP(Table1[[#This Row],[Reference]],metron,22,FALSE)</f>
        <v>12.93184796854522</v>
      </c>
      <c r="CI277" s="6">
        <f>VLOOKUP(Table1[[#This Row],[Reference]],metron,23,FALSE)</f>
        <v>1.8341677096370459</v>
      </c>
      <c r="CJ277" s="6">
        <f>VLOOKUP(Table1[[#This Row],[Reference]],metron,24,FALSE)</f>
        <v>1.7903629536921151</v>
      </c>
      <c r="CK277" s="6">
        <f>VLOOKUP(Table1[[#This Row],[Reference]],metron,25,FALSE)</f>
        <v>0.1095118898623279</v>
      </c>
      <c r="CL277" s="6">
        <f>VLOOKUP(Table1[[#This Row],[Reference]],metron,26,FALSE)</f>
        <v>9.3241551939924908E-2</v>
      </c>
    </row>
    <row r="278" spans="1:90" hidden="1" x14ac:dyDescent="0.45">
      <c r="A278" t="s">
        <v>695</v>
      </c>
      <c r="B278">
        <v>1649297160</v>
      </c>
      <c r="C278" s="23" t="s">
        <v>582</v>
      </c>
      <c r="D278" t="s">
        <v>65</v>
      </c>
      <c r="E278" t="s">
        <v>66</v>
      </c>
      <c r="F278" t="s">
        <v>106</v>
      </c>
      <c r="G278" t="s">
        <v>91</v>
      </c>
      <c r="H278" t="s">
        <v>583</v>
      </c>
      <c r="I278">
        <f>MROUND(Table1[[#This Row],[ProbH]]*100,2)/100</f>
        <v>0.46</v>
      </c>
      <c r="J278">
        <f>1/Table1[[#This Row],[odds_ft_home_team_win]]-Table1[[#This Row],[Margin]]</f>
        <v>0.45638954983536434</v>
      </c>
      <c r="K278">
        <f>1/Table1[[#This Row],[odds_ft_draw]]-Table1[[#This Row],[Margin]]</f>
        <v>0.27180522508231791</v>
      </c>
      <c r="L278">
        <f>1/Table1[[#This Row],[odds_ft_away_team_win]]-Table1[[#This Row],[Margin]]</f>
        <v>0.27180522508231791</v>
      </c>
      <c r="M278">
        <v>9</v>
      </c>
      <c r="N278">
        <v>1.5</v>
      </c>
      <c r="O278">
        <v>1.33</v>
      </c>
      <c r="P278">
        <v>1.35</v>
      </c>
      <c r="Q278">
        <v>1.25</v>
      </c>
      <c r="R278" t="str" cm="1">
        <f t="array" ref="R2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78">
        <v>1</v>
      </c>
      <c r="T278">
        <v>1</v>
      </c>
      <c r="U278">
        <v>2</v>
      </c>
      <c r="V278">
        <v>0</v>
      </c>
      <c r="W278">
        <v>0</v>
      </c>
      <c r="X278">
        <v>0</v>
      </c>
      <c r="Y278">
        <v>73</v>
      </c>
      <c r="Z278">
        <v>85</v>
      </c>
      <c r="AA278">
        <v>7</v>
      </c>
      <c r="AB278">
        <v>3</v>
      </c>
      <c r="AC278">
        <v>2</v>
      </c>
      <c r="AD278">
        <v>0</v>
      </c>
      <c r="AE278">
        <v>3</v>
      </c>
      <c r="AF278">
        <v>0</v>
      </c>
      <c r="AG278">
        <v>1</v>
      </c>
      <c r="AH278">
        <v>1</v>
      </c>
      <c r="AI278">
        <v>1</v>
      </c>
      <c r="AJ278">
        <v>2</v>
      </c>
      <c r="AK278">
        <v>23</v>
      </c>
      <c r="AL278">
        <v>12</v>
      </c>
      <c r="AM278">
        <v>9</v>
      </c>
      <c r="AN278">
        <v>5</v>
      </c>
      <c r="AO278">
        <v>14</v>
      </c>
      <c r="AP278">
        <v>7</v>
      </c>
      <c r="AQ278">
        <v>12</v>
      </c>
      <c r="AR278">
        <v>9</v>
      </c>
      <c r="AS278">
        <v>57</v>
      </c>
      <c r="AT278">
        <v>43</v>
      </c>
      <c r="AU278">
        <v>2.4700000000000002</v>
      </c>
      <c r="AV278">
        <v>1.38</v>
      </c>
      <c r="AW278">
        <v>2.17</v>
      </c>
      <c r="AX278">
        <v>52</v>
      </c>
      <c r="AY278">
        <v>66</v>
      </c>
      <c r="AZ278">
        <v>41</v>
      </c>
      <c r="BA278">
        <v>21</v>
      </c>
      <c r="BB278">
        <v>7</v>
      </c>
      <c r="BC278">
        <v>21</v>
      </c>
      <c r="BD278">
        <v>59</v>
      </c>
      <c r="BE278">
        <v>38</v>
      </c>
      <c r="BF278">
        <v>69</v>
      </c>
      <c r="BG278">
        <v>8.06</v>
      </c>
      <c r="BH278">
        <v>4.74</v>
      </c>
      <c r="BI278">
        <v>2.0699999999999998</v>
      </c>
      <c r="BJ278">
        <v>3.35</v>
      </c>
      <c r="BK278">
        <v>3.35</v>
      </c>
      <c r="BL278">
        <f>(1/Table1[[#This Row],[odds_ft_home_team_win]]+1/Table1[[#This Row],[odds_ft_draw]]+1/Table1[[#This Row],[odds_ft_away_team_win]]-1)/3</f>
        <v>2.6702237604249241E-2</v>
      </c>
      <c r="BM278">
        <v>1.36</v>
      </c>
      <c r="BN278">
        <v>2.09</v>
      </c>
      <c r="BO278">
        <v>3.5</v>
      </c>
      <c r="BP278">
        <v>7</v>
      </c>
      <c r="BQ278">
        <v>1.85</v>
      </c>
      <c r="BR278">
        <v>1.85</v>
      </c>
      <c r="BS278" t="s">
        <v>110</v>
      </c>
      <c r="BT278">
        <f>VLOOKUP(Table1[[#This Row],[Reference]],metron,8,FALSE)</f>
        <v>1.6955772349985931</v>
      </c>
      <c r="BU278">
        <f>VLOOKUP(Table1[[#This Row],[Reference]],metron,9,FALSE)</f>
        <v>1.0239029519551039</v>
      </c>
      <c r="BV278">
        <f>VLOOKUP(Table1[[#This Row],[Reference]],metron,10,FALSE)</f>
        <v>2.5405629139072849</v>
      </c>
      <c r="BW278">
        <f>VLOOKUP(Table1[[#This Row],[Reference]],metron,11,FALSE)</f>
        <v>1.4888836329233679</v>
      </c>
      <c r="BX278">
        <f>VLOOKUP(Table1[[#This Row],[Reference]],metron,12,FALSE)</f>
        <v>1.0516792809839171</v>
      </c>
      <c r="BY278" s="6">
        <f>VLOOKUP(Table1[[#This Row],[Reference]],metron,13,FALSE)</f>
        <v>0.64581362346263005</v>
      </c>
      <c r="BZ278" s="6">
        <f>VLOOKUP(Table1[[#This Row],[Reference]],metron,14,FALSE)</f>
        <v>0.45364238410596031</v>
      </c>
      <c r="CA278" s="6">
        <f>VLOOKUP(Table1[[#This Row],[Reference]],metron,15,FALSE)</f>
        <v>12.686892177589851</v>
      </c>
      <c r="CB278" s="6">
        <f>VLOOKUP(Table1[[#This Row],[Reference]],metron,16,FALSE)</f>
        <v>9.8059196617336148</v>
      </c>
      <c r="CC278" s="6">
        <f>VLOOKUP(Table1[[#This Row],[Reference]],metron,17,FALSE)</f>
        <v>5.3198121263877027</v>
      </c>
      <c r="CD278" s="6">
        <f>VLOOKUP(Table1[[#This Row],[Reference]],metron,18,FALSE)</f>
        <v>4.0954312553373189</v>
      </c>
      <c r="CE278" s="6">
        <f>VLOOKUP(Table1[[#This Row],[Reference]],metron,19,FALSE)</f>
        <v>7.3670800512021479</v>
      </c>
      <c r="CF278" s="6">
        <f>VLOOKUP(Table1[[#This Row],[Reference]],metron,20,FALSE)</f>
        <v>5.710488406396296</v>
      </c>
      <c r="CG278" s="6">
        <f>VLOOKUP(Table1[[#This Row],[Reference]],metron,21,FALSE)</f>
        <v>13.0488908033599</v>
      </c>
      <c r="CH278" s="6">
        <f>VLOOKUP(Table1[[#This Row],[Reference]],metron,22,FALSE)</f>
        <v>13.714839543398661</v>
      </c>
      <c r="CI278" s="6">
        <f>VLOOKUP(Table1[[#This Row],[Reference]],metron,23,FALSE)</f>
        <v>1.567523459812322</v>
      </c>
      <c r="CJ278" s="6">
        <f>VLOOKUP(Table1[[#This Row],[Reference]],metron,24,FALSE)</f>
        <v>1.951040391676867</v>
      </c>
      <c r="CK278" s="6">
        <f>VLOOKUP(Table1[[#This Row],[Reference]],metron,25,FALSE)</f>
        <v>8.3027335781313744E-2</v>
      </c>
      <c r="CL278" s="6">
        <f>VLOOKUP(Table1[[#This Row],[Reference]],metron,26,FALSE)</f>
        <v>0.13117095063239501</v>
      </c>
    </row>
    <row r="279" spans="1:90" hidden="1" x14ac:dyDescent="0.45">
      <c r="A279" t="s">
        <v>695</v>
      </c>
      <c r="B279">
        <v>1649376000</v>
      </c>
      <c r="C279" s="23" t="s">
        <v>584</v>
      </c>
      <c r="D279" t="s">
        <v>65</v>
      </c>
      <c r="E279" t="s">
        <v>66</v>
      </c>
      <c r="F279" t="s">
        <v>84</v>
      </c>
      <c r="G279" t="s">
        <v>107</v>
      </c>
      <c r="H279" t="s">
        <v>66</v>
      </c>
      <c r="I279">
        <f>MROUND(Table1[[#This Row],[ProbH]]*100,2)/100</f>
        <v>0.38</v>
      </c>
      <c r="J279">
        <f>1/Table1[[#This Row],[odds_ft_home_team_win]]-Table1[[#This Row],[Margin]]</f>
        <v>0.3761652809271856</v>
      </c>
      <c r="K279">
        <f>1/Table1[[#This Row],[odds_ft_draw]]-Table1[[#This Row],[Margin]]</f>
        <v>0.28546233308138064</v>
      </c>
      <c r="L279">
        <f>1/Table1[[#This Row],[odds_ft_away_team_win]]-Table1[[#This Row],[Margin]]</f>
        <v>0.33837238599143354</v>
      </c>
      <c r="M279">
        <v>9</v>
      </c>
      <c r="N279">
        <v>1.62</v>
      </c>
      <c r="O279">
        <v>1.6</v>
      </c>
      <c r="P279">
        <v>1.89</v>
      </c>
      <c r="Q279">
        <v>1.48</v>
      </c>
      <c r="R279" t="str" cm="1">
        <f t="array" ref="R2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9">
        <v>2</v>
      </c>
      <c r="T279">
        <v>1</v>
      </c>
      <c r="U279">
        <v>3</v>
      </c>
      <c r="V279">
        <v>0</v>
      </c>
      <c r="W279">
        <v>0</v>
      </c>
      <c r="X279">
        <v>0</v>
      </c>
      <c r="Y279" t="s">
        <v>585</v>
      </c>
      <c r="Z279">
        <v>65</v>
      </c>
      <c r="AA279">
        <v>5</v>
      </c>
      <c r="AB279">
        <v>3</v>
      </c>
      <c r="AC279">
        <v>1</v>
      </c>
      <c r="AD279">
        <v>0</v>
      </c>
      <c r="AE279">
        <v>2</v>
      </c>
      <c r="AF279">
        <v>0</v>
      </c>
      <c r="AG279">
        <v>0</v>
      </c>
      <c r="AH279">
        <v>1</v>
      </c>
      <c r="AI279">
        <v>2</v>
      </c>
      <c r="AJ279">
        <v>0</v>
      </c>
      <c r="AK279">
        <v>19</v>
      </c>
      <c r="AL279">
        <v>7</v>
      </c>
      <c r="AM279">
        <v>9</v>
      </c>
      <c r="AN279">
        <v>3</v>
      </c>
      <c r="AO279">
        <v>10</v>
      </c>
      <c r="AP279">
        <v>4</v>
      </c>
      <c r="AQ279">
        <v>9</v>
      </c>
      <c r="AR279">
        <v>10</v>
      </c>
      <c r="AS279">
        <v>45</v>
      </c>
      <c r="AT279">
        <v>55</v>
      </c>
      <c r="AU279">
        <v>2.08</v>
      </c>
      <c r="AV279">
        <v>0.97</v>
      </c>
      <c r="AW279">
        <v>2.5499999999999998</v>
      </c>
      <c r="AX279">
        <v>65</v>
      </c>
      <c r="AY279">
        <v>81</v>
      </c>
      <c r="AZ279">
        <v>53</v>
      </c>
      <c r="BA279">
        <v>22</v>
      </c>
      <c r="BB279">
        <v>4</v>
      </c>
      <c r="BC279">
        <v>43</v>
      </c>
      <c r="BD279">
        <v>79</v>
      </c>
      <c r="BE279">
        <v>34</v>
      </c>
      <c r="BF279">
        <v>78</v>
      </c>
      <c r="BG279">
        <v>9.43</v>
      </c>
      <c r="BH279">
        <v>4.2699999999999996</v>
      </c>
      <c r="BI279">
        <v>2.4500000000000002</v>
      </c>
      <c r="BJ279">
        <v>3.15</v>
      </c>
      <c r="BK279">
        <v>2.7</v>
      </c>
      <c r="BL279">
        <f>(1/Table1[[#This Row],[odds_ft_home_team_win]]+1/Table1[[#This Row],[odds_ft_draw]]+1/Table1[[#This Row],[odds_ft_away_team_win]]-1)/3</f>
        <v>3.1997984378936785E-2</v>
      </c>
      <c r="BM279">
        <v>1.3</v>
      </c>
      <c r="BN279">
        <v>1.75</v>
      </c>
      <c r="BO279">
        <v>3.25</v>
      </c>
      <c r="BP279">
        <v>6</v>
      </c>
      <c r="BQ279">
        <v>1.73</v>
      </c>
      <c r="BR279">
        <v>2</v>
      </c>
      <c r="BS279" t="s">
        <v>88</v>
      </c>
      <c r="BT279">
        <f>VLOOKUP(Table1[[#This Row],[Reference]],metron,8,FALSE)</f>
        <v>1.464160929441638</v>
      </c>
      <c r="BU279">
        <f>VLOOKUP(Table1[[#This Row],[Reference]],metron,9,FALSE)</f>
        <v>1.2477119808919459</v>
      </c>
      <c r="BV279">
        <f>VLOOKUP(Table1[[#This Row],[Reference]],metron,10,FALSE)</f>
        <v>2.4900895140664963</v>
      </c>
      <c r="BW279">
        <f>VLOOKUP(Table1[[#This Row],[Reference]],metron,11,FALSE)</f>
        <v>1.330562659846547</v>
      </c>
      <c r="BX279">
        <f>VLOOKUP(Table1[[#This Row],[Reference]],metron,12,FALSE)</f>
        <v>1.1595268542199491</v>
      </c>
      <c r="BY279" s="6">
        <f>VLOOKUP(Table1[[#This Row],[Reference]],metron,13,FALSE)</f>
        <v>0.59053607588191415</v>
      </c>
      <c r="BZ279" s="6">
        <f>VLOOKUP(Table1[[#This Row],[Reference]],metron,14,FALSE)</f>
        <v>0.50069274219332838</v>
      </c>
      <c r="CA279" s="6">
        <f>VLOOKUP(Table1[[#This Row],[Reference]],metron,15,FALSE)</f>
        <v>11.79715236686391</v>
      </c>
      <c r="CB279" s="6">
        <f>VLOOKUP(Table1[[#This Row],[Reference]],metron,16,FALSE)</f>
        <v>10.317122781065089</v>
      </c>
      <c r="CC279" s="6">
        <f>VLOOKUP(Table1[[#This Row],[Reference]],metron,17,FALSE)</f>
        <v>5.0637025966747622</v>
      </c>
      <c r="CD279" s="6">
        <f>VLOOKUP(Table1[[#This Row],[Reference]],metron,18,FALSE)</f>
        <v>4.4674014571268454</v>
      </c>
      <c r="CE279" s="6">
        <f>VLOOKUP(Table1[[#This Row],[Reference]],metron,19,FALSE)</f>
        <v>6.7334497701891483</v>
      </c>
      <c r="CF279" s="6">
        <f>VLOOKUP(Table1[[#This Row],[Reference]],metron,20,FALSE)</f>
        <v>5.849721323938244</v>
      </c>
      <c r="CG279" s="6">
        <f>VLOOKUP(Table1[[#This Row],[Reference]],metron,21,FALSE)</f>
        <v>12.89644194756554</v>
      </c>
      <c r="CH279" s="6">
        <f>VLOOKUP(Table1[[#This Row],[Reference]],metron,22,FALSE)</f>
        <v>13.3434456928839</v>
      </c>
      <c r="CI279" s="6">
        <f>VLOOKUP(Table1[[#This Row],[Reference]],metron,23,FALSE)</f>
        <v>1.6144382124117971</v>
      </c>
      <c r="CJ279" s="6">
        <f>VLOOKUP(Table1[[#This Row],[Reference]],metron,24,FALSE)</f>
        <v>1.9032024606477289</v>
      </c>
      <c r="CK279" s="6">
        <f>VLOOKUP(Table1[[#This Row],[Reference]],metron,25,FALSE)</f>
        <v>9.372172969060974E-2</v>
      </c>
      <c r="CL279" s="6">
        <f>VLOOKUP(Table1[[#This Row],[Reference]],metron,26,FALSE)</f>
        <v>0.11669983716301791</v>
      </c>
    </row>
    <row r="280" spans="1:90" hidden="1" x14ac:dyDescent="0.45">
      <c r="A280" t="s">
        <v>695</v>
      </c>
      <c r="B280">
        <v>1649383200</v>
      </c>
      <c r="C280" s="23" t="s">
        <v>586</v>
      </c>
      <c r="D280" t="s">
        <v>65</v>
      </c>
      <c r="E280" t="s">
        <v>66</v>
      </c>
      <c r="F280" t="s">
        <v>97</v>
      </c>
      <c r="G280" t="s">
        <v>72</v>
      </c>
      <c r="H280" t="s">
        <v>74</v>
      </c>
      <c r="I280">
        <f>MROUND(Table1[[#This Row],[ProbH]]*100,2)/100</f>
        <v>0.48</v>
      </c>
      <c r="J280">
        <f>1/Table1[[#This Row],[odds_ft_home_team_win]]-Table1[[#This Row],[Margin]]</f>
        <v>0.48299319727891155</v>
      </c>
      <c r="K280">
        <f>1/Table1[[#This Row],[odds_ft_draw]]-Table1[[#This Row],[Margin]]</f>
        <v>0.30612244897959179</v>
      </c>
      <c r="L280">
        <f>1/Table1[[#This Row],[odds_ft_away_team_win]]-Table1[[#This Row],[Margin]]</f>
        <v>0.21088435374149656</v>
      </c>
      <c r="M280">
        <v>13</v>
      </c>
      <c r="N280">
        <v>1.53</v>
      </c>
      <c r="O280">
        <v>1.27</v>
      </c>
      <c r="P280">
        <v>1.55</v>
      </c>
      <c r="Q280">
        <v>1.28</v>
      </c>
      <c r="R280" t="str" cm="1">
        <f t="array" ref="R2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0">
        <v>2</v>
      </c>
      <c r="T280">
        <v>1</v>
      </c>
      <c r="U280">
        <v>3</v>
      </c>
      <c r="V280">
        <v>1</v>
      </c>
      <c r="W280">
        <v>1</v>
      </c>
      <c r="X280">
        <v>0</v>
      </c>
      <c r="Y280" t="s">
        <v>587</v>
      </c>
      <c r="Z280">
        <v>49</v>
      </c>
      <c r="AA280">
        <v>5</v>
      </c>
      <c r="AB280">
        <v>5</v>
      </c>
      <c r="AC280">
        <v>0</v>
      </c>
      <c r="AD280">
        <v>0</v>
      </c>
      <c r="AE280">
        <v>2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20</v>
      </c>
      <c r="AL280">
        <v>14</v>
      </c>
      <c r="AM280">
        <v>9</v>
      </c>
      <c r="AN280">
        <v>7</v>
      </c>
      <c r="AO280">
        <v>11</v>
      </c>
      <c r="AP280">
        <v>7</v>
      </c>
      <c r="AQ280">
        <v>7</v>
      </c>
      <c r="AR280">
        <v>17</v>
      </c>
      <c r="AS280">
        <v>49</v>
      </c>
      <c r="AT280">
        <v>51</v>
      </c>
      <c r="AU280">
        <v>2.23</v>
      </c>
      <c r="AV280">
        <v>1.56</v>
      </c>
      <c r="AW280">
        <v>1.87</v>
      </c>
      <c r="AX280">
        <v>39</v>
      </c>
      <c r="AY280">
        <v>60</v>
      </c>
      <c r="AZ280">
        <v>33</v>
      </c>
      <c r="BA280">
        <v>7</v>
      </c>
      <c r="BB280">
        <v>4</v>
      </c>
      <c r="BC280">
        <v>13</v>
      </c>
      <c r="BD280">
        <v>51</v>
      </c>
      <c r="BE280">
        <v>42</v>
      </c>
      <c r="BF280">
        <v>78</v>
      </c>
      <c r="BG280">
        <v>8.98</v>
      </c>
      <c r="BH280">
        <v>5.4</v>
      </c>
      <c r="BI280">
        <v>1.96</v>
      </c>
      <c r="BJ280">
        <v>3</v>
      </c>
      <c r="BK280">
        <v>4.2</v>
      </c>
      <c r="BL280">
        <f>(1/Table1[[#This Row],[odds_ft_home_team_win]]+1/Table1[[#This Row],[odds_ft_draw]]+1/Table1[[#This Row],[odds_ft_away_team_win]]-1)/3</f>
        <v>2.7210884353741527E-2</v>
      </c>
      <c r="BM280">
        <v>1.52</v>
      </c>
      <c r="BN280">
        <v>1.74</v>
      </c>
      <c r="BO280">
        <v>3</v>
      </c>
      <c r="BP280">
        <v>5.5</v>
      </c>
      <c r="BQ280">
        <v>1.73</v>
      </c>
      <c r="BR280">
        <v>2</v>
      </c>
      <c r="BS280" t="s">
        <v>136</v>
      </c>
      <c r="BT280">
        <f>VLOOKUP(Table1[[#This Row],[Reference]],metron,8,FALSE)</f>
        <v>1.743992017160418</v>
      </c>
      <c r="BU280">
        <f>VLOOKUP(Table1[[#This Row],[Reference]],metron,9,FALSE)</f>
        <v>0.97803937284245479</v>
      </c>
      <c r="BV280">
        <f>VLOOKUP(Table1[[#This Row],[Reference]],metron,10,FALSE)</f>
        <v>2.5271929824561399</v>
      </c>
      <c r="BW280">
        <f>VLOOKUP(Table1[[#This Row],[Reference]],metron,11,FALSE)</f>
        <v>1.510877192982456</v>
      </c>
      <c r="BX280">
        <f>VLOOKUP(Table1[[#This Row],[Reference]],metron,12,FALSE)</f>
        <v>1.0163157894736841</v>
      </c>
      <c r="BY280" s="6">
        <f>VLOOKUP(Table1[[#This Row],[Reference]],metron,13,FALSE)</f>
        <v>0.67350877192982461</v>
      </c>
      <c r="BZ280" s="6">
        <f>VLOOKUP(Table1[[#This Row],[Reference]],metron,14,FALSE)</f>
        <v>0.4442105263157895</v>
      </c>
      <c r="CA280" s="6">
        <f>VLOOKUP(Table1[[#This Row],[Reference]],metron,15,FALSE)</f>
        <v>12.80980392156863</v>
      </c>
      <c r="CB280" s="6">
        <f>VLOOKUP(Table1[[#This Row],[Reference]],metron,16,FALSE)</f>
        <v>9.6872549019607845</v>
      </c>
      <c r="CC280" s="6">
        <f>VLOOKUP(Table1[[#This Row],[Reference]],metron,17,FALSE)</f>
        <v>5.6491169610129957</v>
      </c>
      <c r="CD280" s="6">
        <f>VLOOKUP(Table1[[#This Row],[Reference]],metron,18,FALSE)</f>
        <v>4.1379540153282237</v>
      </c>
      <c r="CE280" s="6">
        <f>VLOOKUP(Table1[[#This Row],[Reference]],metron,19,FALSE)</f>
        <v>7.1606869605556343</v>
      </c>
      <c r="CF280" s="6">
        <f>VLOOKUP(Table1[[#This Row],[Reference]],metron,20,FALSE)</f>
        <v>5.5493008866325608</v>
      </c>
      <c r="CG280" s="6">
        <f>VLOOKUP(Table1[[#This Row],[Reference]],metron,21,FALSE)</f>
        <v>12.9029029029029</v>
      </c>
      <c r="CH280" s="6">
        <f>VLOOKUP(Table1[[#This Row],[Reference]],metron,22,FALSE)</f>
        <v>13.75508842175509</v>
      </c>
      <c r="CI280" s="6">
        <f>VLOOKUP(Table1[[#This Row],[Reference]],metron,23,FALSE)</f>
        <v>1.5287356321839081</v>
      </c>
      <c r="CJ280" s="6">
        <f>VLOOKUP(Table1[[#This Row],[Reference]],metron,24,FALSE)</f>
        <v>1.9664750957854411</v>
      </c>
      <c r="CK280" s="6">
        <f>VLOOKUP(Table1[[#This Row],[Reference]],metron,25,FALSE)</f>
        <v>8.8441890166028103E-2</v>
      </c>
      <c r="CL280" s="6">
        <f>VLOOKUP(Table1[[#This Row],[Reference]],metron,26,FALSE)</f>
        <v>0.13409961685823751</v>
      </c>
    </row>
    <row r="281" spans="1:90" hidden="1" x14ac:dyDescent="0.45">
      <c r="A281" t="s">
        <v>695</v>
      </c>
      <c r="B281">
        <v>1649462400</v>
      </c>
      <c r="C281" s="23" t="s">
        <v>588</v>
      </c>
      <c r="D281" t="s">
        <v>65</v>
      </c>
      <c r="E281" t="s">
        <v>66</v>
      </c>
      <c r="F281" t="s">
        <v>102</v>
      </c>
      <c r="G281" t="s">
        <v>96</v>
      </c>
      <c r="H281" t="s">
        <v>175</v>
      </c>
      <c r="I281">
        <f>MROUND(Table1[[#This Row],[ProbH]]*100,2)/100</f>
        <v>0.46</v>
      </c>
      <c r="J281">
        <f>1/Table1[[#This Row],[odds_ft_home_team_win]]-Table1[[#This Row],[Margin]]</f>
        <v>0.45496238179165016</v>
      </c>
      <c r="K281">
        <f>1/Table1[[#This Row],[odds_ft_draw]]-Table1[[#This Row],[Margin]]</f>
        <v>0.27018780677317267</v>
      </c>
      <c r="L281">
        <f>1/Table1[[#This Row],[odds_ft_away_team_win]]-Table1[[#This Row],[Margin]]</f>
        <v>0.27484981143517734</v>
      </c>
      <c r="M281">
        <v>13</v>
      </c>
      <c r="N281">
        <v>1.53</v>
      </c>
      <c r="O281">
        <v>1.29</v>
      </c>
      <c r="P281">
        <v>1.38</v>
      </c>
      <c r="Q281">
        <v>1.1000000000000001</v>
      </c>
      <c r="R281" t="str" cm="1">
        <f t="array" ref="R2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1">
        <v>2</v>
      </c>
      <c r="T281">
        <v>2</v>
      </c>
      <c r="U281">
        <v>4</v>
      </c>
      <c r="V281">
        <v>3</v>
      </c>
      <c r="W281">
        <v>2</v>
      </c>
      <c r="X281">
        <v>1</v>
      </c>
      <c r="Y281" t="s">
        <v>589</v>
      </c>
      <c r="Z281" t="s">
        <v>590</v>
      </c>
      <c r="AA281">
        <v>2</v>
      </c>
      <c r="AB281">
        <v>6</v>
      </c>
      <c r="AC281">
        <v>4</v>
      </c>
      <c r="AD281">
        <v>0</v>
      </c>
      <c r="AE281">
        <v>2</v>
      </c>
      <c r="AF281">
        <v>0</v>
      </c>
      <c r="AG281">
        <v>1</v>
      </c>
      <c r="AH281">
        <v>3</v>
      </c>
      <c r="AI281">
        <v>0</v>
      </c>
      <c r="AJ281">
        <v>2</v>
      </c>
      <c r="AK281">
        <v>7</v>
      </c>
      <c r="AL281">
        <v>11</v>
      </c>
      <c r="AM281">
        <v>6</v>
      </c>
      <c r="AN281">
        <v>5</v>
      </c>
      <c r="AO281">
        <v>1</v>
      </c>
      <c r="AP281">
        <v>6</v>
      </c>
      <c r="AQ281">
        <v>15</v>
      </c>
      <c r="AR281">
        <v>9</v>
      </c>
      <c r="AS281">
        <v>45</v>
      </c>
      <c r="AT281">
        <v>55</v>
      </c>
      <c r="AU281">
        <v>1.1000000000000001</v>
      </c>
      <c r="AV281">
        <v>1.21</v>
      </c>
      <c r="AW281">
        <v>2.38</v>
      </c>
      <c r="AX281">
        <v>59</v>
      </c>
      <c r="AY281">
        <v>74</v>
      </c>
      <c r="AZ281">
        <v>44</v>
      </c>
      <c r="BA281">
        <v>24</v>
      </c>
      <c r="BB281">
        <v>3</v>
      </c>
      <c r="BC281">
        <v>29</v>
      </c>
      <c r="BD281">
        <v>62</v>
      </c>
      <c r="BE281">
        <v>38</v>
      </c>
      <c r="BF281">
        <v>85</v>
      </c>
      <c r="BG281">
        <v>9</v>
      </c>
      <c r="BH281">
        <v>5.65</v>
      </c>
      <c r="BI281">
        <v>2.0499999999999998</v>
      </c>
      <c r="BJ281">
        <v>3.3</v>
      </c>
      <c r="BK281">
        <v>3.25</v>
      </c>
      <c r="BL281">
        <f>(1/Table1[[#This Row],[odds_ft_home_team_win]]+1/Table1[[#This Row],[odds_ft_draw]]+1/Table1[[#This Row],[odds_ft_away_team_win]]-1)/3</f>
        <v>3.2842496257130392E-2</v>
      </c>
      <c r="BM281">
        <v>1.29</v>
      </c>
      <c r="BN281">
        <v>1.91</v>
      </c>
      <c r="BO281">
        <v>3</v>
      </c>
      <c r="BP281">
        <v>5.5</v>
      </c>
      <c r="BQ281">
        <v>1.7</v>
      </c>
      <c r="BR281">
        <v>2.0499999999999998</v>
      </c>
      <c r="BS281" t="s">
        <v>124</v>
      </c>
      <c r="BT281">
        <f>VLOOKUP(Table1[[#This Row],[Reference]],metron,8,FALSE)</f>
        <v>1.6955772349985931</v>
      </c>
      <c r="BU281">
        <f>VLOOKUP(Table1[[#This Row],[Reference]],metron,9,FALSE)</f>
        <v>1.0239029519551039</v>
      </c>
      <c r="BV281">
        <f>VLOOKUP(Table1[[#This Row],[Reference]],metron,10,FALSE)</f>
        <v>2.5405629139072849</v>
      </c>
      <c r="BW281">
        <f>VLOOKUP(Table1[[#This Row],[Reference]],metron,11,FALSE)</f>
        <v>1.4888836329233679</v>
      </c>
      <c r="BX281">
        <f>VLOOKUP(Table1[[#This Row],[Reference]],metron,12,FALSE)</f>
        <v>1.0516792809839171</v>
      </c>
      <c r="BY281" s="6">
        <f>VLOOKUP(Table1[[#This Row],[Reference]],metron,13,FALSE)</f>
        <v>0.64581362346263005</v>
      </c>
      <c r="BZ281" s="6">
        <f>VLOOKUP(Table1[[#This Row],[Reference]],metron,14,FALSE)</f>
        <v>0.45364238410596031</v>
      </c>
      <c r="CA281" s="6">
        <f>VLOOKUP(Table1[[#This Row],[Reference]],metron,15,FALSE)</f>
        <v>12.686892177589851</v>
      </c>
      <c r="CB281" s="6">
        <f>VLOOKUP(Table1[[#This Row],[Reference]],metron,16,FALSE)</f>
        <v>9.8059196617336148</v>
      </c>
      <c r="CC281" s="6">
        <f>VLOOKUP(Table1[[#This Row],[Reference]],metron,17,FALSE)</f>
        <v>5.3198121263877027</v>
      </c>
      <c r="CD281" s="6">
        <f>VLOOKUP(Table1[[#This Row],[Reference]],metron,18,FALSE)</f>
        <v>4.0954312553373189</v>
      </c>
      <c r="CE281" s="6">
        <f>VLOOKUP(Table1[[#This Row],[Reference]],metron,19,FALSE)</f>
        <v>7.3670800512021479</v>
      </c>
      <c r="CF281" s="6">
        <f>VLOOKUP(Table1[[#This Row],[Reference]],metron,20,FALSE)</f>
        <v>5.710488406396296</v>
      </c>
      <c r="CG281" s="6">
        <f>VLOOKUP(Table1[[#This Row],[Reference]],metron,21,FALSE)</f>
        <v>13.0488908033599</v>
      </c>
      <c r="CH281" s="6">
        <f>VLOOKUP(Table1[[#This Row],[Reference]],metron,22,FALSE)</f>
        <v>13.714839543398661</v>
      </c>
      <c r="CI281" s="6">
        <f>VLOOKUP(Table1[[#This Row],[Reference]],metron,23,FALSE)</f>
        <v>1.567523459812322</v>
      </c>
      <c r="CJ281" s="6">
        <f>VLOOKUP(Table1[[#This Row],[Reference]],metron,24,FALSE)</f>
        <v>1.951040391676867</v>
      </c>
      <c r="CK281" s="6">
        <f>VLOOKUP(Table1[[#This Row],[Reference]],metron,25,FALSE)</f>
        <v>8.3027335781313744E-2</v>
      </c>
      <c r="CL281" s="6">
        <f>VLOOKUP(Table1[[#This Row],[Reference]],metron,26,FALSE)</f>
        <v>0.13117095063239501</v>
      </c>
    </row>
    <row r="282" spans="1:90" hidden="1" x14ac:dyDescent="0.45">
      <c r="A282" t="s">
        <v>695</v>
      </c>
      <c r="B282">
        <v>1649469600</v>
      </c>
      <c r="C282" s="23" t="s">
        <v>591</v>
      </c>
      <c r="D282" t="s">
        <v>65</v>
      </c>
      <c r="E282" t="s">
        <v>66</v>
      </c>
      <c r="F282" t="s">
        <v>113</v>
      </c>
      <c r="G282" t="s">
        <v>112</v>
      </c>
      <c r="H282" t="s">
        <v>215</v>
      </c>
      <c r="I282">
        <f>MROUND(Table1[[#This Row],[ProbH]]*100,2)/100</f>
        <v>0.32</v>
      </c>
      <c r="J282">
        <f>1/Table1[[#This Row],[odds_ft_home_team_win]]-Table1[[#This Row],[Margin]]</f>
        <v>0.31076397285228352</v>
      </c>
      <c r="K282">
        <f>1/Table1[[#This Row],[odds_ft_draw]]-Table1[[#This Row],[Margin]]</f>
        <v>0.28851703180667726</v>
      </c>
      <c r="L282">
        <f>1/Table1[[#This Row],[odds_ft_away_team_win]]-Table1[[#This Row],[Margin]]</f>
        <v>0.40071899534103916</v>
      </c>
      <c r="M282">
        <v>13</v>
      </c>
      <c r="N282">
        <v>1.57</v>
      </c>
      <c r="O282">
        <v>1.36</v>
      </c>
      <c r="P282">
        <v>1.71</v>
      </c>
      <c r="Q282">
        <v>1.5</v>
      </c>
      <c r="R282" t="str" cm="1">
        <f t="array" ref="R2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0</v>
      </c>
      <c r="Y282">
        <v>39</v>
      </c>
      <c r="Z282">
        <v>46</v>
      </c>
      <c r="AA282">
        <v>4</v>
      </c>
      <c r="AB282">
        <v>5</v>
      </c>
      <c r="AC282">
        <v>3</v>
      </c>
      <c r="AD282">
        <v>0</v>
      </c>
      <c r="AE282">
        <v>5</v>
      </c>
      <c r="AF282">
        <v>0</v>
      </c>
      <c r="AG282">
        <v>1</v>
      </c>
      <c r="AH282">
        <v>2</v>
      </c>
      <c r="AI282">
        <v>2</v>
      </c>
      <c r="AJ282">
        <v>3</v>
      </c>
      <c r="AK282">
        <v>14</v>
      </c>
      <c r="AL282">
        <v>13</v>
      </c>
      <c r="AM282">
        <v>5</v>
      </c>
      <c r="AN282">
        <v>6</v>
      </c>
      <c r="AO282">
        <v>9</v>
      </c>
      <c r="AP282">
        <v>7</v>
      </c>
      <c r="AQ282">
        <v>13</v>
      </c>
      <c r="AR282">
        <v>15</v>
      </c>
      <c r="AS282">
        <v>52</v>
      </c>
      <c r="AT282">
        <v>48</v>
      </c>
      <c r="AU282">
        <v>1.56</v>
      </c>
      <c r="AV282">
        <v>1.48</v>
      </c>
      <c r="AW282">
        <v>2.54</v>
      </c>
      <c r="AX282">
        <v>64</v>
      </c>
      <c r="AY282">
        <v>72</v>
      </c>
      <c r="AZ282">
        <v>54</v>
      </c>
      <c r="BA282">
        <v>25</v>
      </c>
      <c r="BB282">
        <v>7</v>
      </c>
      <c r="BC282">
        <v>43</v>
      </c>
      <c r="BD282">
        <v>79</v>
      </c>
      <c r="BE282">
        <v>36</v>
      </c>
      <c r="BF282">
        <v>65</v>
      </c>
      <c r="BG282">
        <v>5.64</v>
      </c>
      <c r="BH282">
        <v>6.21</v>
      </c>
      <c r="BI282">
        <v>2.9</v>
      </c>
      <c r="BJ282">
        <v>3.1</v>
      </c>
      <c r="BK282">
        <v>2.2999999999999998</v>
      </c>
      <c r="BL282">
        <f>(1/Table1[[#This Row],[odds_ft_home_team_win]]+1/Table1[[#This Row],[odds_ft_draw]]+1/Table1[[#This Row],[odds_ft_away_team_win]]-1)/3</f>
        <v>3.4063613354613054E-2</v>
      </c>
      <c r="BM282">
        <v>0</v>
      </c>
      <c r="BN282">
        <v>2.38</v>
      </c>
      <c r="BO282">
        <v>0</v>
      </c>
      <c r="BP282">
        <v>0</v>
      </c>
      <c r="BQ282">
        <v>0</v>
      </c>
      <c r="BR282">
        <v>0</v>
      </c>
      <c r="BS282" t="s">
        <v>120</v>
      </c>
      <c r="BT282">
        <f>VLOOKUP(Table1[[#This Row],[Reference]],metron,8,FALSE)</f>
        <v>1.274681051426811</v>
      </c>
      <c r="BU282">
        <f>VLOOKUP(Table1[[#This Row],[Reference]],metron,9,FALSE)</f>
        <v>1.4392482240810365</v>
      </c>
      <c r="BV282">
        <f>VLOOKUP(Table1[[#This Row],[Reference]],metron,10,FALSE)</f>
        <v>2.5313454284174597</v>
      </c>
      <c r="BW282">
        <f>VLOOKUP(Table1[[#This Row],[Reference]],metron,11,FALSE)</f>
        <v>1.210167055864918</v>
      </c>
      <c r="BX282">
        <f>VLOOKUP(Table1[[#This Row],[Reference]],metron,12,FALSE)</f>
        <v>1.3211783725525419</v>
      </c>
      <c r="BY282" s="6">
        <f>VLOOKUP(Table1[[#This Row],[Reference]],metron,13,FALSE)</f>
        <v>0.53135669362084459</v>
      </c>
      <c r="BZ282" s="6">
        <f>VLOOKUP(Table1[[#This Row],[Reference]],metron,14,FALSE)</f>
        <v>0.55633423180592989</v>
      </c>
      <c r="CA282" s="6">
        <f>VLOOKUP(Table1[[#This Row],[Reference]],metron,15,FALSE)</f>
        <v>11.21109010712035</v>
      </c>
      <c r="CB282" s="6">
        <f>VLOOKUP(Table1[[#This Row],[Reference]],metron,16,FALSE)</f>
        <v>11.01700787401575</v>
      </c>
      <c r="CC282" s="6">
        <f>VLOOKUP(Table1[[#This Row],[Reference]],metron,17,FALSE)</f>
        <v>4.6792332268370611</v>
      </c>
      <c r="CD282" s="6">
        <f>VLOOKUP(Table1[[#This Row],[Reference]],metron,18,FALSE)</f>
        <v>4.7080804854679013</v>
      </c>
      <c r="CE282" s="6">
        <f>VLOOKUP(Table1[[#This Row],[Reference]],metron,19,FALSE)</f>
        <v>6.5318568802832893</v>
      </c>
      <c r="CF282" s="6">
        <f>VLOOKUP(Table1[[#This Row],[Reference]],metron,20,FALSE)</f>
        <v>6.3089273885478487</v>
      </c>
      <c r="CG282" s="6">
        <f>VLOOKUP(Table1[[#This Row],[Reference]],metron,21,FALSE)</f>
        <v>12.72547770700637</v>
      </c>
      <c r="CH282" s="6">
        <f>VLOOKUP(Table1[[#This Row],[Reference]],metron,22,FALSE)</f>
        <v>13.06847133757962</v>
      </c>
      <c r="CI282" s="6">
        <f>VLOOKUP(Table1[[#This Row],[Reference]],metron,23,FALSE)</f>
        <v>1.6902356902356901</v>
      </c>
      <c r="CJ282" s="6">
        <f>VLOOKUP(Table1[[#This Row],[Reference]],metron,24,FALSE)</f>
        <v>1.8050198959289869</v>
      </c>
      <c r="CK282" s="6">
        <f>VLOOKUP(Table1[[#This Row],[Reference]],metron,25,FALSE)</f>
        <v>0.105907560453015</v>
      </c>
      <c r="CL282" s="6">
        <f>VLOOKUP(Table1[[#This Row],[Reference]],metron,26,FALSE)</f>
        <v>0.1141720232629324</v>
      </c>
    </row>
    <row r="283" spans="1:90" hidden="1" x14ac:dyDescent="0.45">
      <c r="A283" t="s">
        <v>695</v>
      </c>
      <c r="B283">
        <v>1649541600</v>
      </c>
      <c r="C283" s="23" t="s">
        <v>592</v>
      </c>
      <c r="D283" t="s">
        <v>65</v>
      </c>
      <c r="E283" t="s">
        <v>66</v>
      </c>
      <c r="F283" t="s">
        <v>91</v>
      </c>
      <c r="G283" t="s">
        <v>85</v>
      </c>
      <c r="H283" t="s">
        <v>98</v>
      </c>
      <c r="I283">
        <f>MROUND(Table1[[#This Row],[ProbH]]*100,2)/100</f>
        <v>0.36</v>
      </c>
      <c r="J283">
        <f>1/Table1[[#This Row],[odds_ft_home_team_win]]-Table1[[#This Row],[Margin]]</f>
        <v>0.35699718213379411</v>
      </c>
      <c r="K283">
        <f>1/Table1[[#This Row],[odds_ft_draw]]-Table1[[#This Row],[Margin]]</f>
        <v>0.30025064997742595</v>
      </c>
      <c r="L283">
        <f>1/Table1[[#This Row],[odds_ft_away_team_win]]-Table1[[#This Row],[Margin]]</f>
        <v>0.34275216788877988</v>
      </c>
      <c r="M283">
        <v>13</v>
      </c>
      <c r="N283">
        <v>0.93</v>
      </c>
      <c r="O283">
        <v>1.59</v>
      </c>
      <c r="P283">
        <v>1.1100000000000001</v>
      </c>
      <c r="Q283">
        <v>1.4</v>
      </c>
      <c r="R283" t="str" cm="1">
        <f t="array" ref="R2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3">
        <v>2</v>
      </c>
      <c r="T283">
        <v>0</v>
      </c>
      <c r="U283">
        <v>2</v>
      </c>
      <c r="V283">
        <v>1</v>
      </c>
      <c r="W283">
        <v>1</v>
      </c>
      <c r="X283">
        <v>0</v>
      </c>
      <c r="Y283" t="s">
        <v>593</v>
      </c>
      <c r="AA283">
        <v>3</v>
      </c>
      <c r="AB283">
        <v>7</v>
      </c>
      <c r="AC283">
        <v>2</v>
      </c>
      <c r="AD283">
        <v>0</v>
      </c>
      <c r="AE283">
        <v>3</v>
      </c>
      <c r="AF283">
        <v>0</v>
      </c>
      <c r="AG283">
        <v>1</v>
      </c>
      <c r="AH283">
        <v>1</v>
      </c>
      <c r="AI283">
        <v>1</v>
      </c>
      <c r="AJ283">
        <v>2</v>
      </c>
      <c r="AK283">
        <v>16</v>
      </c>
      <c r="AL283">
        <v>15</v>
      </c>
      <c r="AM283">
        <v>6</v>
      </c>
      <c r="AN283">
        <v>4</v>
      </c>
      <c r="AO283">
        <v>10</v>
      </c>
      <c r="AP283">
        <v>11</v>
      </c>
      <c r="AQ283">
        <v>14</v>
      </c>
      <c r="AR283">
        <v>9</v>
      </c>
      <c r="AS283">
        <v>33</v>
      </c>
      <c r="AT283">
        <v>67</v>
      </c>
      <c r="AU283">
        <v>1.57</v>
      </c>
      <c r="AV283">
        <v>1.68</v>
      </c>
      <c r="AW283">
        <v>2.25</v>
      </c>
      <c r="AX283">
        <v>39</v>
      </c>
      <c r="AY283">
        <v>59</v>
      </c>
      <c r="AZ283">
        <v>39</v>
      </c>
      <c r="BA283">
        <v>17</v>
      </c>
      <c r="BB283">
        <v>7</v>
      </c>
      <c r="BC283">
        <v>23</v>
      </c>
      <c r="BD283">
        <v>65</v>
      </c>
      <c r="BE283">
        <v>27</v>
      </c>
      <c r="BF283">
        <v>76</v>
      </c>
      <c r="BG283">
        <v>8.85</v>
      </c>
      <c r="BH283">
        <v>5.14</v>
      </c>
      <c r="BI283">
        <v>2.6</v>
      </c>
      <c r="BJ283">
        <v>3.05</v>
      </c>
      <c r="BK283">
        <v>2.7</v>
      </c>
      <c r="BL283">
        <f>(1/Table1[[#This Row],[odds_ft_home_team_win]]+1/Table1[[#This Row],[odds_ft_draw]]+1/Table1[[#This Row],[odds_ft_away_team_win]]-1)/3</f>
        <v>2.7618202481590453E-2</v>
      </c>
      <c r="BM283">
        <v>1.33</v>
      </c>
      <c r="BN283">
        <v>2.12</v>
      </c>
      <c r="BO283">
        <v>3.5</v>
      </c>
      <c r="BP283">
        <v>6.8</v>
      </c>
      <c r="BQ283">
        <v>1.76</v>
      </c>
      <c r="BR283">
        <v>1.96</v>
      </c>
      <c r="BS283" t="s">
        <v>144</v>
      </c>
      <c r="BT283">
        <f>VLOOKUP(Table1[[#This Row],[Reference]],metron,8,FALSE)</f>
        <v>1.4023864615972674</v>
      </c>
      <c r="BU283">
        <f>VLOOKUP(Table1[[#This Row],[Reference]],metron,9,FALSE)</f>
        <v>1.3093265904245279</v>
      </c>
      <c r="BV283">
        <f>VLOOKUP(Table1[[#This Row],[Reference]],metron,10,FALSE)</f>
        <v>2.5110350525197691</v>
      </c>
      <c r="BW283">
        <f>VLOOKUP(Table1[[#This Row],[Reference]],metron,11,FALSE)</f>
        <v>1.269326094653606</v>
      </c>
      <c r="BX283">
        <f>VLOOKUP(Table1[[#This Row],[Reference]],metron,12,FALSE)</f>
        <v>1.2417089578661631</v>
      </c>
      <c r="BY283" s="6">
        <f>VLOOKUP(Table1[[#This Row],[Reference]],metron,13,FALSE)</f>
        <v>0.56586402266288949</v>
      </c>
      <c r="BZ283" s="6">
        <f>VLOOKUP(Table1[[#This Row],[Reference]],metron,14,FALSE)</f>
        <v>0.55158168083097259</v>
      </c>
      <c r="CA283" s="6">
        <f>VLOOKUP(Table1[[#This Row],[Reference]],metron,15,FALSE)</f>
        <v>11.49400826446281</v>
      </c>
      <c r="CB283" s="6">
        <f>VLOOKUP(Table1[[#This Row],[Reference]],metron,16,FALSE)</f>
        <v>10.507231404958681</v>
      </c>
      <c r="CC283" s="6">
        <f>VLOOKUP(Table1[[#This Row],[Reference]],metron,17,FALSE)</f>
        <v>4.9238790406673623</v>
      </c>
      <c r="CD283" s="6">
        <f>VLOOKUP(Table1[[#This Row],[Reference]],metron,18,FALSE)</f>
        <v>4.6296141814389991</v>
      </c>
      <c r="CE283" s="6">
        <f>VLOOKUP(Table1[[#This Row],[Reference]],metron,19,FALSE)</f>
        <v>6.5701292237954476</v>
      </c>
      <c r="CF283" s="6">
        <f>VLOOKUP(Table1[[#This Row],[Reference]],metron,20,FALSE)</f>
        <v>5.8776172235196817</v>
      </c>
      <c r="CG283" s="6">
        <f>VLOOKUP(Table1[[#This Row],[Reference]],metron,21,FALSE)</f>
        <v>12.798739495798319</v>
      </c>
      <c r="CH283" s="6">
        <f>VLOOKUP(Table1[[#This Row],[Reference]],metron,22,FALSE)</f>
        <v>12.98844537815126</v>
      </c>
      <c r="CI283" s="6">
        <f>VLOOKUP(Table1[[#This Row],[Reference]],metron,23,FALSE)</f>
        <v>1.604928297313674</v>
      </c>
      <c r="CJ283" s="6">
        <f>VLOOKUP(Table1[[#This Row],[Reference]],metron,24,FALSE)</f>
        <v>1.791961219955565</v>
      </c>
      <c r="CK283" s="6">
        <f>VLOOKUP(Table1[[#This Row],[Reference]],metron,25,FALSE)</f>
        <v>8.887093516461321E-2</v>
      </c>
      <c r="CL283" s="6">
        <f>VLOOKUP(Table1[[#This Row],[Reference]],metron,26,FALSE)</f>
        <v>0.11694607150070691</v>
      </c>
    </row>
    <row r="284" spans="1:90" hidden="1" x14ac:dyDescent="0.45">
      <c r="A284" t="s">
        <v>695</v>
      </c>
      <c r="B284">
        <v>1649548800</v>
      </c>
      <c r="C284" s="23" t="s">
        <v>594</v>
      </c>
      <c r="D284" t="s">
        <v>65</v>
      </c>
      <c r="E284" t="s">
        <v>66</v>
      </c>
      <c r="F284" t="s">
        <v>79</v>
      </c>
      <c r="G284" t="s">
        <v>90</v>
      </c>
      <c r="H284" t="s">
        <v>108</v>
      </c>
      <c r="I284">
        <f>MROUND(Table1[[#This Row],[ProbH]]*100,2)/100</f>
        <v>0.38</v>
      </c>
      <c r="J284">
        <f>1/Table1[[#This Row],[odds_ft_home_team_win]]-Table1[[#This Row],[Margin]]</f>
        <v>0.37237654320987656</v>
      </c>
      <c r="K284">
        <f>1/Table1[[#This Row],[odds_ft_draw]]-Table1[[#This Row],[Margin]]</f>
        <v>0.28487654320987654</v>
      </c>
      <c r="L284">
        <f>1/Table1[[#This Row],[odds_ft_away_team_win]]-Table1[[#This Row],[Margin]]</f>
        <v>0.34274691358024689</v>
      </c>
      <c r="M284">
        <v>13</v>
      </c>
      <c r="N284">
        <v>1.33</v>
      </c>
      <c r="O284">
        <v>1.1299999999999999</v>
      </c>
      <c r="P284">
        <v>1.17</v>
      </c>
      <c r="Q284">
        <v>1.32</v>
      </c>
      <c r="R284" t="str" cm="1">
        <f t="array" ref="R2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0</v>
      </c>
      <c r="Y284" t="s">
        <v>304</v>
      </c>
      <c r="Z284">
        <v>68</v>
      </c>
      <c r="AA284">
        <v>6</v>
      </c>
      <c r="AB284">
        <v>4</v>
      </c>
      <c r="AC284">
        <v>3</v>
      </c>
      <c r="AD284">
        <v>0</v>
      </c>
      <c r="AE284">
        <v>3</v>
      </c>
      <c r="AF284">
        <v>1</v>
      </c>
      <c r="AG284">
        <v>2</v>
      </c>
      <c r="AH284">
        <v>1</v>
      </c>
      <c r="AI284">
        <v>3</v>
      </c>
      <c r="AJ284">
        <v>1</v>
      </c>
      <c r="AK284">
        <v>16</v>
      </c>
      <c r="AL284">
        <v>10</v>
      </c>
      <c r="AM284">
        <v>7</v>
      </c>
      <c r="AN284">
        <v>3</v>
      </c>
      <c r="AO284">
        <v>9</v>
      </c>
      <c r="AP284">
        <v>7</v>
      </c>
      <c r="AQ284">
        <v>15</v>
      </c>
      <c r="AR284">
        <v>12</v>
      </c>
      <c r="AS284">
        <v>60</v>
      </c>
      <c r="AT284">
        <v>40</v>
      </c>
      <c r="AU284">
        <v>1.84</v>
      </c>
      <c r="AV284">
        <v>0.98</v>
      </c>
      <c r="AW284">
        <v>2.4700000000000002</v>
      </c>
      <c r="AX284">
        <v>67</v>
      </c>
      <c r="AY284">
        <v>73</v>
      </c>
      <c r="AZ284">
        <v>60</v>
      </c>
      <c r="BA284">
        <v>30</v>
      </c>
      <c r="BB284">
        <v>4</v>
      </c>
      <c r="BC284">
        <v>47</v>
      </c>
      <c r="BD284">
        <v>60</v>
      </c>
      <c r="BE284">
        <v>47</v>
      </c>
      <c r="BF284">
        <v>70</v>
      </c>
      <c r="BG284">
        <v>8.27</v>
      </c>
      <c r="BH284">
        <v>5.67</v>
      </c>
      <c r="BI284">
        <v>2.5</v>
      </c>
      <c r="BJ284">
        <v>3.2</v>
      </c>
      <c r="BK284">
        <v>2.7</v>
      </c>
      <c r="BL284">
        <f>(1/Table1[[#This Row],[odds_ft_home_team_win]]+1/Table1[[#This Row],[odds_ft_draw]]+1/Table1[[#This Row],[odds_ft_away_team_win]]-1)/3</f>
        <v>2.7623456790123457E-2</v>
      </c>
      <c r="BM284">
        <v>1.36</v>
      </c>
      <c r="BN284">
        <v>2.04</v>
      </c>
      <c r="BO284">
        <v>3.5</v>
      </c>
      <c r="BP284">
        <v>6.5</v>
      </c>
      <c r="BQ284">
        <v>1.8</v>
      </c>
      <c r="BR284">
        <v>1.91</v>
      </c>
      <c r="BS284" t="s">
        <v>140</v>
      </c>
      <c r="BT284">
        <f>VLOOKUP(Table1[[#This Row],[Reference]],metron,8,FALSE)</f>
        <v>1.464160929441638</v>
      </c>
      <c r="BU284">
        <f>VLOOKUP(Table1[[#This Row],[Reference]],metron,9,FALSE)</f>
        <v>1.2477119808919459</v>
      </c>
      <c r="BV284">
        <f>VLOOKUP(Table1[[#This Row],[Reference]],metron,10,FALSE)</f>
        <v>2.4900895140664963</v>
      </c>
      <c r="BW284">
        <f>VLOOKUP(Table1[[#This Row],[Reference]],metron,11,FALSE)</f>
        <v>1.330562659846547</v>
      </c>
      <c r="BX284">
        <f>VLOOKUP(Table1[[#This Row],[Reference]],metron,12,FALSE)</f>
        <v>1.1595268542199491</v>
      </c>
      <c r="BY284" s="6">
        <f>VLOOKUP(Table1[[#This Row],[Reference]],metron,13,FALSE)</f>
        <v>0.59053607588191415</v>
      </c>
      <c r="BZ284" s="6">
        <f>VLOOKUP(Table1[[#This Row],[Reference]],metron,14,FALSE)</f>
        <v>0.50069274219332838</v>
      </c>
      <c r="CA284" s="6">
        <f>VLOOKUP(Table1[[#This Row],[Reference]],metron,15,FALSE)</f>
        <v>11.79715236686391</v>
      </c>
      <c r="CB284" s="6">
        <f>VLOOKUP(Table1[[#This Row],[Reference]],metron,16,FALSE)</f>
        <v>10.317122781065089</v>
      </c>
      <c r="CC284" s="6">
        <f>VLOOKUP(Table1[[#This Row],[Reference]],metron,17,FALSE)</f>
        <v>5.0637025966747622</v>
      </c>
      <c r="CD284" s="6">
        <f>VLOOKUP(Table1[[#This Row],[Reference]],metron,18,FALSE)</f>
        <v>4.4674014571268454</v>
      </c>
      <c r="CE284" s="6">
        <f>VLOOKUP(Table1[[#This Row],[Reference]],metron,19,FALSE)</f>
        <v>6.7334497701891483</v>
      </c>
      <c r="CF284" s="6">
        <f>VLOOKUP(Table1[[#This Row],[Reference]],metron,20,FALSE)</f>
        <v>5.849721323938244</v>
      </c>
      <c r="CG284" s="6">
        <f>VLOOKUP(Table1[[#This Row],[Reference]],metron,21,FALSE)</f>
        <v>12.89644194756554</v>
      </c>
      <c r="CH284" s="6">
        <f>VLOOKUP(Table1[[#This Row],[Reference]],metron,22,FALSE)</f>
        <v>13.3434456928839</v>
      </c>
      <c r="CI284" s="6">
        <f>VLOOKUP(Table1[[#This Row],[Reference]],metron,23,FALSE)</f>
        <v>1.6144382124117971</v>
      </c>
      <c r="CJ284" s="6">
        <f>VLOOKUP(Table1[[#This Row],[Reference]],metron,24,FALSE)</f>
        <v>1.9032024606477289</v>
      </c>
      <c r="CK284" s="6">
        <f>VLOOKUP(Table1[[#This Row],[Reference]],metron,25,FALSE)</f>
        <v>9.372172969060974E-2</v>
      </c>
      <c r="CL284" s="6">
        <f>VLOOKUP(Table1[[#This Row],[Reference]],metron,26,FALSE)</f>
        <v>0.11669983716301791</v>
      </c>
    </row>
    <row r="285" spans="1:90" hidden="1" x14ac:dyDescent="0.45">
      <c r="A285" t="s">
        <v>695</v>
      </c>
      <c r="B285">
        <v>1649549160</v>
      </c>
      <c r="C285" s="23" t="s">
        <v>595</v>
      </c>
      <c r="D285" t="s">
        <v>65</v>
      </c>
      <c r="E285" t="s">
        <v>66</v>
      </c>
      <c r="F285" t="s">
        <v>101</v>
      </c>
      <c r="G285" t="s">
        <v>73</v>
      </c>
      <c r="H285" t="s">
        <v>69</v>
      </c>
      <c r="I285">
        <f>MROUND(Table1[[#This Row],[ProbH]]*100,2)/100</f>
        <v>0.56000000000000005</v>
      </c>
      <c r="J285">
        <f>1/Table1[[#This Row],[odds_ft_home_team_win]]-Table1[[#This Row],[Margin]]</f>
        <v>0.56747856943118602</v>
      </c>
      <c r="K285">
        <f>1/Table1[[#This Row],[odds_ft_draw]]-Table1[[#This Row],[Margin]]</f>
        <v>0.24645395199938289</v>
      </c>
      <c r="L285">
        <f>1/Table1[[#This Row],[odds_ft_away_team_win]]-Table1[[#This Row],[Margin]]</f>
        <v>0.18606747856943121</v>
      </c>
      <c r="M285">
        <v>13</v>
      </c>
      <c r="N285">
        <v>1.73</v>
      </c>
      <c r="O285">
        <v>1.1299999999999999</v>
      </c>
      <c r="P285">
        <v>1.79</v>
      </c>
      <c r="Q285">
        <v>1.1100000000000001</v>
      </c>
      <c r="R285" t="str" cm="1">
        <f t="array" ref="R2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83</v>
      </c>
      <c r="AA285">
        <v>7</v>
      </c>
      <c r="AB285">
        <v>7</v>
      </c>
      <c r="AC285">
        <v>2</v>
      </c>
      <c r="AD285">
        <v>1</v>
      </c>
      <c r="AE285">
        <v>1</v>
      </c>
      <c r="AF285">
        <v>0</v>
      </c>
      <c r="AG285">
        <v>1</v>
      </c>
      <c r="AH285">
        <v>2</v>
      </c>
      <c r="AI285">
        <v>1</v>
      </c>
      <c r="AJ285">
        <v>0</v>
      </c>
      <c r="AK285">
        <v>22</v>
      </c>
      <c r="AL285">
        <v>14</v>
      </c>
      <c r="AM285">
        <v>8</v>
      </c>
      <c r="AN285">
        <v>4</v>
      </c>
      <c r="AO285">
        <v>14</v>
      </c>
      <c r="AP285">
        <v>10</v>
      </c>
      <c r="AQ285">
        <v>8</v>
      </c>
      <c r="AR285">
        <v>11</v>
      </c>
      <c r="AS285">
        <v>56</v>
      </c>
      <c r="AT285">
        <v>44</v>
      </c>
      <c r="AU285">
        <v>2.3199999999999998</v>
      </c>
      <c r="AV285">
        <v>1.4</v>
      </c>
      <c r="AW285">
        <v>2.27</v>
      </c>
      <c r="AX285">
        <v>50</v>
      </c>
      <c r="AY285">
        <v>74</v>
      </c>
      <c r="AZ285">
        <v>47</v>
      </c>
      <c r="BA285">
        <v>17</v>
      </c>
      <c r="BB285">
        <v>4</v>
      </c>
      <c r="BC285">
        <v>20</v>
      </c>
      <c r="BD285">
        <v>60</v>
      </c>
      <c r="BE285">
        <v>40</v>
      </c>
      <c r="BF285">
        <v>83</v>
      </c>
      <c r="BG285">
        <v>11.8</v>
      </c>
      <c r="BH285">
        <v>5.6</v>
      </c>
      <c r="BI285">
        <v>1.67</v>
      </c>
      <c r="BJ285">
        <v>3.6</v>
      </c>
      <c r="BK285">
        <v>4.5999999999999996</v>
      </c>
      <c r="BL285">
        <f>(1/Table1[[#This Row],[odds_ft_home_team_win]]+1/Table1[[#This Row],[odds_ft_draw]]+1/Table1[[#This Row],[odds_ft_away_team_win]]-1)/3</f>
        <v>3.1323825778394911E-2</v>
      </c>
      <c r="BM285">
        <v>1.29</v>
      </c>
      <c r="BN285">
        <v>1.83</v>
      </c>
      <c r="BO285">
        <v>3</v>
      </c>
      <c r="BP285">
        <v>5.5</v>
      </c>
      <c r="BQ285">
        <v>1.73</v>
      </c>
      <c r="BR285">
        <v>2</v>
      </c>
      <c r="BS285" t="s">
        <v>104</v>
      </c>
      <c r="BT285">
        <f>VLOOKUP(Table1[[#This Row],[Reference]],metron,8,FALSE)</f>
        <v>1.9673156855724254</v>
      </c>
      <c r="BU285">
        <f>VLOOKUP(Table1[[#This Row],[Reference]],metron,9,FALSE)</f>
        <v>0.77729484582409181</v>
      </c>
      <c r="BV285">
        <f>VLOOKUP(Table1[[#This Row],[Reference]],metron,10,FALSE)</f>
        <v>2.6892488954344627</v>
      </c>
      <c r="BW285">
        <f>VLOOKUP(Table1[[#This Row],[Reference]],metron,11,FALSE)</f>
        <v>1.7546812539448771</v>
      </c>
      <c r="BX285">
        <f>VLOOKUP(Table1[[#This Row],[Reference]],metron,12,FALSE)</f>
        <v>0.93456764148958549</v>
      </c>
      <c r="BY285" s="6">
        <f>VLOOKUP(Table1[[#This Row],[Reference]],metron,13,FALSE)</f>
        <v>0.77824531874605507</v>
      </c>
      <c r="BZ285" s="6">
        <f>VLOOKUP(Table1[[#This Row],[Reference]],metron,14,FALSE)</f>
        <v>0.41237113402061848</v>
      </c>
      <c r="CA285" s="6">
        <f>VLOOKUP(Table1[[#This Row],[Reference]],metron,15,FALSE)</f>
        <v>13.77153558052435</v>
      </c>
      <c r="CB285" s="6">
        <f>VLOOKUP(Table1[[#This Row],[Reference]],metron,16,FALSE)</f>
        <v>9.0445692883895124</v>
      </c>
      <c r="CC285" s="6">
        <f>VLOOKUP(Table1[[#This Row],[Reference]],metron,17,FALSE)</f>
        <v>6.0821292775665396</v>
      </c>
      <c r="CD285" s="6">
        <f>VLOOKUP(Table1[[#This Row],[Reference]],metron,18,FALSE)</f>
        <v>3.8201520912547529</v>
      </c>
      <c r="CE285" s="6">
        <f>VLOOKUP(Table1[[#This Row],[Reference]],metron,19,FALSE)</f>
        <v>7.6894063029578108</v>
      </c>
      <c r="CF285" s="6">
        <f>VLOOKUP(Table1[[#This Row],[Reference]],metron,20,FALSE)</f>
        <v>5.224417197134759</v>
      </c>
      <c r="CG285" s="6">
        <f>VLOOKUP(Table1[[#This Row],[Reference]],metron,21,FALSE)</f>
        <v>12.297605473204101</v>
      </c>
      <c r="CH285" s="6">
        <f>VLOOKUP(Table1[[#This Row],[Reference]],metron,22,FALSE)</f>
        <v>13.310908399847969</v>
      </c>
      <c r="CI285" s="6">
        <f>VLOOKUP(Table1[[#This Row],[Reference]],metron,23,FALSE)</f>
        <v>1.3713126843657819</v>
      </c>
      <c r="CJ285" s="6">
        <f>VLOOKUP(Table1[[#This Row],[Reference]],metron,24,FALSE)</f>
        <v>1.9516961651917399</v>
      </c>
      <c r="CK285" s="6">
        <f>VLOOKUP(Table1[[#This Row],[Reference]],metron,25,FALSE)</f>
        <v>6.6002949852507375E-2</v>
      </c>
      <c r="CL285" s="6">
        <f>VLOOKUP(Table1[[#This Row],[Reference]],metron,26,FALSE)</f>
        <v>0.1297935103244838</v>
      </c>
    </row>
    <row r="286" spans="1:90" hidden="1" x14ac:dyDescent="0.45">
      <c r="A286" t="s">
        <v>695</v>
      </c>
      <c r="B286">
        <v>1649556000</v>
      </c>
      <c r="C286" s="23" t="s">
        <v>596</v>
      </c>
      <c r="D286" t="s">
        <v>65</v>
      </c>
      <c r="E286" t="s">
        <v>66</v>
      </c>
      <c r="F286" t="s">
        <v>68</v>
      </c>
      <c r="G286" t="s">
        <v>78</v>
      </c>
      <c r="H286" t="s">
        <v>158</v>
      </c>
      <c r="I286">
        <f>MROUND(Table1[[#This Row],[ProbH]]*100,2)/100</f>
        <v>0.6</v>
      </c>
      <c r="J286">
        <f>1/Table1[[#This Row],[odds_ft_home_team_win]]-Table1[[#This Row],[Margin]]</f>
        <v>0.5930910206272525</v>
      </c>
      <c r="K286">
        <f>1/Table1[[#This Row],[odds_ft_draw]]-Table1[[#This Row],[Margin]]</f>
        <v>0.24975078598267009</v>
      </c>
      <c r="L286">
        <f>1/Table1[[#This Row],[odds_ft_away_team_win]]-Table1[[#This Row],[Margin]]</f>
        <v>0.15715819339007747</v>
      </c>
      <c r="M286">
        <v>13</v>
      </c>
      <c r="N286">
        <v>1.8</v>
      </c>
      <c r="O286">
        <v>0.64</v>
      </c>
      <c r="P286">
        <v>1.9</v>
      </c>
      <c r="Q286">
        <v>0.71</v>
      </c>
      <c r="R286" s="9" t="str" cm="1">
        <f t="array" ref="R2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6">
        <v>3</v>
      </c>
      <c r="T286">
        <v>0</v>
      </c>
      <c r="U286">
        <v>3</v>
      </c>
      <c r="V286">
        <v>2</v>
      </c>
      <c r="W286">
        <v>2</v>
      </c>
      <c r="X286">
        <v>0</v>
      </c>
      <c r="Y286" t="s">
        <v>597</v>
      </c>
      <c r="AA286">
        <v>6</v>
      </c>
      <c r="AB286">
        <v>2</v>
      </c>
      <c r="AC286">
        <v>1</v>
      </c>
      <c r="AD286">
        <v>0</v>
      </c>
      <c r="AE286">
        <v>3</v>
      </c>
      <c r="AF286">
        <v>0</v>
      </c>
      <c r="AG286">
        <v>0</v>
      </c>
      <c r="AH286">
        <v>1</v>
      </c>
      <c r="AI286">
        <v>1</v>
      </c>
      <c r="AJ286">
        <v>2</v>
      </c>
      <c r="AK286">
        <v>18</v>
      </c>
      <c r="AL286">
        <v>5</v>
      </c>
      <c r="AM286">
        <v>4</v>
      </c>
      <c r="AN286">
        <v>2</v>
      </c>
      <c r="AO286">
        <v>14</v>
      </c>
      <c r="AP286">
        <v>3</v>
      </c>
      <c r="AQ286">
        <v>6</v>
      </c>
      <c r="AR286">
        <v>12</v>
      </c>
      <c r="AS286">
        <v>58</v>
      </c>
      <c r="AT286">
        <v>42</v>
      </c>
      <c r="AU286">
        <v>1.83</v>
      </c>
      <c r="AV286">
        <v>0.6</v>
      </c>
      <c r="AW286">
        <v>2.17</v>
      </c>
      <c r="AX286">
        <v>35</v>
      </c>
      <c r="AY286">
        <v>69</v>
      </c>
      <c r="AZ286">
        <v>35</v>
      </c>
      <c r="BA286">
        <v>17</v>
      </c>
      <c r="BB286">
        <v>4</v>
      </c>
      <c r="BC286">
        <v>17</v>
      </c>
      <c r="BD286">
        <v>48</v>
      </c>
      <c r="BE286">
        <v>45</v>
      </c>
      <c r="BF286">
        <v>87</v>
      </c>
      <c r="BG286">
        <v>8.41</v>
      </c>
      <c r="BH286">
        <v>4.2300000000000004</v>
      </c>
      <c r="BI286">
        <v>1.61</v>
      </c>
      <c r="BJ286">
        <v>3.6</v>
      </c>
      <c r="BK286">
        <v>5.4</v>
      </c>
      <c r="BL286">
        <f>(1/Table1[[#This Row],[odds_ft_home_team_win]]+1/Table1[[#This Row],[odds_ft_draw]]+1/Table1[[#This Row],[odds_ft_away_team_win]]-1)/3</f>
        <v>2.8026991795107703E-2</v>
      </c>
      <c r="BM286">
        <v>1.3</v>
      </c>
      <c r="BN286">
        <v>1.83</v>
      </c>
      <c r="BO286">
        <v>1.91</v>
      </c>
      <c r="BP286">
        <v>5</v>
      </c>
      <c r="BQ286">
        <v>1.91</v>
      </c>
      <c r="BR286">
        <v>1.8</v>
      </c>
      <c r="BS286" t="s">
        <v>116</v>
      </c>
      <c r="BT286">
        <f>VLOOKUP(Table1[[#This Row],[Reference]],metron,8,FALSE)</f>
        <v>2.0749792289385525</v>
      </c>
      <c r="BU286">
        <f>VLOOKUP(Table1[[#This Row],[Reference]],metron,9,FALSE)</f>
        <v>0.68220664089703831</v>
      </c>
      <c r="BV286">
        <f>VLOOKUP(Table1[[#This Row],[Reference]],metron,10,FALSE)</f>
        <v>2.7310090702947849</v>
      </c>
      <c r="BW286">
        <f>VLOOKUP(Table1[[#This Row],[Reference]],metron,11,FALSE)</f>
        <v>1.841836734693878</v>
      </c>
      <c r="BX286">
        <f>VLOOKUP(Table1[[#This Row],[Reference]],metron,12,FALSE)</f>
        <v>0.88917233560090703</v>
      </c>
      <c r="BY286" s="6">
        <f>VLOOKUP(Table1[[#This Row],[Reference]],metron,13,FALSE)</f>
        <v>0.804822695035461</v>
      </c>
      <c r="BZ286" s="6">
        <f>VLOOKUP(Table1[[#This Row],[Reference]],metron,14,FALSE)</f>
        <v>0.38099290780141842</v>
      </c>
      <c r="CA286" s="6">
        <f>VLOOKUP(Table1[[#This Row],[Reference]],metron,15,FALSE)</f>
        <v>14.25174825174825</v>
      </c>
      <c r="CB286" s="6">
        <f>VLOOKUP(Table1[[#This Row],[Reference]],metron,16,FALSE)</f>
        <v>8.8316683316683324</v>
      </c>
      <c r="CC286" s="6">
        <f>VLOOKUP(Table1[[#This Row],[Reference]],metron,17,FALSE)</f>
        <v>6.2901265822784813</v>
      </c>
      <c r="CD286" s="6">
        <f>VLOOKUP(Table1[[#This Row],[Reference]],metron,18,FALSE)</f>
        <v>3.6162025316455702</v>
      </c>
      <c r="CE286" s="6">
        <f>VLOOKUP(Table1[[#This Row],[Reference]],metron,19,FALSE)</f>
        <v>7.9616216694697686</v>
      </c>
      <c r="CF286" s="6">
        <f>VLOOKUP(Table1[[#This Row],[Reference]],metron,20,FALSE)</f>
        <v>5.2154658000227627</v>
      </c>
      <c r="CG286" s="6">
        <f>VLOOKUP(Table1[[#This Row],[Reference]],metron,21,FALSE)</f>
        <v>12.444895886236671</v>
      </c>
      <c r="CH286" s="6">
        <f>VLOOKUP(Table1[[#This Row],[Reference]],metron,22,FALSE)</f>
        <v>13.620619603859829</v>
      </c>
      <c r="CI286" s="6">
        <f>VLOOKUP(Table1[[#This Row],[Reference]],metron,23,FALSE)</f>
        <v>1.406084017382907</v>
      </c>
      <c r="CJ286" s="6">
        <f>VLOOKUP(Table1[[#This Row],[Reference]],metron,24,FALSE)</f>
        <v>2.070980202800579</v>
      </c>
      <c r="CK286" s="6">
        <f>VLOOKUP(Table1[[#This Row],[Reference]],metron,25,FALSE)</f>
        <v>6.1323032351521013E-2</v>
      </c>
      <c r="CL286" s="6">
        <f>VLOOKUP(Table1[[#This Row],[Reference]],metron,26,FALSE)</f>
        <v>0.1313375181071946</v>
      </c>
    </row>
    <row r="287" spans="1:90" hidden="1" x14ac:dyDescent="0.45">
      <c r="A287" t="s">
        <v>695</v>
      </c>
      <c r="B287">
        <v>1649635200</v>
      </c>
      <c r="C287" s="23" t="s">
        <v>598</v>
      </c>
      <c r="D287" t="s">
        <v>65</v>
      </c>
      <c r="E287" t="s">
        <v>66</v>
      </c>
      <c r="F287" t="s">
        <v>67</v>
      </c>
      <c r="G287" t="s">
        <v>107</v>
      </c>
      <c r="H287" t="s">
        <v>114</v>
      </c>
      <c r="I287">
        <f>MROUND(Table1[[#This Row],[ProbH]]*100,2)/100</f>
        <v>0.24</v>
      </c>
      <c r="J287">
        <f>1/Table1[[#This Row],[odds_ft_home_team_win]]-Table1[[#This Row],[Margin]]</f>
        <v>0.24365299198531451</v>
      </c>
      <c r="K287">
        <f>1/Table1[[#This Row],[odds_ft_draw]]-Table1[[#This Row],[Margin]]</f>
        <v>0.26750036877386785</v>
      </c>
      <c r="L287">
        <f>1/Table1[[#This Row],[odds_ft_away_team_win]]-Table1[[#This Row],[Margin]]</f>
        <v>0.48884663924081756</v>
      </c>
      <c r="M287">
        <v>13</v>
      </c>
      <c r="N287">
        <v>1.29</v>
      </c>
      <c r="O287">
        <v>1.5</v>
      </c>
      <c r="P287">
        <v>1.24</v>
      </c>
      <c r="Q287">
        <v>1.48</v>
      </c>
      <c r="R287" t="str" cm="1">
        <f t="array" ref="R2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Z287">
        <v>75</v>
      </c>
      <c r="AA287">
        <v>6</v>
      </c>
      <c r="AB287">
        <v>3</v>
      </c>
      <c r="AC287">
        <v>2</v>
      </c>
      <c r="AD287">
        <v>0</v>
      </c>
      <c r="AE287">
        <v>1</v>
      </c>
      <c r="AF287">
        <v>2</v>
      </c>
      <c r="AG287">
        <v>1</v>
      </c>
      <c r="AH287">
        <v>1</v>
      </c>
      <c r="AI287">
        <v>1</v>
      </c>
      <c r="AJ287">
        <v>2</v>
      </c>
      <c r="AK287">
        <v>10</v>
      </c>
      <c r="AL287">
        <v>9</v>
      </c>
      <c r="AM287">
        <v>3</v>
      </c>
      <c r="AN287">
        <v>3</v>
      </c>
      <c r="AO287">
        <v>7</v>
      </c>
      <c r="AP287">
        <v>6</v>
      </c>
      <c r="AQ287">
        <v>15</v>
      </c>
      <c r="AR287">
        <v>8</v>
      </c>
      <c r="AS287">
        <v>58</v>
      </c>
      <c r="AT287">
        <v>42</v>
      </c>
      <c r="AU287">
        <v>1.5</v>
      </c>
      <c r="AV287">
        <v>1.1599999999999999</v>
      </c>
      <c r="AW287">
        <v>2.48</v>
      </c>
      <c r="AX287">
        <v>53</v>
      </c>
      <c r="AY287">
        <v>79</v>
      </c>
      <c r="AZ287">
        <v>49</v>
      </c>
      <c r="BA287">
        <v>17</v>
      </c>
      <c r="BB287">
        <v>7</v>
      </c>
      <c r="BC287">
        <v>37</v>
      </c>
      <c r="BD287">
        <v>73</v>
      </c>
      <c r="BE287">
        <v>39</v>
      </c>
      <c r="BF287">
        <v>79</v>
      </c>
      <c r="BG287">
        <v>8.42</v>
      </c>
      <c r="BH287">
        <v>4.96</v>
      </c>
      <c r="BI287">
        <v>3.7</v>
      </c>
      <c r="BJ287">
        <v>3.4</v>
      </c>
      <c r="BK287">
        <v>1.94</v>
      </c>
      <c r="BL287">
        <f>(1/Table1[[#This Row],[odds_ft_home_team_win]]+1/Table1[[#This Row],[odds_ft_draw]]+1/Table1[[#This Row],[odds_ft_away_team_win]]-1)/3</f>
        <v>2.6617278284955709E-2</v>
      </c>
      <c r="BM287">
        <v>1.33</v>
      </c>
      <c r="BN287">
        <v>1.97</v>
      </c>
      <c r="BO287">
        <v>3.75</v>
      </c>
      <c r="BP287">
        <v>6.5</v>
      </c>
      <c r="BQ287">
        <v>1.91</v>
      </c>
      <c r="BR287">
        <v>1.91</v>
      </c>
      <c r="BS287" t="s">
        <v>70</v>
      </c>
      <c r="BT287">
        <f>VLOOKUP(Table1[[#This Row],[Reference]],metron,8,FALSE)</f>
        <v>1.0221684690062811</v>
      </c>
      <c r="BU287">
        <f>VLOOKUP(Table1[[#This Row],[Reference]],metron,9,FALSE)</f>
        <v>1.7036119427882386</v>
      </c>
      <c r="BV287">
        <f>VLOOKUP(Table1[[#This Row],[Reference]],metron,10,FALSE)</f>
        <v>2.6014437689969609</v>
      </c>
      <c r="BW287">
        <f>VLOOKUP(Table1[[#This Row],[Reference]],metron,11,FALSE)</f>
        <v>1.067249240121581</v>
      </c>
      <c r="BX287">
        <f>VLOOKUP(Table1[[#This Row],[Reference]],metron,12,FALSE)</f>
        <v>1.53419452887538</v>
      </c>
      <c r="BY287" s="6">
        <f>VLOOKUP(Table1[[#This Row],[Reference]],metron,13,FALSE)</f>
        <v>0.45589353612167299</v>
      </c>
      <c r="BZ287" s="6">
        <f>VLOOKUP(Table1[[#This Row],[Reference]],metron,14,FALSE)</f>
        <v>0.65133079847908748</v>
      </c>
      <c r="CA287" s="6">
        <f>VLOOKUP(Table1[[#This Row],[Reference]],metron,15,FALSE)</f>
        <v>10.75886524822695</v>
      </c>
      <c r="CB287" s="6">
        <f>VLOOKUP(Table1[[#This Row],[Reference]],metron,16,FALSE)</f>
        <v>12.46679561573179</v>
      </c>
      <c r="CC287" s="6">
        <f>VLOOKUP(Table1[[#This Row],[Reference]],metron,17,FALSE)</f>
        <v>4.1157347204161248</v>
      </c>
      <c r="CD287" s="6">
        <f>VLOOKUP(Table1[[#This Row],[Reference]],metron,18,FALSE)</f>
        <v>5.1072821846553964</v>
      </c>
      <c r="CE287" s="6">
        <f>VLOOKUP(Table1[[#This Row],[Reference]],metron,19,FALSE)</f>
        <v>6.6431305278108255</v>
      </c>
      <c r="CF287" s="6">
        <f>VLOOKUP(Table1[[#This Row],[Reference]],metron,20,FALSE)</f>
        <v>7.3595134310763939</v>
      </c>
      <c r="CG287" s="6">
        <f>VLOOKUP(Table1[[#This Row],[Reference]],metron,21,FALSE)</f>
        <v>13.11140235910878</v>
      </c>
      <c r="CH287" s="6">
        <f>VLOOKUP(Table1[[#This Row],[Reference]],metron,22,FALSE)</f>
        <v>12.93184796854522</v>
      </c>
      <c r="CI287" s="6">
        <f>VLOOKUP(Table1[[#This Row],[Reference]],metron,23,FALSE)</f>
        <v>1.8341677096370459</v>
      </c>
      <c r="CJ287" s="6">
        <f>VLOOKUP(Table1[[#This Row],[Reference]],metron,24,FALSE)</f>
        <v>1.7903629536921151</v>
      </c>
      <c r="CK287" s="6">
        <f>VLOOKUP(Table1[[#This Row],[Reference]],metron,25,FALSE)</f>
        <v>0.1095118898623279</v>
      </c>
      <c r="CL287" s="6">
        <f>VLOOKUP(Table1[[#This Row],[Reference]],metron,26,FALSE)</f>
        <v>9.3241551939924908E-2</v>
      </c>
    </row>
    <row r="288" spans="1:90" hidden="1" x14ac:dyDescent="0.45">
      <c r="A288" t="s">
        <v>695</v>
      </c>
      <c r="B288">
        <v>1649728800</v>
      </c>
      <c r="C288" s="23" t="s">
        <v>599</v>
      </c>
      <c r="D288" t="s">
        <v>65</v>
      </c>
      <c r="E288" t="s">
        <v>66</v>
      </c>
      <c r="F288" t="s">
        <v>84</v>
      </c>
      <c r="G288" t="s">
        <v>106</v>
      </c>
      <c r="H288" t="s">
        <v>66</v>
      </c>
      <c r="I288">
        <f>MROUND(Table1[[#This Row],[ProbH]]*100,2)/100</f>
        <v>0.54</v>
      </c>
      <c r="J288">
        <f>1/Table1[[#This Row],[odds_ft_home_team_win]]-Table1[[#This Row],[Margin]]</f>
        <v>0.53465691396725878</v>
      </c>
      <c r="K288">
        <f>1/Table1[[#This Row],[odds_ft_draw]]-Table1[[#This Row],[Margin]]</f>
        <v>0.2456585560033836</v>
      </c>
      <c r="L288">
        <f>1/Table1[[#This Row],[odds_ft_away_team_win]]-Table1[[#This Row],[Margin]]</f>
        <v>0.21968453002935762</v>
      </c>
      <c r="M288">
        <v>13</v>
      </c>
      <c r="N288">
        <v>1.71</v>
      </c>
      <c r="O288">
        <v>0.56999999999999995</v>
      </c>
      <c r="P288">
        <v>1.89</v>
      </c>
      <c r="Q288">
        <v>0.53</v>
      </c>
      <c r="R288" t="str" cm="1">
        <f t="array" ref="R2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AA288">
        <v>12</v>
      </c>
      <c r="AB288">
        <v>2</v>
      </c>
      <c r="AC288">
        <v>3</v>
      </c>
      <c r="AD288">
        <v>0</v>
      </c>
      <c r="AE288">
        <v>4</v>
      </c>
      <c r="AF288">
        <v>0</v>
      </c>
      <c r="AG288">
        <v>1</v>
      </c>
      <c r="AH288">
        <v>2</v>
      </c>
      <c r="AI288">
        <v>1</v>
      </c>
      <c r="AJ288">
        <v>3</v>
      </c>
      <c r="AK288">
        <v>13</v>
      </c>
      <c r="AL288">
        <v>0</v>
      </c>
      <c r="AM288">
        <v>6</v>
      </c>
      <c r="AN288">
        <v>0</v>
      </c>
      <c r="AO288">
        <v>7</v>
      </c>
      <c r="AP288">
        <v>0</v>
      </c>
      <c r="AQ288">
        <v>9</v>
      </c>
      <c r="AR288">
        <v>11</v>
      </c>
      <c r="AS288">
        <v>66</v>
      </c>
      <c r="AT288">
        <v>34</v>
      </c>
      <c r="AU288">
        <v>1.79</v>
      </c>
      <c r="AV288">
        <v>0.23</v>
      </c>
      <c r="AW288">
        <v>2.58</v>
      </c>
      <c r="AX288">
        <v>57</v>
      </c>
      <c r="AY288">
        <v>86</v>
      </c>
      <c r="AZ288">
        <v>47</v>
      </c>
      <c r="BA288">
        <v>25</v>
      </c>
      <c r="BB288">
        <v>4</v>
      </c>
      <c r="BC288">
        <v>29</v>
      </c>
      <c r="BD288">
        <v>75</v>
      </c>
      <c r="BE288">
        <v>36</v>
      </c>
      <c r="BF288">
        <v>79</v>
      </c>
      <c r="BG288">
        <v>8.7100000000000009</v>
      </c>
      <c r="BH288">
        <v>4.43</v>
      </c>
      <c r="BI288">
        <v>1.74</v>
      </c>
      <c r="BJ288">
        <v>3.5</v>
      </c>
      <c r="BK288">
        <v>3.85</v>
      </c>
      <c r="BL288">
        <f>(1/Table1[[#This Row],[odds_ft_home_team_win]]+1/Table1[[#This Row],[odds_ft_draw]]+1/Table1[[#This Row],[odds_ft_away_team_win]]-1)/3</f>
        <v>4.0055729710902099E-2</v>
      </c>
      <c r="BM288">
        <v>1.29</v>
      </c>
      <c r="BN288">
        <v>1.73</v>
      </c>
      <c r="BO288">
        <v>3</v>
      </c>
      <c r="BP288">
        <v>5.5</v>
      </c>
      <c r="BQ288">
        <v>1.73</v>
      </c>
      <c r="BR288">
        <v>2</v>
      </c>
      <c r="BS288" t="s">
        <v>88</v>
      </c>
      <c r="BT288">
        <f>VLOOKUP(Table1[[#This Row],[Reference]],metron,8,FALSE)</f>
        <v>1.915666026436746</v>
      </c>
      <c r="BU288">
        <f>VLOOKUP(Table1[[#This Row],[Reference]],metron,9,FALSE)</f>
        <v>0.82283834599204153</v>
      </c>
      <c r="BV288">
        <f>VLOOKUP(Table1[[#This Row],[Reference]],metron,10,FALSE)</f>
        <v>2.6359702267612941</v>
      </c>
      <c r="BW288">
        <f>VLOOKUP(Table1[[#This Row],[Reference]],metron,11,FALSE)</f>
        <v>1.684957590444867</v>
      </c>
      <c r="BX288">
        <f>VLOOKUP(Table1[[#This Row],[Reference]],metron,12,FALSE)</f>
        <v>0.95101263631642718</v>
      </c>
      <c r="BY288" s="6">
        <f>VLOOKUP(Table1[[#This Row],[Reference]],metron,13,FALSE)</f>
        <v>0.72650164445213783</v>
      </c>
      <c r="BZ288" s="6">
        <f>VLOOKUP(Table1[[#This Row],[Reference]],metron,14,FALSE)</f>
        <v>0.42097974727367138</v>
      </c>
      <c r="CA288" s="6">
        <f>VLOOKUP(Table1[[#This Row],[Reference]],metron,15,FALSE)</f>
        <v>13.338806970509379</v>
      </c>
      <c r="CB288" s="6">
        <f>VLOOKUP(Table1[[#This Row],[Reference]],metron,16,FALSE)</f>
        <v>9.2530160857908843</v>
      </c>
      <c r="CC288" s="6">
        <f>VLOOKUP(Table1[[#This Row],[Reference]],metron,17,FALSE)</f>
        <v>5.9915081521739131</v>
      </c>
      <c r="CD288" s="6">
        <f>VLOOKUP(Table1[[#This Row],[Reference]],metron,18,FALSE)</f>
        <v>3.9772418478260869</v>
      </c>
      <c r="CE288" s="6">
        <f>VLOOKUP(Table1[[#This Row],[Reference]],metron,19,FALSE)</f>
        <v>7.3472988183354664</v>
      </c>
      <c r="CF288" s="6">
        <f>VLOOKUP(Table1[[#This Row],[Reference]],metron,20,FALSE)</f>
        <v>5.2757742379647974</v>
      </c>
      <c r="CG288" s="6">
        <f>VLOOKUP(Table1[[#This Row],[Reference]],metron,21,FALSE)</f>
        <v>12.59428182437032</v>
      </c>
      <c r="CH288" s="6">
        <f>VLOOKUP(Table1[[#This Row],[Reference]],metron,22,FALSE)</f>
        <v>13.577944179714089</v>
      </c>
      <c r="CI288" s="6">
        <f>VLOOKUP(Table1[[#This Row],[Reference]],metron,23,FALSE)</f>
        <v>1.4276913099870301</v>
      </c>
      <c r="CJ288" s="6">
        <f>VLOOKUP(Table1[[#This Row],[Reference]],metron,24,FALSE)</f>
        <v>1.940985732814527</v>
      </c>
      <c r="CK288" s="6">
        <f>VLOOKUP(Table1[[#This Row],[Reference]],metron,25,FALSE)</f>
        <v>8.0739299610894946E-2</v>
      </c>
      <c r="CL288" s="6">
        <f>VLOOKUP(Table1[[#This Row],[Reference]],metron,26,FALSE)</f>
        <v>0.12743190661478601</v>
      </c>
    </row>
    <row r="289" spans="1:90" hidden="1" x14ac:dyDescent="0.45">
      <c r="A289" t="s">
        <v>695</v>
      </c>
      <c r="B289">
        <v>1649898300</v>
      </c>
      <c r="C289" s="23" t="s">
        <v>600</v>
      </c>
      <c r="D289" t="s">
        <v>65</v>
      </c>
      <c r="E289" t="s">
        <v>66</v>
      </c>
      <c r="F289" t="s">
        <v>90</v>
      </c>
      <c r="G289" t="s">
        <v>101</v>
      </c>
      <c r="H289" t="s">
        <v>114</v>
      </c>
      <c r="I289">
        <f>MROUND(Table1[[#This Row],[ProbH]]*100,2)/100</f>
        <v>0.3</v>
      </c>
      <c r="J289">
        <f>1/Table1[[#This Row],[odds_ft_home_team_win]]-Table1[[#This Row],[Margin]]</f>
        <v>0.3080639167595689</v>
      </c>
      <c r="K289">
        <f>1/Table1[[#This Row],[odds_ft_draw]]-Table1[[#This Row],[Margin]]</f>
        <v>0.2824228911185433</v>
      </c>
      <c r="L289">
        <f>1/Table1[[#This Row],[odds_ft_away_team_win]]-Table1[[#This Row],[Margin]]</f>
        <v>0.4095131921218878</v>
      </c>
      <c r="M289">
        <v>12</v>
      </c>
      <c r="N289">
        <v>1.36</v>
      </c>
      <c r="O289">
        <v>1.06</v>
      </c>
      <c r="P289">
        <v>1.47</v>
      </c>
      <c r="Q289">
        <v>1.05</v>
      </c>
      <c r="R289" t="str" cm="1">
        <f t="array" ref="R2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89">
        <v>1</v>
      </c>
      <c r="T289">
        <v>3</v>
      </c>
      <c r="U289">
        <v>4</v>
      </c>
      <c r="V289">
        <v>2</v>
      </c>
      <c r="W289">
        <v>1</v>
      </c>
      <c r="X289">
        <v>1</v>
      </c>
      <c r="Y289">
        <v>39</v>
      </c>
      <c r="Z289" t="s">
        <v>601</v>
      </c>
      <c r="AA289">
        <v>3</v>
      </c>
      <c r="AB289">
        <v>6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9</v>
      </c>
      <c r="AL289">
        <v>11</v>
      </c>
      <c r="AM289">
        <v>3</v>
      </c>
      <c r="AN289">
        <v>5</v>
      </c>
      <c r="AO289">
        <v>6</v>
      </c>
      <c r="AP289">
        <v>6</v>
      </c>
      <c r="AQ289">
        <v>8</v>
      </c>
      <c r="AR289">
        <v>16</v>
      </c>
      <c r="AS289">
        <v>60</v>
      </c>
      <c r="AT289">
        <v>40</v>
      </c>
      <c r="AU289">
        <v>1.27</v>
      </c>
      <c r="AV289">
        <v>1.53</v>
      </c>
      <c r="AW289">
        <v>2.44</v>
      </c>
      <c r="AX289">
        <v>57</v>
      </c>
      <c r="AY289">
        <v>73</v>
      </c>
      <c r="AZ289">
        <v>47</v>
      </c>
      <c r="BA289">
        <v>26</v>
      </c>
      <c r="BB289">
        <v>7</v>
      </c>
      <c r="BC289">
        <v>37</v>
      </c>
      <c r="BD289">
        <v>74</v>
      </c>
      <c r="BE289">
        <v>37</v>
      </c>
      <c r="BF289">
        <v>70</v>
      </c>
      <c r="BG289">
        <v>10.130000000000001</v>
      </c>
      <c r="BH289">
        <v>5.52</v>
      </c>
      <c r="BI289">
        <v>3</v>
      </c>
      <c r="BJ289">
        <v>3.25</v>
      </c>
      <c r="BK289">
        <v>2.2999999999999998</v>
      </c>
      <c r="BL289">
        <f>(1/Table1[[#This Row],[odds_ft_home_team_win]]+1/Table1[[#This Row],[odds_ft_draw]]+1/Table1[[#This Row],[odds_ft_away_team_win]]-1)/3</f>
        <v>2.5269416573764431E-2</v>
      </c>
      <c r="BM289">
        <v>1.41</v>
      </c>
      <c r="BN289">
        <v>2.25</v>
      </c>
      <c r="BO289">
        <v>4</v>
      </c>
      <c r="BP289">
        <v>8.25</v>
      </c>
      <c r="BQ289">
        <v>1.95</v>
      </c>
      <c r="BR289">
        <v>1.77</v>
      </c>
      <c r="BS289" t="s">
        <v>94</v>
      </c>
      <c r="BT289">
        <f>VLOOKUP(Table1[[#This Row],[Reference]],metron,8,FALSE)</f>
        <v>1.2142445227270171</v>
      </c>
      <c r="BU289">
        <f>VLOOKUP(Table1[[#This Row],[Reference]],metron,9,FALSE)</f>
        <v>1.4993969533036628</v>
      </c>
      <c r="BV289">
        <f>VLOOKUP(Table1[[#This Row],[Reference]],metron,10,FALSE)</f>
        <v>2.5726407816919519</v>
      </c>
      <c r="BW289">
        <f>VLOOKUP(Table1[[#This Row],[Reference]],metron,11,FALSE)</f>
        <v>1.1805091283106199</v>
      </c>
      <c r="BX289">
        <f>VLOOKUP(Table1[[#This Row],[Reference]],metron,12,FALSE)</f>
        <v>1.3921316533813319</v>
      </c>
      <c r="BY289" s="6">
        <f>VLOOKUP(Table1[[#This Row],[Reference]],metron,13,FALSE)</f>
        <v>0.5209673269873939</v>
      </c>
      <c r="BZ289" s="6">
        <f>VLOOKUP(Table1[[#This Row],[Reference]],metron,14,FALSE)</f>
        <v>0.61847182917417032</v>
      </c>
      <c r="CA289" s="6">
        <f>VLOOKUP(Table1[[#This Row],[Reference]],metron,15,FALSE)</f>
        <v>11.149200710479571</v>
      </c>
      <c r="CB289" s="6">
        <f>VLOOKUP(Table1[[#This Row],[Reference]],metron,16,FALSE)</f>
        <v>11.444049733570161</v>
      </c>
      <c r="CC289" s="6">
        <f>VLOOKUP(Table1[[#This Row],[Reference]],metron,17,FALSE)</f>
        <v>4.5257270693512304</v>
      </c>
      <c r="CD289" s="6">
        <f>VLOOKUP(Table1[[#This Row],[Reference]],metron,18,FALSE)</f>
        <v>4.8465324384787474</v>
      </c>
      <c r="CE289" s="6">
        <f>VLOOKUP(Table1[[#This Row],[Reference]],metron,19,FALSE)</f>
        <v>6.6234736411283404</v>
      </c>
      <c r="CF289" s="6">
        <f>VLOOKUP(Table1[[#This Row],[Reference]],metron,20,FALSE)</f>
        <v>6.5975172950914134</v>
      </c>
      <c r="CG289" s="6">
        <f>VLOOKUP(Table1[[#This Row],[Reference]],metron,21,FALSE)</f>
        <v>12.90081154192967</v>
      </c>
      <c r="CH289" s="6">
        <f>VLOOKUP(Table1[[#This Row],[Reference]],metron,22,FALSE)</f>
        <v>13.00360685302074</v>
      </c>
      <c r="CI289" s="6">
        <f>VLOOKUP(Table1[[#This Row],[Reference]],metron,23,FALSE)</f>
        <v>1.7502145922746779</v>
      </c>
      <c r="CJ289" s="6">
        <f>VLOOKUP(Table1[[#This Row],[Reference]],metron,24,FALSE)</f>
        <v>1.831402831402831</v>
      </c>
      <c r="CK289" s="6">
        <f>VLOOKUP(Table1[[#This Row],[Reference]],metron,25,FALSE)</f>
        <v>9.6525096525096526E-2</v>
      </c>
      <c r="CL289" s="6">
        <f>VLOOKUP(Table1[[#This Row],[Reference]],metron,26,FALSE)</f>
        <v>0.1244101244101244</v>
      </c>
    </row>
    <row r="290" spans="1:90" hidden="1" x14ac:dyDescent="0.45">
      <c r="A290" t="s">
        <v>695</v>
      </c>
      <c r="B290">
        <v>1649988000</v>
      </c>
      <c r="C290" s="23" t="s">
        <v>602</v>
      </c>
      <c r="D290" t="s">
        <v>65</v>
      </c>
      <c r="E290" t="s">
        <v>66</v>
      </c>
      <c r="F290" t="s">
        <v>97</v>
      </c>
      <c r="G290" t="s">
        <v>113</v>
      </c>
      <c r="H290" t="s">
        <v>66</v>
      </c>
      <c r="I290">
        <f>MROUND(Table1[[#This Row],[ProbH]]*100,2)/100</f>
        <v>0.66</v>
      </c>
      <c r="J290">
        <f>1/Table1[[#This Row],[odds_ft_home_team_win]]-Table1[[#This Row],[Margin]]</f>
        <v>0.65589569160997729</v>
      </c>
      <c r="K290">
        <f>1/Table1[[#This Row],[odds_ft_draw]]-Table1[[#This Row],[Margin]]</f>
        <v>0.2256235827664399</v>
      </c>
      <c r="L290">
        <f>1/Table1[[#This Row],[odds_ft_away_team_win]]-Table1[[#This Row],[Margin]]</f>
        <v>0.11848072562358275</v>
      </c>
      <c r="M290">
        <v>14</v>
      </c>
      <c r="N290">
        <v>1.61</v>
      </c>
      <c r="O290">
        <v>0.4</v>
      </c>
      <c r="P290">
        <v>1.55</v>
      </c>
      <c r="Q290">
        <v>0.72</v>
      </c>
      <c r="R290" t="str" cm="1">
        <f t="array" ref="R2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0">
        <v>1</v>
      </c>
      <c r="T290">
        <v>2</v>
      </c>
      <c r="U290">
        <v>3</v>
      </c>
      <c r="V290">
        <v>2</v>
      </c>
      <c r="W290">
        <v>0</v>
      </c>
      <c r="X290">
        <v>2</v>
      </c>
      <c r="Y290">
        <v>51</v>
      </c>
      <c r="Z290" t="s">
        <v>603</v>
      </c>
      <c r="AA290">
        <v>7</v>
      </c>
      <c r="AB290">
        <v>6</v>
      </c>
      <c r="AC290">
        <v>4</v>
      </c>
      <c r="AD290">
        <v>1</v>
      </c>
      <c r="AE290">
        <v>3</v>
      </c>
      <c r="AF290">
        <v>0</v>
      </c>
      <c r="AG290">
        <v>2</v>
      </c>
      <c r="AH290">
        <v>3</v>
      </c>
      <c r="AI290">
        <v>1</v>
      </c>
      <c r="AJ290">
        <v>2</v>
      </c>
      <c r="AK290">
        <v>12</v>
      </c>
      <c r="AL290">
        <v>8</v>
      </c>
      <c r="AM290">
        <v>3</v>
      </c>
      <c r="AN290">
        <v>2</v>
      </c>
      <c r="AO290">
        <v>9</v>
      </c>
      <c r="AP290">
        <v>6</v>
      </c>
      <c r="AQ290">
        <v>14</v>
      </c>
      <c r="AR290">
        <v>17</v>
      </c>
      <c r="AS290">
        <v>55</v>
      </c>
      <c r="AT290">
        <v>45</v>
      </c>
      <c r="AU290">
        <v>1.4</v>
      </c>
      <c r="AV290">
        <v>0.84</v>
      </c>
      <c r="AW290">
        <v>2.0499999999999998</v>
      </c>
      <c r="AX290">
        <v>34</v>
      </c>
      <c r="AY290">
        <v>65</v>
      </c>
      <c r="AZ290">
        <v>32</v>
      </c>
      <c r="BA290">
        <v>10</v>
      </c>
      <c r="BB290">
        <v>4</v>
      </c>
      <c r="BC290">
        <v>20</v>
      </c>
      <c r="BD290">
        <v>53</v>
      </c>
      <c r="BE290">
        <v>34</v>
      </c>
      <c r="BF290">
        <v>76</v>
      </c>
      <c r="BG290">
        <v>6.62</v>
      </c>
      <c r="BH290">
        <v>5.2</v>
      </c>
      <c r="BI290">
        <v>1.47</v>
      </c>
      <c r="BJ290">
        <v>4</v>
      </c>
      <c r="BK290">
        <v>7</v>
      </c>
      <c r="BL290">
        <f>(1/Table1[[#This Row],[odds_ft_home_team_win]]+1/Table1[[#This Row],[odds_ft_draw]]+1/Table1[[#This Row],[odds_ft_away_team_win]]-1)/3</f>
        <v>2.4376417233560099E-2</v>
      </c>
      <c r="BM290">
        <v>0</v>
      </c>
      <c r="BN290">
        <v>2.02</v>
      </c>
      <c r="BO290">
        <v>0</v>
      </c>
      <c r="BP290">
        <v>0</v>
      </c>
      <c r="BQ290">
        <v>0</v>
      </c>
      <c r="BR290">
        <v>0</v>
      </c>
      <c r="BS290" t="s">
        <v>136</v>
      </c>
      <c r="BT290">
        <f>VLOOKUP(Table1[[#This Row],[Reference]],metron,8,FALSE)</f>
        <v>2.2311424831798083</v>
      </c>
      <c r="BU290">
        <f>VLOOKUP(Table1[[#This Row],[Reference]],metron,9,FALSE)</f>
        <v>0.55281092137037047</v>
      </c>
      <c r="BV290">
        <f>VLOOKUP(Table1[[#This Row],[Reference]],metron,10,FALSE)</f>
        <v>2.9251336898395728</v>
      </c>
      <c r="BW290">
        <f>VLOOKUP(Table1[[#This Row],[Reference]],metron,11,FALSE)</f>
        <v>2.089675030851502</v>
      </c>
      <c r="BX290">
        <f>VLOOKUP(Table1[[#This Row],[Reference]],metron,12,FALSE)</f>
        <v>0.8354586589880707</v>
      </c>
      <c r="BY290" s="6">
        <f>VLOOKUP(Table1[[#This Row],[Reference]],metron,13,FALSE)</f>
        <v>0.92472233648704238</v>
      </c>
      <c r="BZ290" s="6">
        <f>VLOOKUP(Table1[[#This Row],[Reference]],metron,14,FALSE)</f>
        <v>0.35252982311805842</v>
      </c>
      <c r="CA290" s="6">
        <f>VLOOKUP(Table1[[#This Row],[Reference]],metron,15,FALSE)</f>
        <v>15.366666666666671</v>
      </c>
      <c r="CB290" s="6">
        <f>VLOOKUP(Table1[[#This Row],[Reference]],metron,16,FALSE)</f>
        <v>8.5234848484848484</v>
      </c>
      <c r="CC290" s="6">
        <f>VLOOKUP(Table1[[#This Row],[Reference]],metron,17,FALSE)</f>
        <v>6.6873065015479876</v>
      </c>
      <c r="CD290" s="6">
        <f>VLOOKUP(Table1[[#This Row],[Reference]],metron,18,FALSE)</f>
        <v>3.3490712074303399</v>
      </c>
      <c r="CE290" s="6">
        <f>VLOOKUP(Table1[[#This Row],[Reference]],metron,19,FALSE)</f>
        <v>8.679360165118684</v>
      </c>
      <c r="CF290" s="6">
        <f>VLOOKUP(Table1[[#This Row],[Reference]],metron,20,FALSE)</f>
        <v>5.1744136410545085</v>
      </c>
      <c r="CG290" s="6">
        <f>VLOOKUP(Table1[[#This Row],[Reference]],metron,21,FALSE)</f>
        <v>12.62384615384615</v>
      </c>
      <c r="CH290" s="6">
        <f>VLOOKUP(Table1[[#This Row],[Reference]],metron,22,FALSE)</f>
        <v>13.844615384615381</v>
      </c>
      <c r="CI290" s="6">
        <f>VLOOKUP(Table1[[#This Row],[Reference]],metron,23,FALSE)</f>
        <v>1.369710467706013</v>
      </c>
      <c r="CJ290" s="6">
        <f>VLOOKUP(Table1[[#This Row],[Reference]],metron,24,FALSE)</f>
        <v>2.0920564216778019</v>
      </c>
      <c r="CK290" s="6">
        <f>VLOOKUP(Table1[[#This Row],[Reference]],metron,25,FALSE)</f>
        <v>7.126948775055679E-2</v>
      </c>
      <c r="CL290" s="6">
        <f>VLOOKUP(Table1[[#This Row],[Reference]],metron,26,FALSE)</f>
        <v>0.13214550853749071</v>
      </c>
    </row>
    <row r="291" spans="1:90" hidden="1" x14ac:dyDescent="0.45">
      <c r="A291" t="s">
        <v>695</v>
      </c>
      <c r="B291">
        <v>1650067200</v>
      </c>
      <c r="C291" s="23" t="s">
        <v>604</v>
      </c>
      <c r="D291" t="s">
        <v>65</v>
      </c>
      <c r="E291" t="s">
        <v>66</v>
      </c>
      <c r="F291" t="s">
        <v>72</v>
      </c>
      <c r="G291" t="s">
        <v>91</v>
      </c>
      <c r="H291" t="s">
        <v>103</v>
      </c>
      <c r="I291">
        <f>MROUND(Table1[[#This Row],[ProbH]]*100,2)/100</f>
        <v>0.44</v>
      </c>
      <c r="J291">
        <f>1/Table1[[#This Row],[odds_ft_home_team_win]]-Table1[[#This Row],[Margin]]</f>
        <v>0.43706164636397193</v>
      </c>
      <c r="K291">
        <f>1/Table1[[#This Row],[odds_ft_draw]]-Table1[[#This Row],[Margin]]</f>
        <v>0.30527870062753781</v>
      </c>
      <c r="L291">
        <f>1/Table1[[#This Row],[odds_ft_away_team_win]]-Table1[[#This Row],[Margin]]</f>
        <v>0.2576596530084902</v>
      </c>
      <c r="M291">
        <v>14</v>
      </c>
      <c r="N291">
        <v>1.07</v>
      </c>
      <c r="O291">
        <v>1.31</v>
      </c>
      <c r="P291">
        <v>1.24</v>
      </c>
      <c r="Q291">
        <v>1.25</v>
      </c>
      <c r="R291" t="str" cm="1">
        <f t="array" ref="R2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1">
        <v>4</v>
      </c>
      <c r="T291">
        <v>2</v>
      </c>
      <c r="U291">
        <v>6</v>
      </c>
      <c r="V291">
        <v>4</v>
      </c>
      <c r="W291">
        <v>3</v>
      </c>
      <c r="X291">
        <v>1</v>
      </c>
      <c r="Y291" t="s">
        <v>605</v>
      </c>
      <c r="Z291" t="s">
        <v>606</v>
      </c>
      <c r="AA291">
        <v>2</v>
      </c>
      <c r="AB291">
        <v>6</v>
      </c>
      <c r="AC291">
        <v>2</v>
      </c>
      <c r="AD291">
        <v>1</v>
      </c>
      <c r="AE291">
        <v>1</v>
      </c>
      <c r="AF291">
        <v>0</v>
      </c>
      <c r="AG291">
        <v>1</v>
      </c>
      <c r="AH291">
        <v>2</v>
      </c>
      <c r="AI291">
        <v>0</v>
      </c>
      <c r="AJ291">
        <v>1</v>
      </c>
      <c r="AK291">
        <v>13</v>
      </c>
      <c r="AL291">
        <v>16</v>
      </c>
      <c r="AM291">
        <v>6</v>
      </c>
      <c r="AN291">
        <v>7</v>
      </c>
      <c r="AO291">
        <v>7</v>
      </c>
      <c r="AP291">
        <v>9</v>
      </c>
      <c r="AQ291">
        <v>16</v>
      </c>
      <c r="AR291">
        <v>9</v>
      </c>
      <c r="AS291">
        <v>43</v>
      </c>
      <c r="AT291">
        <v>57</v>
      </c>
      <c r="AU291">
        <v>1.41</v>
      </c>
      <c r="AV291">
        <v>1.75</v>
      </c>
      <c r="AW291">
        <v>2.2999999999999998</v>
      </c>
      <c r="AX291">
        <v>39</v>
      </c>
      <c r="AY291">
        <v>63</v>
      </c>
      <c r="AZ291">
        <v>54</v>
      </c>
      <c r="BA291">
        <v>20</v>
      </c>
      <c r="BB291">
        <v>3</v>
      </c>
      <c r="BC291">
        <v>28</v>
      </c>
      <c r="BD291">
        <v>61</v>
      </c>
      <c r="BE291">
        <v>40</v>
      </c>
      <c r="BF291">
        <v>74</v>
      </c>
      <c r="BG291">
        <v>8.27</v>
      </c>
      <c r="BH291">
        <v>4.13</v>
      </c>
      <c r="BI291">
        <v>2.15</v>
      </c>
      <c r="BJ291">
        <v>3</v>
      </c>
      <c r="BK291">
        <v>3.5</v>
      </c>
      <c r="BL291">
        <f>(1/Table1[[#This Row],[odds_ft_home_team_win]]+1/Table1[[#This Row],[odds_ft_draw]]+1/Table1[[#This Row],[odds_ft_away_team_win]]-1)/3</f>
        <v>2.8054632705795484E-2</v>
      </c>
      <c r="BM291">
        <v>1.36</v>
      </c>
      <c r="BN291">
        <v>2.2999999999999998</v>
      </c>
      <c r="BO291">
        <v>3.5</v>
      </c>
      <c r="BP291">
        <v>6.5</v>
      </c>
      <c r="BQ291">
        <v>1.85</v>
      </c>
      <c r="BR291">
        <v>1.85</v>
      </c>
      <c r="BS291" t="s">
        <v>76</v>
      </c>
      <c r="BT291">
        <f>VLOOKUP(Table1[[#This Row],[Reference]],metron,8,FALSE)</f>
        <v>1.6395459745305552</v>
      </c>
      <c r="BU291">
        <f>VLOOKUP(Table1[[#This Row],[Reference]],metron,9,FALSE)</f>
        <v>1.0758429359324786</v>
      </c>
      <c r="BV291">
        <f>VLOOKUP(Table1[[#This Row],[Reference]],metron,10,FALSE)</f>
        <v>2.4807646356033461</v>
      </c>
      <c r="BW291">
        <f>VLOOKUP(Table1[[#This Row],[Reference]],metron,11,FALSE)</f>
        <v>1.4140979689366791</v>
      </c>
      <c r="BX291">
        <f>VLOOKUP(Table1[[#This Row],[Reference]],metron,12,FALSE)</f>
        <v>1.0666666666666671</v>
      </c>
      <c r="BY291" s="6">
        <f>VLOOKUP(Table1[[#This Row],[Reference]],metron,13,FALSE)</f>
        <v>0.62712066905615294</v>
      </c>
      <c r="BZ291" s="6">
        <f>VLOOKUP(Table1[[#This Row],[Reference]],metron,14,FALSE)</f>
        <v>0.46009557945041818</v>
      </c>
      <c r="CA291" s="6">
        <f>VLOOKUP(Table1[[#This Row],[Reference]],metron,15,FALSE)</f>
        <v>12.56969280146722</v>
      </c>
      <c r="CB291" s="6">
        <f>VLOOKUP(Table1[[#This Row],[Reference]],metron,16,FALSE)</f>
        <v>9.8695552498853729</v>
      </c>
      <c r="CC291" s="6">
        <f>VLOOKUP(Table1[[#This Row],[Reference]],metron,17,FALSE)</f>
        <v>5.2754256787850897</v>
      </c>
      <c r="CD291" s="6">
        <f>VLOOKUP(Table1[[#This Row],[Reference]],metron,18,FALSE)</f>
        <v>4.1279337321675103</v>
      </c>
      <c r="CE291" s="6">
        <f>VLOOKUP(Table1[[#This Row],[Reference]],metron,19,FALSE)</f>
        <v>7.2942671226821298</v>
      </c>
      <c r="CF291" s="6">
        <f>VLOOKUP(Table1[[#This Row],[Reference]],metron,20,FALSE)</f>
        <v>5.7416215177178627</v>
      </c>
      <c r="CG291" s="6">
        <f>VLOOKUP(Table1[[#This Row],[Reference]],metron,21,FALSE)</f>
        <v>12.897246007868549</v>
      </c>
      <c r="CH291" s="6">
        <f>VLOOKUP(Table1[[#This Row],[Reference]],metron,22,FALSE)</f>
        <v>13.507058551261281</v>
      </c>
      <c r="CI291" s="6">
        <f>VLOOKUP(Table1[[#This Row],[Reference]],metron,23,FALSE)</f>
        <v>1.576522702104098</v>
      </c>
      <c r="CJ291" s="6">
        <f>VLOOKUP(Table1[[#This Row],[Reference]],metron,24,FALSE)</f>
        <v>1.917165005537099</v>
      </c>
      <c r="CK291" s="6">
        <f>VLOOKUP(Table1[[#This Row],[Reference]],metron,25,FALSE)</f>
        <v>8.4385382059800659E-2</v>
      </c>
      <c r="CL291" s="6">
        <f>VLOOKUP(Table1[[#This Row],[Reference]],metron,26,FALSE)</f>
        <v>0.1233665559246955</v>
      </c>
    </row>
    <row r="292" spans="1:90" hidden="1" x14ac:dyDescent="0.45">
      <c r="A292" t="s">
        <v>695</v>
      </c>
      <c r="B292">
        <v>1650074400</v>
      </c>
      <c r="C292" s="23" t="s">
        <v>607</v>
      </c>
      <c r="D292" t="s">
        <v>65</v>
      </c>
      <c r="E292" t="s">
        <v>66</v>
      </c>
      <c r="F292" t="s">
        <v>78</v>
      </c>
      <c r="G292" t="s">
        <v>84</v>
      </c>
      <c r="H292" t="s">
        <v>108</v>
      </c>
      <c r="I292">
        <f>MROUND(Table1[[#This Row],[ProbH]]*100,2)/100</f>
        <v>0.2</v>
      </c>
      <c r="J292">
        <f>1/Table1[[#This Row],[odds_ft_home_team_win]]-Table1[[#This Row],[Margin]]</f>
        <v>0.19709919709919707</v>
      </c>
      <c r="K292">
        <f>1/Table1[[#This Row],[odds_ft_draw]]-Table1[[#This Row],[Margin]]</f>
        <v>0.27751877751877752</v>
      </c>
      <c r="L292">
        <f>1/Table1[[#This Row],[odds_ft_away_team_win]]-Table1[[#This Row],[Margin]]</f>
        <v>0.52538202538202539</v>
      </c>
      <c r="M292">
        <v>14</v>
      </c>
      <c r="N292">
        <v>1</v>
      </c>
      <c r="O292">
        <v>1.47</v>
      </c>
      <c r="P292">
        <v>0.88</v>
      </c>
      <c r="Q292">
        <v>1.42</v>
      </c>
      <c r="R292" t="str" cm="1">
        <f t="array" ref="R2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2">
        <v>1</v>
      </c>
      <c r="T292">
        <v>2</v>
      </c>
      <c r="U292">
        <v>3</v>
      </c>
      <c r="V292">
        <v>2</v>
      </c>
      <c r="W292">
        <v>1</v>
      </c>
      <c r="X292">
        <v>1</v>
      </c>
      <c r="Y292">
        <v>44</v>
      </c>
      <c r="Z292" t="s">
        <v>608</v>
      </c>
      <c r="AA292">
        <v>3</v>
      </c>
      <c r="AB292">
        <v>5</v>
      </c>
      <c r="AC292">
        <v>1</v>
      </c>
      <c r="AD292">
        <v>0</v>
      </c>
      <c r="AE292">
        <v>3</v>
      </c>
      <c r="AF292">
        <v>0</v>
      </c>
      <c r="AG292">
        <v>0</v>
      </c>
      <c r="AH292">
        <v>1</v>
      </c>
      <c r="AI292">
        <v>0</v>
      </c>
      <c r="AJ292">
        <v>3</v>
      </c>
      <c r="AK292">
        <v>15</v>
      </c>
      <c r="AL292">
        <v>7</v>
      </c>
      <c r="AM292">
        <v>5</v>
      </c>
      <c r="AN292">
        <v>4</v>
      </c>
      <c r="AO292">
        <v>10</v>
      </c>
      <c r="AP292">
        <v>3</v>
      </c>
      <c r="AQ292">
        <v>16</v>
      </c>
      <c r="AR292">
        <v>19</v>
      </c>
      <c r="AS292">
        <v>48</v>
      </c>
      <c r="AT292">
        <v>52</v>
      </c>
      <c r="AU292">
        <v>1.54</v>
      </c>
      <c r="AV292">
        <v>0.98</v>
      </c>
      <c r="AW292">
        <v>2.67</v>
      </c>
      <c r="AX292">
        <v>60</v>
      </c>
      <c r="AY292">
        <v>77</v>
      </c>
      <c r="AZ292">
        <v>60</v>
      </c>
      <c r="BA292">
        <v>30</v>
      </c>
      <c r="BB292">
        <v>7</v>
      </c>
      <c r="BC292">
        <v>47</v>
      </c>
      <c r="BD292">
        <v>74</v>
      </c>
      <c r="BE292">
        <v>44</v>
      </c>
      <c r="BF292">
        <v>84</v>
      </c>
      <c r="BG292">
        <v>8.6</v>
      </c>
      <c r="BH292">
        <v>4.66</v>
      </c>
      <c r="BI292">
        <v>4.4000000000000004</v>
      </c>
      <c r="BJ292">
        <v>3.25</v>
      </c>
      <c r="BK292">
        <v>1.8</v>
      </c>
      <c r="BL292">
        <f>(1/Table1[[#This Row],[odds_ft_home_team_win]]+1/Table1[[#This Row],[odds_ft_draw]]+1/Table1[[#This Row],[odds_ft_away_team_win]]-1)/3</f>
        <v>3.0173530173530194E-2</v>
      </c>
      <c r="BM292">
        <v>1.36</v>
      </c>
      <c r="BN292">
        <v>2.15</v>
      </c>
      <c r="BO292">
        <v>3.5</v>
      </c>
      <c r="BP292">
        <v>6.5</v>
      </c>
      <c r="BQ292">
        <v>1.91</v>
      </c>
      <c r="BR292">
        <v>1.8</v>
      </c>
      <c r="BS292" t="s">
        <v>82</v>
      </c>
      <c r="BT292">
        <f>VLOOKUP(Table1[[#This Row],[Reference]],metron,8,FALSE)</f>
        <v>0.89040268062788797</v>
      </c>
      <c r="BU292">
        <f>VLOOKUP(Table1[[#This Row],[Reference]],metron,9,FALSE)</f>
        <v>1.8482406971105219</v>
      </c>
      <c r="BV292">
        <f>VLOOKUP(Table1[[#This Row],[Reference]],metron,10,FALSE)</f>
        <v>2.7065095398428731</v>
      </c>
      <c r="BW292">
        <f>VLOOKUP(Table1[[#This Row],[Reference]],metron,11,FALSE)</f>
        <v>1.0101010101010099</v>
      </c>
      <c r="BX292">
        <f>VLOOKUP(Table1[[#This Row],[Reference]],metron,12,FALSE)</f>
        <v>1.696408529741863</v>
      </c>
      <c r="BY292" s="6">
        <f>VLOOKUP(Table1[[#This Row],[Reference]],metron,13,FALSE)</f>
        <v>0.44044943820224719</v>
      </c>
      <c r="BZ292" s="6">
        <f>VLOOKUP(Table1[[#This Row],[Reference]],metron,14,FALSE)</f>
        <v>0.74606741573033708</v>
      </c>
      <c r="CA292" s="6">
        <f>VLOOKUP(Table1[[#This Row],[Reference]],metron,15,FALSE)</f>
        <v>10.265072765072761</v>
      </c>
      <c r="CB292" s="6">
        <f>VLOOKUP(Table1[[#This Row],[Reference]],metron,16,FALSE)</f>
        <v>13.023908523908521</v>
      </c>
      <c r="CC292" s="6">
        <f>VLOOKUP(Table1[[#This Row],[Reference]],metron,17,FALSE)</f>
        <v>4.0483193277310923</v>
      </c>
      <c r="CD292" s="6">
        <f>VLOOKUP(Table1[[#This Row],[Reference]],metron,18,FALSE)</f>
        <v>5.60609243697479</v>
      </c>
      <c r="CE292" s="6">
        <f>VLOOKUP(Table1[[#This Row],[Reference]],metron,19,FALSE)</f>
        <v>6.2167534373416684</v>
      </c>
      <c r="CF292" s="6">
        <f>VLOOKUP(Table1[[#This Row],[Reference]],metron,20,FALSE)</f>
        <v>7.4178160869337306</v>
      </c>
      <c r="CG292" s="6">
        <f>VLOOKUP(Table1[[#This Row],[Reference]],metron,21,FALSE)</f>
        <v>13.223628691983119</v>
      </c>
      <c r="CH292" s="6">
        <f>VLOOKUP(Table1[[#This Row],[Reference]],metron,22,FALSE)</f>
        <v>12.78586497890295</v>
      </c>
      <c r="CI292" s="6">
        <f>VLOOKUP(Table1[[#This Row],[Reference]],metron,23,FALSE)</f>
        <v>1.8442211055276381</v>
      </c>
      <c r="CJ292" s="6">
        <f>VLOOKUP(Table1[[#This Row],[Reference]],metron,24,FALSE)</f>
        <v>1.7989949748743721</v>
      </c>
      <c r="CK292" s="6">
        <f>VLOOKUP(Table1[[#This Row],[Reference]],metron,25,FALSE)</f>
        <v>0.12060301507537689</v>
      </c>
      <c r="CL292" s="6">
        <f>VLOOKUP(Table1[[#This Row],[Reference]],metron,26,FALSE)</f>
        <v>0.11658291457286429</v>
      </c>
    </row>
    <row r="293" spans="1:90" hidden="1" x14ac:dyDescent="0.45">
      <c r="A293" t="s">
        <v>695</v>
      </c>
      <c r="B293">
        <v>1650074760</v>
      </c>
      <c r="C293" s="23" t="s">
        <v>609</v>
      </c>
      <c r="D293" t="s">
        <v>65</v>
      </c>
      <c r="E293" t="s">
        <v>66</v>
      </c>
      <c r="F293" t="s">
        <v>106</v>
      </c>
      <c r="G293" t="s">
        <v>68</v>
      </c>
      <c r="H293" t="s">
        <v>98</v>
      </c>
      <c r="I293">
        <f>MROUND(Table1[[#This Row],[ProbH]]*100,2)/100</f>
        <v>0.3</v>
      </c>
      <c r="J293">
        <f>1/Table1[[#This Row],[odds_ft_home_team_win]]-Table1[[#This Row],[Margin]]</f>
        <v>0.30743879472693031</v>
      </c>
      <c r="K293">
        <f>1/Table1[[#This Row],[odds_ft_draw]]-Table1[[#This Row],[Margin]]</f>
        <v>0.30743879472693031</v>
      </c>
      <c r="L293">
        <f>1/Table1[[#This Row],[odds_ft_away_team_win]]-Table1[[#This Row],[Margin]]</f>
        <v>0.38512241054613938</v>
      </c>
      <c r="M293">
        <v>14</v>
      </c>
      <c r="N293">
        <v>1.47</v>
      </c>
      <c r="O293">
        <v>1.38</v>
      </c>
      <c r="P293">
        <v>1.35</v>
      </c>
      <c r="Q293">
        <v>1.53</v>
      </c>
      <c r="R293" t="str" cm="1">
        <f t="array" ref="R2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3">
        <v>1</v>
      </c>
      <c r="T293">
        <v>3</v>
      </c>
      <c r="U293">
        <v>4</v>
      </c>
      <c r="V293">
        <v>3</v>
      </c>
      <c r="W293">
        <v>1</v>
      </c>
      <c r="X293">
        <v>2</v>
      </c>
      <c r="Y293">
        <v>31</v>
      </c>
      <c r="Z293" t="s">
        <v>610</v>
      </c>
      <c r="AA293">
        <v>6</v>
      </c>
      <c r="AB293">
        <v>7</v>
      </c>
      <c r="AC293">
        <v>3</v>
      </c>
      <c r="AD293">
        <v>0</v>
      </c>
      <c r="AE293">
        <v>2</v>
      </c>
      <c r="AF293">
        <v>0</v>
      </c>
      <c r="AG293">
        <v>0</v>
      </c>
      <c r="AH293">
        <v>3</v>
      </c>
      <c r="AI293">
        <v>2</v>
      </c>
      <c r="AJ293">
        <v>0</v>
      </c>
      <c r="AK293">
        <v>11</v>
      </c>
      <c r="AL293">
        <v>19</v>
      </c>
      <c r="AM293">
        <v>4</v>
      </c>
      <c r="AN293">
        <v>9</v>
      </c>
      <c r="AO293">
        <v>7</v>
      </c>
      <c r="AP293">
        <v>10</v>
      </c>
      <c r="AQ293">
        <v>16</v>
      </c>
      <c r="AR293">
        <v>15</v>
      </c>
      <c r="AS293">
        <v>50</v>
      </c>
      <c r="AT293">
        <v>50</v>
      </c>
      <c r="AU293">
        <v>1.22</v>
      </c>
      <c r="AV293">
        <v>2.2000000000000002</v>
      </c>
      <c r="AW293">
        <v>1.94</v>
      </c>
      <c r="AX293">
        <v>55</v>
      </c>
      <c r="AY293">
        <v>62</v>
      </c>
      <c r="AZ293">
        <v>33</v>
      </c>
      <c r="BA293">
        <v>13</v>
      </c>
      <c r="BB293">
        <v>7</v>
      </c>
      <c r="BC293">
        <v>35</v>
      </c>
      <c r="BD293">
        <v>58</v>
      </c>
      <c r="BE293">
        <v>20</v>
      </c>
      <c r="BF293">
        <v>65</v>
      </c>
      <c r="BG293">
        <v>9.1300000000000008</v>
      </c>
      <c r="BH293">
        <v>4.6399999999999997</v>
      </c>
      <c r="BI293">
        <v>2.95</v>
      </c>
      <c r="BJ293">
        <v>2.95</v>
      </c>
      <c r="BK293">
        <v>2.4</v>
      </c>
      <c r="BL293">
        <f>(1/Table1[[#This Row],[odds_ft_home_team_win]]+1/Table1[[#This Row],[odds_ft_draw]]+1/Table1[[#This Row],[odds_ft_away_team_win]]-1)/3</f>
        <v>3.1544256120527324E-2</v>
      </c>
      <c r="BM293">
        <v>1.4</v>
      </c>
      <c r="BN293">
        <v>2.25</v>
      </c>
      <c r="BO293">
        <v>4</v>
      </c>
      <c r="BP293">
        <v>7.5</v>
      </c>
      <c r="BQ293">
        <v>1.91</v>
      </c>
      <c r="BR293">
        <v>1.8</v>
      </c>
      <c r="BS293" t="s">
        <v>110</v>
      </c>
      <c r="BT293">
        <f>VLOOKUP(Table1[[#This Row],[Reference]],metron,8,FALSE)</f>
        <v>1.2142445227270171</v>
      </c>
      <c r="BU293">
        <f>VLOOKUP(Table1[[#This Row],[Reference]],metron,9,FALSE)</f>
        <v>1.4993969533036628</v>
      </c>
      <c r="BV293">
        <f>VLOOKUP(Table1[[#This Row],[Reference]],metron,10,FALSE)</f>
        <v>2.5726407816919519</v>
      </c>
      <c r="BW293">
        <f>VLOOKUP(Table1[[#This Row],[Reference]],metron,11,FALSE)</f>
        <v>1.1805091283106199</v>
      </c>
      <c r="BX293">
        <f>VLOOKUP(Table1[[#This Row],[Reference]],metron,12,FALSE)</f>
        <v>1.3921316533813319</v>
      </c>
      <c r="BY293" s="6">
        <f>VLOOKUP(Table1[[#This Row],[Reference]],metron,13,FALSE)</f>
        <v>0.5209673269873939</v>
      </c>
      <c r="BZ293" s="6">
        <f>VLOOKUP(Table1[[#This Row],[Reference]],metron,14,FALSE)</f>
        <v>0.61847182917417032</v>
      </c>
      <c r="CA293" s="6">
        <f>VLOOKUP(Table1[[#This Row],[Reference]],metron,15,FALSE)</f>
        <v>11.149200710479571</v>
      </c>
      <c r="CB293" s="6">
        <f>VLOOKUP(Table1[[#This Row],[Reference]],metron,16,FALSE)</f>
        <v>11.444049733570161</v>
      </c>
      <c r="CC293" s="6">
        <f>VLOOKUP(Table1[[#This Row],[Reference]],metron,17,FALSE)</f>
        <v>4.5257270693512304</v>
      </c>
      <c r="CD293" s="6">
        <f>VLOOKUP(Table1[[#This Row],[Reference]],metron,18,FALSE)</f>
        <v>4.8465324384787474</v>
      </c>
      <c r="CE293" s="6">
        <f>VLOOKUP(Table1[[#This Row],[Reference]],metron,19,FALSE)</f>
        <v>6.6234736411283404</v>
      </c>
      <c r="CF293" s="6">
        <f>VLOOKUP(Table1[[#This Row],[Reference]],metron,20,FALSE)</f>
        <v>6.5975172950914134</v>
      </c>
      <c r="CG293" s="6">
        <f>VLOOKUP(Table1[[#This Row],[Reference]],metron,21,FALSE)</f>
        <v>12.90081154192967</v>
      </c>
      <c r="CH293" s="6">
        <f>VLOOKUP(Table1[[#This Row],[Reference]],metron,22,FALSE)</f>
        <v>13.00360685302074</v>
      </c>
      <c r="CI293" s="6">
        <f>VLOOKUP(Table1[[#This Row],[Reference]],metron,23,FALSE)</f>
        <v>1.7502145922746779</v>
      </c>
      <c r="CJ293" s="6">
        <f>VLOOKUP(Table1[[#This Row],[Reference]],metron,24,FALSE)</f>
        <v>1.831402831402831</v>
      </c>
      <c r="CK293" s="6">
        <f>VLOOKUP(Table1[[#This Row],[Reference]],metron,25,FALSE)</f>
        <v>9.6525096525096526E-2</v>
      </c>
      <c r="CL293" s="6">
        <f>VLOOKUP(Table1[[#This Row],[Reference]],metron,26,FALSE)</f>
        <v>0.1244101244101244</v>
      </c>
    </row>
    <row r="294" spans="1:90" hidden="1" x14ac:dyDescent="0.45">
      <c r="A294" t="s">
        <v>695</v>
      </c>
      <c r="B294">
        <v>1650146400</v>
      </c>
      <c r="C294" s="23" t="s">
        <v>611</v>
      </c>
      <c r="D294" t="s">
        <v>65</v>
      </c>
      <c r="E294" t="s">
        <v>66</v>
      </c>
      <c r="F294" t="s">
        <v>85</v>
      </c>
      <c r="G294" t="s">
        <v>102</v>
      </c>
      <c r="H294" t="s">
        <v>92</v>
      </c>
      <c r="I294">
        <f>MROUND(Table1[[#This Row],[ProbH]]*100,2)/100</f>
        <v>0.46</v>
      </c>
      <c r="J294">
        <f>1/Table1[[#This Row],[odds_ft_home_team_win]]-Table1[[#This Row],[Margin]]</f>
        <v>0.45484117872177571</v>
      </c>
      <c r="K294">
        <f>1/Table1[[#This Row],[odds_ft_draw]]-Table1[[#This Row],[Margin]]</f>
        <v>0.27257941063911212</v>
      </c>
      <c r="L294">
        <f>1/Table1[[#This Row],[odds_ft_away_team_win]]-Table1[[#This Row],[Margin]]</f>
        <v>0.27257941063911212</v>
      </c>
      <c r="M294">
        <v>14</v>
      </c>
      <c r="N294">
        <v>1.67</v>
      </c>
      <c r="O294">
        <v>1.6</v>
      </c>
      <c r="P294">
        <v>1.55</v>
      </c>
      <c r="Q294">
        <v>1.42</v>
      </c>
      <c r="R294" t="str" cm="1">
        <f t="array" ref="R2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1</v>
      </c>
      <c r="Z294">
        <v>43</v>
      </c>
      <c r="AA294">
        <v>3</v>
      </c>
      <c r="AB294">
        <v>4</v>
      </c>
      <c r="AC294">
        <v>4</v>
      </c>
      <c r="AD294">
        <v>2</v>
      </c>
      <c r="AE294">
        <v>9</v>
      </c>
      <c r="AF294">
        <v>2</v>
      </c>
      <c r="AG294">
        <v>3</v>
      </c>
      <c r="AH294">
        <v>3</v>
      </c>
      <c r="AI294">
        <v>2</v>
      </c>
      <c r="AJ294">
        <v>9</v>
      </c>
      <c r="AK294">
        <v>16</v>
      </c>
      <c r="AL294">
        <v>25</v>
      </c>
      <c r="AM294">
        <v>0</v>
      </c>
      <c r="AN294">
        <v>9</v>
      </c>
      <c r="AO294">
        <v>16</v>
      </c>
      <c r="AP294">
        <v>16</v>
      </c>
      <c r="AQ294">
        <v>12</v>
      </c>
      <c r="AR294">
        <v>22</v>
      </c>
      <c r="AS294">
        <v>39</v>
      </c>
      <c r="AT294">
        <v>61</v>
      </c>
      <c r="AU294">
        <v>1.28</v>
      </c>
      <c r="AV294">
        <v>2.58</v>
      </c>
      <c r="AW294">
        <v>2.31</v>
      </c>
      <c r="AX294">
        <v>52</v>
      </c>
      <c r="AY294">
        <v>83</v>
      </c>
      <c r="AZ294">
        <v>39</v>
      </c>
      <c r="BA294">
        <v>10</v>
      </c>
      <c r="BB294">
        <v>7</v>
      </c>
      <c r="BC294">
        <v>31</v>
      </c>
      <c r="BD294">
        <v>75</v>
      </c>
      <c r="BE294">
        <v>37</v>
      </c>
      <c r="BF294">
        <v>76</v>
      </c>
      <c r="BG294">
        <v>9.44</v>
      </c>
      <c r="BH294">
        <v>5.39</v>
      </c>
      <c r="BI294">
        <v>2.08</v>
      </c>
      <c r="BJ294">
        <v>3.35</v>
      </c>
      <c r="BK294">
        <v>3.35</v>
      </c>
      <c r="BL294">
        <f>(1/Table1[[#This Row],[odds_ft_home_team_win]]+1/Table1[[#This Row],[odds_ft_draw]]+1/Table1[[#This Row],[odds_ft_away_team_win]]-1)/3</f>
        <v>2.5928052047455036E-2</v>
      </c>
      <c r="BM294">
        <v>1.31</v>
      </c>
      <c r="BN294">
        <v>2.0499999999999998</v>
      </c>
      <c r="BO294">
        <v>3.37</v>
      </c>
      <c r="BP294">
        <v>6.5</v>
      </c>
      <c r="BQ294">
        <v>1.87</v>
      </c>
      <c r="BR294">
        <v>1.89</v>
      </c>
      <c r="BS294" t="s">
        <v>128</v>
      </c>
      <c r="BT294">
        <f>VLOOKUP(Table1[[#This Row],[Reference]],metron,8,FALSE)</f>
        <v>1.6955772349985931</v>
      </c>
      <c r="BU294">
        <f>VLOOKUP(Table1[[#This Row],[Reference]],metron,9,FALSE)</f>
        <v>1.0239029519551039</v>
      </c>
      <c r="BV294">
        <f>VLOOKUP(Table1[[#This Row],[Reference]],metron,10,FALSE)</f>
        <v>2.5405629139072849</v>
      </c>
      <c r="BW294">
        <f>VLOOKUP(Table1[[#This Row],[Reference]],metron,11,FALSE)</f>
        <v>1.4888836329233679</v>
      </c>
      <c r="BX294">
        <f>VLOOKUP(Table1[[#This Row],[Reference]],metron,12,FALSE)</f>
        <v>1.0516792809839171</v>
      </c>
      <c r="BY294" s="6">
        <f>VLOOKUP(Table1[[#This Row],[Reference]],metron,13,FALSE)</f>
        <v>0.64581362346263005</v>
      </c>
      <c r="BZ294" s="6">
        <f>VLOOKUP(Table1[[#This Row],[Reference]],metron,14,FALSE)</f>
        <v>0.45364238410596031</v>
      </c>
      <c r="CA294" s="6">
        <f>VLOOKUP(Table1[[#This Row],[Reference]],metron,15,FALSE)</f>
        <v>12.686892177589851</v>
      </c>
      <c r="CB294" s="6">
        <f>VLOOKUP(Table1[[#This Row],[Reference]],metron,16,FALSE)</f>
        <v>9.8059196617336148</v>
      </c>
      <c r="CC294" s="6">
        <f>VLOOKUP(Table1[[#This Row],[Reference]],metron,17,FALSE)</f>
        <v>5.3198121263877027</v>
      </c>
      <c r="CD294" s="6">
        <f>VLOOKUP(Table1[[#This Row],[Reference]],metron,18,FALSE)</f>
        <v>4.0954312553373189</v>
      </c>
      <c r="CE294" s="6">
        <f>VLOOKUP(Table1[[#This Row],[Reference]],metron,19,FALSE)</f>
        <v>7.3670800512021479</v>
      </c>
      <c r="CF294" s="6">
        <f>VLOOKUP(Table1[[#This Row],[Reference]],metron,20,FALSE)</f>
        <v>5.710488406396296</v>
      </c>
      <c r="CG294" s="6">
        <f>VLOOKUP(Table1[[#This Row],[Reference]],metron,21,FALSE)</f>
        <v>13.0488908033599</v>
      </c>
      <c r="CH294" s="6">
        <f>VLOOKUP(Table1[[#This Row],[Reference]],metron,22,FALSE)</f>
        <v>13.714839543398661</v>
      </c>
      <c r="CI294" s="6">
        <f>VLOOKUP(Table1[[#This Row],[Reference]],metron,23,FALSE)</f>
        <v>1.567523459812322</v>
      </c>
      <c r="CJ294" s="6">
        <f>VLOOKUP(Table1[[#This Row],[Reference]],metron,24,FALSE)</f>
        <v>1.951040391676867</v>
      </c>
      <c r="CK294" s="6">
        <f>VLOOKUP(Table1[[#This Row],[Reference]],metron,25,FALSE)</f>
        <v>8.3027335781313744E-2</v>
      </c>
      <c r="CL294" s="6">
        <f>VLOOKUP(Table1[[#This Row],[Reference]],metron,26,FALSE)</f>
        <v>0.13117095063239501</v>
      </c>
    </row>
    <row r="295" spans="1:90" hidden="1" x14ac:dyDescent="0.45">
      <c r="A295" t="s">
        <v>695</v>
      </c>
      <c r="B295">
        <v>1650153600</v>
      </c>
      <c r="C295" s="23" t="s">
        <v>612</v>
      </c>
      <c r="D295" t="s">
        <v>65</v>
      </c>
      <c r="E295" t="s">
        <v>66</v>
      </c>
      <c r="F295" t="s">
        <v>73</v>
      </c>
      <c r="G295" t="s">
        <v>67</v>
      </c>
      <c r="H295" t="s">
        <v>158</v>
      </c>
      <c r="I295">
        <f>MROUND(Table1[[#This Row],[ProbH]]*100,2)/100</f>
        <v>0.54</v>
      </c>
      <c r="J295">
        <f>1/Table1[[#This Row],[odds_ft_home_team_win]]-Table1[[#This Row],[Margin]]</f>
        <v>0.54376064818026937</v>
      </c>
      <c r="K295">
        <f>1/Table1[[#This Row],[odds_ft_draw]]-Table1[[#This Row],[Margin]]</f>
        <v>0.25402221759676835</v>
      </c>
      <c r="L295">
        <f>1/Table1[[#This Row],[odds_ft_away_team_win]]-Table1[[#This Row],[Margin]]</f>
        <v>0.20221713422296234</v>
      </c>
      <c r="M295">
        <v>14</v>
      </c>
      <c r="N295">
        <v>1.65</v>
      </c>
      <c r="O295">
        <v>0.6</v>
      </c>
      <c r="P295">
        <v>1.58</v>
      </c>
      <c r="Q295">
        <v>0.65</v>
      </c>
      <c r="R295" s="9" t="str" cm="1">
        <f t="array" ref="R2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95">
        <v>1</v>
      </c>
      <c r="T295">
        <v>1</v>
      </c>
      <c r="U295">
        <v>2</v>
      </c>
      <c r="V295">
        <v>0</v>
      </c>
      <c r="W295">
        <v>0</v>
      </c>
      <c r="X295">
        <v>0</v>
      </c>
      <c r="Y295" t="s">
        <v>308</v>
      </c>
      <c r="Z295">
        <v>68</v>
      </c>
      <c r="AA295">
        <v>5</v>
      </c>
      <c r="AB295">
        <v>7</v>
      </c>
      <c r="AC295">
        <v>2</v>
      </c>
      <c r="AD295">
        <v>0</v>
      </c>
      <c r="AE295">
        <v>4</v>
      </c>
      <c r="AF295">
        <v>0</v>
      </c>
      <c r="AG295">
        <v>1</v>
      </c>
      <c r="AH295">
        <v>1</v>
      </c>
      <c r="AI295">
        <v>3</v>
      </c>
      <c r="AJ295">
        <v>1</v>
      </c>
      <c r="AK295">
        <v>21</v>
      </c>
      <c r="AL295">
        <v>12</v>
      </c>
      <c r="AM295">
        <v>9</v>
      </c>
      <c r="AN295">
        <v>5</v>
      </c>
      <c r="AO295">
        <v>12</v>
      </c>
      <c r="AP295">
        <v>7</v>
      </c>
      <c r="AQ295">
        <v>12</v>
      </c>
      <c r="AR295">
        <v>12</v>
      </c>
      <c r="AS295">
        <v>52</v>
      </c>
      <c r="AT295">
        <v>48</v>
      </c>
      <c r="AU295">
        <v>2.3199999999999998</v>
      </c>
      <c r="AV295">
        <v>1.45</v>
      </c>
      <c r="AW295">
        <v>2.2200000000000002</v>
      </c>
      <c r="AX295">
        <v>56</v>
      </c>
      <c r="AY295">
        <v>75</v>
      </c>
      <c r="AZ295">
        <v>34</v>
      </c>
      <c r="BA295">
        <v>21</v>
      </c>
      <c r="BB295">
        <v>9</v>
      </c>
      <c r="BC295">
        <v>19</v>
      </c>
      <c r="BD295">
        <v>57</v>
      </c>
      <c r="BE295">
        <v>46</v>
      </c>
      <c r="BF295">
        <v>75</v>
      </c>
      <c r="BG295">
        <v>11.22</v>
      </c>
      <c r="BH295">
        <v>4.84</v>
      </c>
      <c r="BI295">
        <v>1.75</v>
      </c>
      <c r="BJ295">
        <v>3.55</v>
      </c>
      <c r="BK295">
        <v>4.3499999999999996</v>
      </c>
      <c r="BL295">
        <f>(1/Table1[[#This Row],[odds_ft_home_team_win]]+1/Table1[[#This Row],[odds_ft_draw]]+1/Table1[[#This Row],[odds_ft_away_team_win]]-1)/3</f>
        <v>2.7667923248302067E-2</v>
      </c>
      <c r="BM295">
        <v>1.36</v>
      </c>
      <c r="BN295">
        <v>2.04</v>
      </c>
      <c r="BO295">
        <v>3.5</v>
      </c>
      <c r="BP295">
        <v>7</v>
      </c>
      <c r="BQ295">
        <v>2</v>
      </c>
      <c r="BR295">
        <v>1.73</v>
      </c>
      <c r="BS295" t="s">
        <v>142</v>
      </c>
      <c r="BT295">
        <f>VLOOKUP(Table1[[#This Row],[Reference]],metron,8,FALSE)</f>
        <v>1.915666026436746</v>
      </c>
      <c r="BU295">
        <f>VLOOKUP(Table1[[#This Row],[Reference]],metron,9,FALSE)</f>
        <v>0.82283834599204153</v>
      </c>
      <c r="BV295">
        <f>VLOOKUP(Table1[[#This Row],[Reference]],metron,10,FALSE)</f>
        <v>2.6359702267612941</v>
      </c>
      <c r="BW295">
        <f>VLOOKUP(Table1[[#This Row],[Reference]],metron,11,FALSE)</f>
        <v>1.684957590444867</v>
      </c>
      <c r="BX295">
        <f>VLOOKUP(Table1[[#This Row],[Reference]],metron,12,FALSE)</f>
        <v>0.95101263631642718</v>
      </c>
      <c r="BY295" s="6">
        <f>VLOOKUP(Table1[[#This Row],[Reference]],metron,13,FALSE)</f>
        <v>0.72650164445213783</v>
      </c>
      <c r="BZ295" s="6">
        <f>VLOOKUP(Table1[[#This Row],[Reference]],metron,14,FALSE)</f>
        <v>0.42097974727367138</v>
      </c>
      <c r="CA295" s="6">
        <f>VLOOKUP(Table1[[#This Row],[Reference]],metron,15,FALSE)</f>
        <v>13.338806970509379</v>
      </c>
      <c r="CB295" s="6">
        <f>VLOOKUP(Table1[[#This Row],[Reference]],metron,16,FALSE)</f>
        <v>9.2530160857908843</v>
      </c>
      <c r="CC295" s="6">
        <f>VLOOKUP(Table1[[#This Row],[Reference]],metron,17,FALSE)</f>
        <v>5.9915081521739131</v>
      </c>
      <c r="CD295" s="6">
        <f>VLOOKUP(Table1[[#This Row],[Reference]],metron,18,FALSE)</f>
        <v>3.9772418478260869</v>
      </c>
      <c r="CE295" s="6">
        <f>VLOOKUP(Table1[[#This Row],[Reference]],metron,19,FALSE)</f>
        <v>7.3472988183354664</v>
      </c>
      <c r="CF295" s="6">
        <f>VLOOKUP(Table1[[#This Row],[Reference]],metron,20,FALSE)</f>
        <v>5.2757742379647974</v>
      </c>
      <c r="CG295" s="6">
        <f>VLOOKUP(Table1[[#This Row],[Reference]],metron,21,FALSE)</f>
        <v>12.59428182437032</v>
      </c>
      <c r="CH295" s="6">
        <f>VLOOKUP(Table1[[#This Row],[Reference]],metron,22,FALSE)</f>
        <v>13.577944179714089</v>
      </c>
      <c r="CI295" s="6">
        <f>VLOOKUP(Table1[[#This Row],[Reference]],metron,23,FALSE)</f>
        <v>1.4276913099870301</v>
      </c>
      <c r="CJ295" s="6">
        <f>VLOOKUP(Table1[[#This Row],[Reference]],metron,24,FALSE)</f>
        <v>1.940985732814527</v>
      </c>
      <c r="CK295" s="6">
        <f>VLOOKUP(Table1[[#This Row],[Reference]],metron,25,FALSE)</f>
        <v>8.0739299610894946E-2</v>
      </c>
      <c r="CL295" s="6">
        <f>VLOOKUP(Table1[[#This Row],[Reference]],metron,26,FALSE)</f>
        <v>0.12743190661478601</v>
      </c>
    </row>
    <row r="296" spans="1:90" hidden="1" x14ac:dyDescent="0.45">
      <c r="A296" t="s">
        <v>695</v>
      </c>
      <c r="B296">
        <v>1650153600</v>
      </c>
      <c r="C296" s="23" t="s">
        <v>612</v>
      </c>
      <c r="D296" t="s">
        <v>65</v>
      </c>
      <c r="E296" t="s">
        <v>66</v>
      </c>
      <c r="F296" t="s">
        <v>107</v>
      </c>
      <c r="G296" t="s">
        <v>79</v>
      </c>
      <c r="H296" t="s">
        <v>69</v>
      </c>
      <c r="I296">
        <f>MROUND(Table1[[#This Row],[ProbH]]*100,2)/100</f>
        <v>0.68</v>
      </c>
      <c r="J296">
        <f>1/Table1[[#This Row],[odds_ft_home_team_win]]-Table1[[#This Row],[Margin]]</f>
        <v>0.68314125295508277</v>
      </c>
      <c r="K296">
        <f>1/Table1[[#This Row],[odds_ft_draw]]-Table1[[#This Row],[Margin]]</f>
        <v>0.18668735224586289</v>
      </c>
      <c r="L296">
        <f>1/Table1[[#This Row],[odds_ft_away_team_win]]-Table1[[#This Row],[Margin]]</f>
        <v>0.13017139479905437</v>
      </c>
      <c r="M296">
        <v>14</v>
      </c>
      <c r="N296">
        <v>2.12</v>
      </c>
      <c r="O296">
        <v>1.4</v>
      </c>
      <c r="P296">
        <v>2</v>
      </c>
      <c r="Q296">
        <v>1.29</v>
      </c>
      <c r="R296" t="str" cm="1">
        <f t="array" ref="R2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6">
        <v>3</v>
      </c>
      <c r="T296">
        <v>0</v>
      </c>
      <c r="U296">
        <v>3</v>
      </c>
      <c r="V296">
        <v>0</v>
      </c>
      <c r="W296">
        <v>0</v>
      </c>
      <c r="X296">
        <v>0</v>
      </c>
      <c r="Y296" t="s">
        <v>613</v>
      </c>
      <c r="AA296">
        <v>5</v>
      </c>
      <c r="AB296">
        <v>5</v>
      </c>
      <c r="AC296">
        <v>1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29</v>
      </c>
      <c r="AL296">
        <v>8</v>
      </c>
      <c r="AM296">
        <v>9</v>
      </c>
      <c r="AN296">
        <v>3</v>
      </c>
      <c r="AO296">
        <v>20</v>
      </c>
      <c r="AP296">
        <v>5</v>
      </c>
      <c r="AQ296">
        <v>13</v>
      </c>
      <c r="AR296">
        <v>11</v>
      </c>
      <c r="AS296">
        <v>57</v>
      </c>
      <c r="AT296">
        <v>43</v>
      </c>
      <c r="AU296">
        <v>3.02</v>
      </c>
      <c r="AV296">
        <v>0.87</v>
      </c>
      <c r="AW296">
        <v>2.5299999999999998</v>
      </c>
      <c r="AX296">
        <v>40</v>
      </c>
      <c r="AY296">
        <v>78</v>
      </c>
      <c r="AZ296">
        <v>50</v>
      </c>
      <c r="BA296">
        <v>23</v>
      </c>
      <c r="BB296">
        <v>7</v>
      </c>
      <c r="BC296">
        <v>28</v>
      </c>
      <c r="BD296">
        <v>73</v>
      </c>
      <c r="BE296">
        <v>37</v>
      </c>
      <c r="BF296">
        <v>78</v>
      </c>
      <c r="BG296">
        <v>10.16</v>
      </c>
      <c r="BH296">
        <v>4.76</v>
      </c>
      <c r="BI296">
        <v>1.41</v>
      </c>
      <c r="BJ296">
        <v>4.7</v>
      </c>
      <c r="BK296">
        <v>6.4</v>
      </c>
      <c r="BL296">
        <f>(1/Table1[[#This Row],[odds_ft_home_team_win]]+1/Table1[[#This Row],[odds_ft_draw]]+1/Table1[[#This Row],[odds_ft_away_team_win]]-1)/3</f>
        <v>2.6078605200945626E-2</v>
      </c>
      <c r="BM296">
        <v>1.25</v>
      </c>
      <c r="BN296">
        <v>1.71</v>
      </c>
      <c r="BO296">
        <v>2.75</v>
      </c>
      <c r="BP296">
        <v>5</v>
      </c>
      <c r="BQ296">
        <v>1.91</v>
      </c>
      <c r="BR296">
        <v>1.8</v>
      </c>
      <c r="BS296" t="s">
        <v>161</v>
      </c>
      <c r="BT296">
        <f>VLOOKUP(Table1[[#This Row],[Reference]],metron,8,FALSE)</f>
        <v>2.2809240428978073</v>
      </c>
      <c r="BU296">
        <f>VLOOKUP(Table1[[#This Row],[Reference]],metron,9,FALSE)</f>
        <v>0.51285766971545521</v>
      </c>
      <c r="BV296">
        <f>VLOOKUP(Table1[[#This Row],[Reference]],metron,10,FALSE)</f>
        <v>2.9107565011820329</v>
      </c>
      <c r="BW296">
        <f>VLOOKUP(Table1[[#This Row],[Reference]],metron,11,FALSE)</f>
        <v>2.1359338061465718</v>
      </c>
      <c r="BX296">
        <f>VLOOKUP(Table1[[#This Row],[Reference]],metron,12,FALSE)</f>
        <v>0.77482269503546097</v>
      </c>
      <c r="BY296" s="6">
        <f>VLOOKUP(Table1[[#This Row],[Reference]],metron,13,FALSE)</f>
        <v>0.93380614657210403</v>
      </c>
      <c r="BZ296" s="6">
        <f>VLOOKUP(Table1[[#This Row],[Reference]],metron,14,FALSE)</f>
        <v>0.33747044917257679</v>
      </c>
      <c r="CA296" s="6">
        <f>VLOOKUP(Table1[[#This Row],[Reference]],metron,15,FALSE)</f>
        <v>15.783723522853959</v>
      </c>
      <c r="CB296" s="6">
        <f>VLOOKUP(Table1[[#This Row],[Reference]],metron,16,FALSE)</f>
        <v>8.5830546265328866</v>
      </c>
      <c r="CC296" s="6">
        <f>VLOOKUP(Table1[[#This Row],[Reference]],metron,17,FALSE)</f>
        <v>6.7338618346545864</v>
      </c>
      <c r="CD296" s="6">
        <f>VLOOKUP(Table1[[#This Row],[Reference]],metron,18,FALSE)</f>
        <v>3.2842582106455271</v>
      </c>
      <c r="CE296" s="6">
        <f>VLOOKUP(Table1[[#This Row],[Reference]],metron,19,FALSE)</f>
        <v>9.049861688199373</v>
      </c>
      <c r="CF296" s="6">
        <f>VLOOKUP(Table1[[#This Row],[Reference]],metron,20,FALSE)</f>
        <v>5.2987964158873595</v>
      </c>
      <c r="CG296" s="6">
        <f>VLOOKUP(Table1[[#This Row],[Reference]],metron,21,FALSE)</f>
        <v>12.362500000000001</v>
      </c>
      <c r="CH296" s="6">
        <f>VLOOKUP(Table1[[#This Row],[Reference]],metron,22,FALSE)</f>
        <v>13.904545454545451</v>
      </c>
      <c r="CI296" s="6">
        <f>VLOOKUP(Table1[[#This Row],[Reference]],metron,23,FALSE)</f>
        <v>1.353005464480874</v>
      </c>
      <c r="CJ296" s="6">
        <f>VLOOKUP(Table1[[#This Row],[Reference]],metron,24,FALSE)</f>
        <v>2.0185792349726781</v>
      </c>
      <c r="CK296" s="6">
        <f>VLOOKUP(Table1[[#This Row],[Reference]],metron,25,FALSE)</f>
        <v>6.6666666666666666E-2</v>
      </c>
      <c r="CL296" s="6">
        <f>VLOOKUP(Table1[[#This Row],[Reference]],metron,26,FALSE)</f>
        <v>0.1213114754098361</v>
      </c>
    </row>
    <row r="297" spans="1:90" hidden="1" x14ac:dyDescent="0.45">
      <c r="A297" t="s">
        <v>695</v>
      </c>
      <c r="B297">
        <v>1650160800</v>
      </c>
      <c r="C297" s="23" t="s">
        <v>614</v>
      </c>
      <c r="D297" t="s">
        <v>65</v>
      </c>
      <c r="E297" t="s">
        <v>66</v>
      </c>
      <c r="F297" t="s">
        <v>112</v>
      </c>
      <c r="G297" t="s">
        <v>90</v>
      </c>
      <c r="H297" t="s">
        <v>74</v>
      </c>
      <c r="I297">
        <f>MROUND(Table1[[#This Row],[ProbH]]*100,2)/100</f>
        <v>0.42</v>
      </c>
      <c r="J297">
        <f>1/Table1[[#This Row],[odds_ft_home_team_win]]-Table1[[#This Row],[Margin]]</f>
        <v>0.41798941798941797</v>
      </c>
      <c r="K297">
        <f>1/Table1[[#This Row],[odds_ft_draw]]-Table1[[#This Row],[Margin]]</f>
        <v>0.29100529100529099</v>
      </c>
      <c r="L297">
        <f>1/Table1[[#This Row],[odds_ft_away_team_win]]-Table1[[#This Row],[Margin]]</f>
        <v>0.29100529100529099</v>
      </c>
      <c r="M297">
        <v>14</v>
      </c>
      <c r="N297">
        <v>1.5</v>
      </c>
      <c r="O297">
        <v>1.1299999999999999</v>
      </c>
      <c r="P297">
        <v>1.25</v>
      </c>
      <c r="Q297">
        <v>1.32</v>
      </c>
      <c r="R297" t="str" cm="1">
        <f t="array" ref="R2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Z297">
        <v>58</v>
      </c>
      <c r="AA297">
        <v>7</v>
      </c>
      <c r="AB297">
        <v>5</v>
      </c>
      <c r="AC297">
        <v>3</v>
      </c>
      <c r="AD297">
        <v>0</v>
      </c>
      <c r="AE297">
        <v>1</v>
      </c>
      <c r="AF297">
        <v>1</v>
      </c>
      <c r="AG297">
        <v>0</v>
      </c>
      <c r="AH297">
        <v>3</v>
      </c>
      <c r="AI297">
        <v>0</v>
      </c>
      <c r="AJ297">
        <v>2</v>
      </c>
      <c r="AK297">
        <v>13</v>
      </c>
      <c r="AL297">
        <v>14</v>
      </c>
      <c r="AM297">
        <v>2</v>
      </c>
      <c r="AN297">
        <v>7</v>
      </c>
      <c r="AO297">
        <v>11</v>
      </c>
      <c r="AP297">
        <v>7</v>
      </c>
      <c r="AQ297">
        <v>12</v>
      </c>
      <c r="AR297">
        <v>16</v>
      </c>
      <c r="AS297">
        <v>58</v>
      </c>
      <c r="AT297">
        <v>42</v>
      </c>
      <c r="AU297">
        <v>1.3</v>
      </c>
      <c r="AV297">
        <v>1.58</v>
      </c>
      <c r="AW297">
        <v>2.16</v>
      </c>
      <c r="AX297">
        <v>53</v>
      </c>
      <c r="AY297">
        <v>69</v>
      </c>
      <c r="AZ297">
        <v>41</v>
      </c>
      <c r="BA297">
        <v>19</v>
      </c>
      <c r="BB297">
        <v>3</v>
      </c>
      <c r="BC297">
        <v>28</v>
      </c>
      <c r="BD297">
        <v>66</v>
      </c>
      <c r="BE297">
        <v>41</v>
      </c>
      <c r="BF297">
        <v>72</v>
      </c>
      <c r="BG297">
        <v>9.1300000000000008</v>
      </c>
      <c r="BH297">
        <v>4.87</v>
      </c>
      <c r="BI297">
        <v>2.25</v>
      </c>
      <c r="BJ297">
        <v>3.15</v>
      </c>
      <c r="BK297">
        <v>3.15</v>
      </c>
      <c r="BL297">
        <f>(1/Table1[[#This Row],[odds_ft_home_team_win]]+1/Table1[[#This Row],[odds_ft_draw]]+1/Table1[[#This Row],[odds_ft_away_team_win]]-1)/3</f>
        <v>2.6455026455026436E-2</v>
      </c>
      <c r="BM297">
        <v>1.4</v>
      </c>
      <c r="BN297">
        <v>2.48</v>
      </c>
      <c r="BO297">
        <v>3.75</v>
      </c>
      <c r="BP297">
        <v>7.5</v>
      </c>
      <c r="BQ297">
        <v>1.91</v>
      </c>
      <c r="BR297">
        <v>1.8</v>
      </c>
      <c r="BS297" t="s">
        <v>116</v>
      </c>
      <c r="BT297">
        <f>VLOOKUP(Table1[[#This Row],[Reference]],metron,8,FALSE)</f>
        <v>1.5780106027030405</v>
      </c>
      <c r="BU297">
        <f>VLOOKUP(Table1[[#This Row],[Reference]],metron,9,FALSE)</f>
        <v>1.1353025412447635</v>
      </c>
      <c r="BV297">
        <f>VLOOKUP(Table1[[#This Row],[Reference]],metron,10,FALSE)</f>
        <v>2.4884649511978703</v>
      </c>
      <c r="BW297">
        <f>VLOOKUP(Table1[[#This Row],[Reference]],metron,11,FALSE)</f>
        <v>1.396960958296362</v>
      </c>
      <c r="BX297">
        <f>VLOOKUP(Table1[[#This Row],[Reference]],metron,12,FALSE)</f>
        <v>1.091503992901508</v>
      </c>
      <c r="BY297" s="6">
        <f>VLOOKUP(Table1[[#This Row],[Reference]],metron,13,FALSE)</f>
        <v>0.60765391014975045</v>
      </c>
      <c r="BZ297" s="6">
        <f>VLOOKUP(Table1[[#This Row],[Reference]],metron,14,FALSE)</f>
        <v>0.47276760953965608</v>
      </c>
      <c r="CA297" s="6">
        <f>VLOOKUP(Table1[[#This Row],[Reference]],metron,15,FALSE)</f>
        <v>12.29504785684561</v>
      </c>
      <c r="CB297" s="6">
        <f>VLOOKUP(Table1[[#This Row],[Reference]],metron,16,FALSE)</f>
        <v>10.047232625884311</v>
      </c>
      <c r="CC297" s="6">
        <f>VLOOKUP(Table1[[#This Row],[Reference]],metron,17,FALSE)</f>
        <v>5.2917192097519967</v>
      </c>
      <c r="CD297" s="6">
        <f>VLOOKUP(Table1[[#This Row],[Reference]],metron,18,FALSE)</f>
        <v>4.2580916351408158</v>
      </c>
      <c r="CE297" s="6">
        <f>VLOOKUP(Table1[[#This Row],[Reference]],metron,19,FALSE)</f>
        <v>7.0033286470936131</v>
      </c>
      <c r="CF297" s="6">
        <f>VLOOKUP(Table1[[#This Row],[Reference]],metron,20,FALSE)</f>
        <v>5.789140990743495</v>
      </c>
      <c r="CG297" s="6">
        <f>VLOOKUP(Table1[[#This Row],[Reference]],metron,21,FALSE)</f>
        <v>12.77041895895049</v>
      </c>
      <c r="CH297" s="6">
        <f>VLOOKUP(Table1[[#This Row],[Reference]],metron,22,FALSE)</f>
        <v>13.411129919593741</v>
      </c>
      <c r="CI297" s="6">
        <f>VLOOKUP(Table1[[#This Row],[Reference]],metron,23,FALSE)</f>
        <v>1.556141062018646</v>
      </c>
      <c r="CJ297" s="6">
        <f>VLOOKUP(Table1[[#This Row],[Reference]],metron,24,FALSE)</f>
        <v>1.9114308877178761</v>
      </c>
      <c r="CK297" s="6">
        <f>VLOOKUP(Table1[[#This Row],[Reference]],metron,25,FALSE)</f>
        <v>8.4920956627482766E-2</v>
      </c>
      <c r="CL297" s="6">
        <f>VLOOKUP(Table1[[#This Row],[Reference]],metron,26,FALSE)</f>
        <v>0.1323469801378192</v>
      </c>
    </row>
    <row r="298" spans="1:90" hidden="1" x14ac:dyDescent="0.45">
      <c r="A298" t="s">
        <v>695</v>
      </c>
      <c r="B298">
        <v>1650214800</v>
      </c>
      <c r="C298" s="23" t="s">
        <v>615</v>
      </c>
      <c r="D298" t="s">
        <v>65</v>
      </c>
      <c r="E298" t="s">
        <v>66</v>
      </c>
      <c r="F298" t="s">
        <v>96</v>
      </c>
      <c r="G298" t="s">
        <v>101</v>
      </c>
      <c r="H298" t="s">
        <v>215</v>
      </c>
      <c r="I298">
        <f>MROUND(Table1[[#This Row],[ProbH]]*100,2)/100</f>
        <v>0.32</v>
      </c>
      <c r="J298">
        <f>1/Table1[[#This Row],[odds_ft_home_team_win]]-Table1[[#This Row],[Margin]]</f>
        <v>0.32176539935160625</v>
      </c>
      <c r="K298">
        <f>1/Table1[[#This Row],[odds_ft_draw]]-Table1[[#This Row],[Margin]]</f>
        <v>0.28463012083701739</v>
      </c>
      <c r="L298">
        <f>1/Table1[[#This Row],[odds_ft_away_team_win]]-Table1[[#This Row],[Margin]]</f>
        <v>0.39360447981137636</v>
      </c>
      <c r="M298">
        <v>14</v>
      </c>
      <c r="N298">
        <v>1.41</v>
      </c>
      <c r="O298">
        <v>1.18</v>
      </c>
      <c r="P298">
        <v>1.58</v>
      </c>
      <c r="Q298">
        <v>1.05</v>
      </c>
      <c r="R298" t="str" cm="1">
        <f t="array" ref="R2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8">
        <v>2</v>
      </c>
      <c r="T298">
        <v>0</v>
      </c>
      <c r="U298">
        <v>2</v>
      </c>
      <c r="V298">
        <v>0</v>
      </c>
      <c r="W298">
        <v>0</v>
      </c>
      <c r="X298">
        <v>0</v>
      </c>
      <c r="Y298" t="s">
        <v>207</v>
      </c>
      <c r="AA298">
        <v>5</v>
      </c>
      <c r="AB298">
        <v>6</v>
      </c>
      <c r="AC298">
        <v>3</v>
      </c>
      <c r="AD298">
        <v>1</v>
      </c>
      <c r="AE298">
        <v>1</v>
      </c>
      <c r="AF298">
        <v>0</v>
      </c>
      <c r="AG298">
        <v>2</v>
      </c>
      <c r="AH298">
        <v>2</v>
      </c>
      <c r="AI298">
        <v>0</v>
      </c>
      <c r="AJ298">
        <v>1</v>
      </c>
      <c r="AK298">
        <v>16</v>
      </c>
      <c r="AL298">
        <v>18</v>
      </c>
      <c r="AM298">
        <v>6</v>
      </c>
      <c r="AN298">
        <v>5</v>
      </c>
      <c r="AO298">
        <v>10</v>
      </c>
      <c r="AP298">
        <v>13</v>
      </c>
      <c r="AQ298">
        <v>10</v>
      </c>
      <c r="AR298">
        <v>8</v>
      </c>
      <c r="AS298">
        <v>42</v>
      </c>
      <c r="AT298">
        <v>58</v>
      </c>
      <c r="AU298">
        <v>1.69</v>
      </c>
      <c r="AV298">
        <v>1.79</v>
      </c>
      <c r="AW298">
        <v>2.41</v>
      </c>
      <c r="AX298">
        <v>53</v>
      </c>
      <c r="AY298">
        <v>68</v>
      </c>
      <c r="AZ298">
        <v>47</v>
      </c>
      <c r="BA298">
        <v>32</v>
      </c>
      <c r="BB298">
        <v>9</v>
      </c>
      <c r="BC298">
        <v>33</v>
      </c>
      <c r="BD298">
        <v>62</v>
      </c>
      <c r="BE298">
        <v>41</v>
      </c>
      <c r="BF298">
        <v>65</v>
      </c>
      <c r="BG298">
        <v>10.36</v>
      </c>
      <c r="BH298">
        <v>4.76</v>
      </c>
      <c r="BI298">
        <v>2.9</v>
      </c>
      <c r="BJ298">
        <v>3.25</v>
      </c>
      <c r="BK298">
        <v>2.4</v>
      </c>
      <c r="BL298">
        <f>(1/Table1[[#This Row],[odds_ft_home_team_win]]+1/Table1[[#This Row],[odds_ft_draw]]+1/Table1[[#This Row],[odds_ft_away_team_win]]-1)/3</f>
        <v>2.306218685529034E-2</v>
      </c>
      <c r="BM298">
        <v>1.34</v>
      </c>
      <c r="BN298">
        <v>2.1</v>
      </c>
      <c r="BO298">
        <v>3.58</v>
      </c>
      <c r="BP298">
        <v>6.95</v>
      </c>
      <c r="BQ298">
        <v>1.79</v>
      </c>
      <c r="BR298">
        <v>1.92</v>
      </c>
      <c r="BS298" t="s">
        <v>99</v>
      </c>
      <c r="BT298">
        <f>VLOOKUP(Table1[[#This Row],[Reference]],metron,8,FALSE)</f>
        <v>1.274681051426811</v>
      </c>
      <c r="BU298">
        <f>VLOOKUP(Table1[[#This Row],[Reference]],metron,9,FALSE)</f>
        <v>1.4392482240810365</v>
      </c>
      <c r="BV298">
        <f>VLOOKUP(Table1[[#This Row],[Reference]],metron,10,FALSE)</f>
        <v>2.5313454284174597</v>
      </c>
      <c r="BW298">
        <f>VLOOKUP(Table1[[#This Row],[Reference]],metron,11,FALSE)</f>
        <v>1.210167055864918</v>
      </c>
      <c r="BX298">
        <f>VLOOKUP(Table1[[#This Row],[Reference]],metron,12,FALSE)</f>
        <v>1.3211783725525419</v>
      </c>
      <c r="BY298" s="6">
        <f>VLOOKUP(Table1[[#This Row],[Reference]],metron,13,FALSE)</f>
        <v>0.53135669362084459</v>
      </c>
      <c r="BZ298" s="6">
        <f>VLOOKUP(Table1[[#This Row],[Reference]],metron,14,FALSE)</f>
        <v>0.55633423180592989</v>
      </c>
      <c r="CA298" s="6">
        <f>VLOOKUP(Table1[[#This Row],[Reference]],metron,15,FALSE)</f>
        <v>11.21109010712035</v>
      </c>
      <c r="CB298" s="6">
        <f>VLOOKUP(Table1[[#This Row],[Reference]],metron,16,FALSE)</f>
        <v>11.01700787401575</v>
      </c>
      <c r="CC298" s="6">
        <f>VLOOKUP(Table1[[#This Row],[Reference]],metron,17,FALSE)</f>
        <v>4.6792332268370611</v>
      </c>
      <c r="CD298" s="6">
        <f>VLOOKUP(Table1[[#This Row],[Reference]],metron,18,FALSE)</f>
        <v>4.7080804854679013</v>
      </c>
      <c r="CE298" s="6">
        <f>VLOOKUP(Table1[[#This Row],[Reference]],metron,19,FALSE)</f>
        <v>6.5318568802832893</v>
      </c>
      <c r="CF298" s="6">
        <f>VLOOKUP(Table1[[#This Row],[Reference]],metron,20,FALSE)</f>
        <v>6.3089273885478487</v>
      </c>
      <c r="CG298" s="6">
        <f>VLOOKUP(Table1[[#This Row],[Reference]],metron,21,FALSE)</f>
        <v>12.72547770700637</v>
      </c>
      <c r="CH298" s="6">
        <f>VLOOKUP(Table1[[#This Row],[Reference]],metron,22,FALSE)</f>
        <v>13.06847133757962</v>
      </c>
      <c r="CI298" s="6">
        <f>VLOOKUP(Table1[[#This Row],[Reference]],metron,23,FALSE)</f>
        <v>1.6902356902356901</v>
      </c>
      <c r="CJ298" s="6">
        <f>VLOOKUP(Table1[[#This Row],[Reference]],metron,24,FALSE)</f>
        <v>1.8050198959289869</v>
      </c>
      <c r="CK298" s="6">
        <f>VLOOKUP(Table1[[#This Row],[Reference]],metron,25,FALSE)</f>
        <v>0.105907560453015</v>
      </c>
      <c r="CL298" s="6">
        <f>VLOOKUP(Table1[[#This Row],[Reference]],metron,26,FALSE)</f>
        <v>0.1141720232629324</v>
      </c>
    </row>
    <row r="299" spans="1:90" hidden="1" x14ac:dyDescent="0.45">
      <c r="A299" t="s">
        <v>695</v>
      </c>
      <c r="B299">
        <v>1650412800</v>
      </c>
      <c r="C299" s="23" t="s">
        <v>616</v>
      </c>
      <c r="D299" t="s">
        <v>65</v>
      </c>
      <c r="E299" t="s">
        <v>66</v>
      </c>
      <c r="F299" t="s">
        <v>84</v>
      </c>
      <c r="G299" t="s">
        <v>102</v>
      </c>
      <c r="H299" t="s">
        <v>103</v>
      </c>
      <c r="I299">
        <f>MROUND(Table1[[#This Row],[ProbH]]*100,2)/100</f>
        <v>0.56000000000000005</v>
      </c>
      <c r="J299">
        <f>1/Table1[[#This Row],[odds_ft_home_team_win]]-Table1[[#This Row],[Margin]]</f>
        <v>0.55470182317427774</v>
      </c>
      <c r="K299">
        <f>1/Table1[[#This Row],[odds_ft_draw]]-Table1[[#This Row],[Margin]]</f>
        <v>0.23997314100373504</v>
      </c>
      <c r="L299">
        <f>1/Table1[[#This Row],[odds_ft_away_team_win]]-Table1[[#This Row],[Margin]]</f>
        <v>0.20532503582198719</v>
      </c>
      <c r="M299">
        <v>15</v>
      </c>
      <c r="N299">
        <v>1.67</v>
      </c>
      <c r="O299">
        <v>1.69</v>
      </c>
      <c r="P299">
        <v>1.89</v>
      </c>
      <c r="Q299">
        <v>1.42</v>
      </c>
      <c r="R299" t="str" cm="1">
        <f t="array" ref="R2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11</v>
      </c>
      <c r="AA299">
        <v>8</v>
      </c>
      <c r="AB299">
        <v>4</v>
      </c>
      <c r="AC299">
        <v>1</v>
      </c>
      <c r="AD299">
        <v>1</v>
      </c>
      <c r="AE299">
        <v>2</v>
      </c>
      <c r="AF299">
        <v>0</v>
      </c>
      <c r="AG299">
        <v>0</v>
      </c>
      <c r="AH299">
        <v>2</v>
      </c>
      <c r="AI299">
        <v>0</v>
      </c>
      <c r="AJ299">
        <v>2</v>
      </c>
      <c r="AK299">
        <v>19</v>
      </c>
      <c r="AL299">
        <v>13</v>
      </c>
      <c r="AM299">
        <v>5</v>
      </c>
      <c r="AN299">
        <v>3</v>
      </c>
      <c r="AO299">
        <v>14</v>
      </c>
      <c r="AP299">
        <v>10</v>
      </c>
      <c r="AQ299">
        <v>10</v>
      </c>
      <c r="AR299">
        <v>15</v>
      </c>
      <c r="AS299">
        <v>38</v>
      </c>
      <c r="AT299">
        <v>62</v>
      </c>
      <c r="AU299">
        <v>1.84</v>
      </c>
      <c r="AV299">
        <v>1.36</v>
      </c>
      <c r="AW299">
        <v>2.19</v>
      </c>
      <c r="AX299">
        <v>52</v>
      </c>
      <c r="AY299">
        <v>74</v>
      </c>
      <c r="AZ299">
        <v>33</v>
      </c>
      <c r="BA299">
        <v>17</v>
      </c>
      <c r="BB299">
        <v>3</v>
      </c>
      <c r="BC299">
        <v>32</v>
      </c>
      <c r="BD299">
        <v>68</v>
      </c>
      <c r="BE299">
        <v>29</v>
      </c>
      <c r="BF299">
        <v>65</v>
      </c>
      <c r="BG299">
        <v>9.92</v>
      </c>
      <c r="BH299">
        <v>5.5</v>
      </c>
      <c r="BI299">
        <v>1.72</v>
      </c>
      <c r="BJ299">
        <v>3.75</v>
      </c>
      <c r="BK299">
        <v>4.3099999999999996</v>
      </c>
      <c r="BL299">
        <f>(1/Table1[[#This Row],[odds_ft_home_team_win]]+1/Table1[[#This Row],[odds_ft_draw]]+1/Table1[[#This Row],[odds_ft_away_team_win]]-1)/3</f>
        <v>2.6693525662931632E-2</v>
      </c>
      <c r="BM299">
        <v>1.2</v>
      </c>
      <c r="BN299">
        <v>1.68</v>
      </c>
      <c r="BO299">
        <v>2.56</v>
      </c>
      <c r="BP299">
        <v>4.57</v>
      </c>
      <c r="BQ299">
        <v>1.6</v>
      </c>
      <c r="BR299">
        <v>2.2000000000000002</v>
      </c>
      <c r="BS299" t="s">
        <v>88</v>
      </c>
      <c r="BT299">
        <f>VLOOKUP(Table1[[#This Row],[Reference]],metron,8,FALSE)</f>
        <v>1.9673156855724254</v>
      </c>
      <c r="BU299">
        <f>VLOOKUP(Table1[[#This Row],[Reference]],metron,9,FALSE)</f>
        <v>0.77729484582409181</v>
      </c>
      <c r="BV299">
        <f>VLOOKUP(Table1[[#This Row],[Reference]],metron,10,FALSE)</f>
        <v>2.6892488954344627</v>
      </c>
      <c r="BW299">
        <f>VLOOKUP(Table1[[#This Row],[Reference]],metron,11,FALSE)</f>
        <v>1.7546812539448771</v>
      </c>
      <c r="BX299">
        <f>VLOOKUP(Table1[[#This Row],[Reference]],metron,12,FALSE)</f>
        <v>0.93456764148958549</v>
      </c>
      <c r="BY299" s="6">
        <f>VLOOKUP(Table1[[#This Row],[Reference]],metron,13,FALSE)</f>
        <v>0.77824531874605507</v>
      </c>
      <c r="BZ299" s="6">
        <f>VLOOKUP(Table1[[#This Row],[Reference]],metron,14,FALSE)</f>
        <v>0.41237113402061848</v>
      </c>
      <c r="CA299" s="6">
        <f>VLOOKUP(Table1[[#This Row],[Reference]],metron,15,FALSE)</f>
        <v>13.77153558052435</v>
      </c>
      <c r="CB299" s="6">
        <f>VLOOKUP(Table1[[#This Row],[Reference]],metron,16,FALSE)</f>
        <v>9.0445692883895124</v>
      </c>
      <c r="CC299" s="6">
        <f>VLOOKUP(Table1[[#This Row],[Reference]],metron,17,FALSE)</f>
        <v>6.0821292775665396</v>
      </c>
      <c r="CD299" s="6">
        <f>VLOOKUP(Table1[[#This Row],[Reference]],metron,18,FALSE)</f>
        <v>3.8201520912547529</v>
      </c>
      <c r="CE299" s="6">
        <f>VLOOKUP(Table1[[#This Row],[Reference]],metron,19,FALSE)</f>
        <v>7.6894063029578108</v>
      </c>
      <c r="CF299" s="6">
        <f>VLOOKUP(Table1[[#This Row],[Reference]],metron,20,FALSE)</f>
        <v>5.224417197134759</v>
      </c>
      <c r="CG299" s="6">
        <f>VLOOKUP(Table1[[#This Row],[Reference]],metron,21,FALSE)</f>
        <v>12.297605473204101</v>
      </c>
      <c r="CH299" s="6">
        <f>VLOOKUP(Table1[[#This Row],[Reference]],metron,22,FALSE)</f>
        <v>13.310908399847969</v>
      </c>
      <c r="CI299" s="6">
        <f>VLOOKUP(Table1[[#This Row],[Reference]],metron,23,FALSE)</f>
        <v>1.3713126843657819</v>
      </c>
      <c r="CJ299" s="6">
        <f>VLOOKUP(Table1[[#This Row],[Reference]],metron,24,FALSE)</f>
        <v>1.9516961651917399</v>
      </c>
      <c r="CK299" s="6">
        <f>VLOOKUP(Table1[[#This Row],[Reference]],metron,25,FALSE)</f>
        <v>6.6002949852507375E-2</v>
      </c>
      <c r="CL299" s="6">
        <f>VLOOKUP(Table1[[#This Row],[Reference]],metron,26,FALSE)</f>
        <v>0.1297935103244838</v>
      </c>
    </row>
    <row r="300" spans="1:90" hidden="1" x14ac:dyDescent="0.45">
      <c r="A300" t="s">
        <v>695</v>
      </c>
      <c r="B300">
        <v>1650412800</v>
      </c>
      <c r="C300" s="23" t="s">
        <v>616</v>
      </c>
      <c r="D300" t="s">
        <v>65</v>
      </c>
      <c r="E300" t="s">
        <v>66</v>
      </c>
      <c r="F300" t="s">
        <v>72</v>
      </c>
      <c r="G300" t="s">
        <v>107</v>
      </c>
      <c r="H300" t="s">
        <v>583</v>
      </c>
      <c r="I300">
        <f>MROUND(Table1[[#This Row],[ProbH]]*100,2)/100</f>
        <v>0.26</v>
      </c>
      <c r="J300">
        <f>1/Table1[[#This Row],[odds_ft_home_team_win]]-Table1[[#This Row],[Margin]]</f>
        <v>0.25032877248943736</v>
      </c>
      <c r="K300">
        <f>1/Table1[[#This Row],[odds_ft_draw]]-Table1[[#This Row],[Margin]]</f>
        <v>0.2763507652704329</v>
      </c>
      <c r="L300">
        <f>1/Table1[[#This Row],[odds_ft_away_team_win]]-Table1[[#This Row],[Margin]]</f>
        <v>0.47332046224012986</v>
      </c>
      <c r="M300">
        <v>15</v>
      </c>
      <c r="N300">
        <v>1.2</v>
      </c>
      <c r="O300">
        <v>1.59</v>
      </c>
      <c r="P300">
        <v>1.24</v>
      </c>
      <c r="Q300">
        <v>1.48</v>
      </c>
      <c r="R300" t="str" cm="1">
        <f t="array" ref="R3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0">
        <v>2</v>
      </c>
      <c r="T300">
        <v>0</v>
      </c>
      <c r="U300">
        <v>2</v>
      </c>
      <c r="V300">
        <v>2</v>
      </c>
      <c r="W300">
        <v>2</v>
      </c>
      <c r="X300">
        <v>0</v>
      </c>
      <c r="Y300" t="s">
        <v>617</v>
      </c>
      <c r="AA300">
        <v>6</v>
      </c>
      <c r="AB300">
        <v>4</v>
      </c>
      <c r="AC300">
        <v>5</v>
      </c>
      <c r="AD300">
        <v>0</v>
      </c>
      <c r="AE300">
        <v>0</v>
      </c>
      <c r="AF300">
        <v>0</v>
      </c>
      <c r="AG300">
        <v>1</v>
      </c>
      <c r="AH300">
        <v>4</v>
      </c>
      <c r="AI300">
        <v>0</v>
      </c>
      <c r="AJ300">
        <v>0</v>
      </c>
      <c r="AK300">
        <v>8</v>
      </c>
      <c r="AL300">
        <v>16</v>
      </c>
      <c r="AM300">
        <v>6</v>
      </c>
      <c r="AN300">
        <v>3</v>
      </c>
      <c r="AO300">
        <v>2</v>
      </c>
      <c r="AP300">
        <v>13</v>
      </c>
      <c r="AQ300">
        <v>26</v>
      </c>
      <c r="AR300">
        <v>7</v>
      </c>
      <c r="AS300">
        <v>39</v>
      </c>
      <c r="AT300">
        <v>61</v>
      </c>
      <c r="AU300">
        <v>1.0900000000000001</v>
      </c>
      <c r="AV300">
        <v>1.63</v>
      </c>
      <c r="AW300">
        <v>2.65</v>
      </c>
      <c r="AX300">
        <v>46</v>
      </c>
      <c r="AY300">
        <v>74</v>
      </c>
      <c r="AZ300">
        <v>63</v>
      </c>
      <c r="BA300">
        <v>19</v>
      </c>
      <c r="BB300">
        <v>7</v>
      </c>
      <c r="BC300">
        <v>41</v>
      </c>
      <c r="BD300">
        <v>72</v>
      </c>
      <c r="BE300">
        <v>43</v>
      </c>
      <c r="BF300">
        <v>87</v>
      </c>
      <c r="BG300">
        <v>8.99</v>
      </c>
      <c r="BH300">
        <v>4.08</v>
      </c>
      <c r="BI300">
        <v>3.61</v>
      </c>
      <c r="BJ300">
        <v>3.3</v>
      </c>
      <c r="BK300">
        <v>2</v>
      </c>
      <c r="BL300">
        <f>(1/Table1[[#This Row],[odds_ft_home_team_win]]+1/Table1[[#This Row],[odds_ft_draw]]+1/Table1[[#This Row],[odds_ft_away_team_win]]-1)/3</f>
        <v>2.667953775987016E-2</v>
      </c>
      <c r="BM300">
        <v>1.34</v>
      </c>
      <c r="BN300">
        <v>2</v>
      </c>
      <c r="BO300">
        <v>3.58</v>
      </c>
      <c r="BP300">
        <v>7</v>
      </c>
      <c r="BQ300">
        <v>1.82</v>
      </c>
      <c r="BR300">
        <v>1.89</v>
      </c>
      <c r="BS300" t="s">
        <v>76</v>
      </c>
      <c r="BT300">
        <f>VLOOKUP(Table1[[#This Row],[Reference]],metron,8,FALSE)</f>
        <v>1.0905313574236399</v>
      </c>
      <c r="BU300">
        <f>VLOOKUP(Table1[[#This Row],[Reference]],metron,9,FALSE)</f>
        <v>1.6289415604939639</v>
      </c>
      <c r="BV300">
        <f>VLOOKUP(Table1[[#This Row],[Reference]],metron,10,FALSE)</f>
        <v>2.569449507838133</v>
      </c>
      <c r="BW300">
        <f>VLOOKUP(Table1[[#This Row],[Reference]],metron,11,FALSE)</f>
        <v>1.0936930368209989</v>
      </c>
      <c r="BX300">
        <f>VLOOKUP(Table1[[#This Row],[Reference]],metron,12,FALSE)</f>
        <v>1.475756471017134</v>
      </c>
      <c r="BY300" s="6">
        <f>VLOOKUP(Table1[[#This Row],[Reference]],metron,13,FALSE)</f>
        <v>0.50018228217280347</v>
      </c>
      <c r="BZ300" s="6">
        <f>VLOOKUP(Table1[[#This Row],[Reference]],metron,14,FALSE)</f>
        <v>0.65220561429092239</v>
      </c>
      <c r="CA300" s="6">
        <f>VLOOKUP(Table1[[#This Row],[Reference]],metron,15,FALSE)</f>
        <v>10.905576679340941</v>
      </c>
      <c r="CB300" s="6">
        <f>VLOOKUP(Table1[[#This Row],[Reference]],metron,16,FALSE)</f>
        <v>12.06463878326996</v>
      </c>
      <c r="CC300" s="6">
        <f>VLOOKUP(Table1[[#This Row],[Reference]],metron,17,FALSE)</f>
        <v>4.2920127795527154</v>
      </c>
      <c r="CD300" s="6">
        <f>VLOOKUP(Table1[[#This Row],[Reference]],metron,18,FALSE)</f>
        <v>5.0095846645367406</v>
      </c>
      <c r="CE300" s="6">
        <f>VLOOKUP(Table1[[#This Row],[Reference]],metron,19,FALSE)</f>
        <v>6.6135638997882253</v>
      </c>
      <c r="CF300" s="6">
        <f>VLOOKUP(Table1[[#This Row],[Reference]],metron,20,FALSE)</f>
        <v>7.055054118733219</v>
      </c>
      <c r="CG300" s="6">
        <f>VLOOKUP(Table1[[#This Row],[Reference]],metron,21,FALSE)</f>
        <v>12.94865211810013</v>
      </c>
      <c r="CH300" s="6">
        <f>VLOOKUP(Table1[[#This Row],[Reference]],metron,22,FALSE)</f>
        <v>13.189345314505781</v>
      </c>
      <c r="CI300" s="6">
        <f>VLOOKUP(Table1[[#This Row],[Reference]],metron,23,FALSE)</f>
        <v>1.771446078431373</v>
      </c>
      <c r="CJ300" s="6">
        <f>VLOOKUP(Table1[[#This Row],[Reference]],metron,24,FALSE)</f>
        <v>1.809436274509804</v>
      </c>
      <c r="CK300" s="6">
        <f>VLOOKUP(Table1[[#This Row],[Reference]],metron,25,FALSE)</f>
        <v>0.1060049019607843</v>
      </c>
      <c r="CL300" s="6">
        <f>VLOOKUP(Table1[[#This Row],[Reference]],metron,26,FALSE)</f>
        <v>9.6813725490196081E-2</v>
      </c>
    </row>
    <row r="301" spans="1:90" hidden="1" x14ac:dyDescent="0.45">
      <c r="A301" t="s">
        <v>695</v>
      </c>
      <c r="B301">
        <v>1650420000</v>
      </c>
      <c r="C301" s="23" t="s">
        <v>618</v>
      </c>
      <c r="D301" t="s">
        <v>65</v>
      </c>
      <c r="E301" t="s">
        <v>66</v>
      </c>
      <c r="F301" t="s">
        <v>113</v>
      </c>
      <c r="G301" t="s">
        <v>73</v>
      </c>
      <c r="H301" t="s">
        <v>130</v>
      </c>
      <c r="I301">
        <f>MROUND(Table1[[#This Row],[ProbH]]*100,2)/100</f>
        <v>0.3</v>
      </c>
      <c r="J301">
        <f>1/Table1[[#This Row],[odds_ft_home_team_win]]-Table1[[#This Row],[Margin]]</f>
        <v>0.29607228195937874</v>
      </c>
      <c r="K301">
        <f>1/Table1[[#This Row],[odds_ft_draw]]-Table1[[#This Row],[Margin]]</f>
        <v>0.28599163679808842</v>
      </c>
      <c r="L301">
        <f>1/Table1[[#This Row],[odds_ft_away_team_win]]-Table1[[#This Row],[Margin]]</f>
        <v>0.41793608124253284</v>
      </c>
      <c r="M301">
        <v>15</v>
      </c>
      <c r="N301">
        <v>1.53</v>
      </c>
      <c r="O301">
        <v>1.06</v>
      </c>
      <c r="P301">
        <v>1.71</v>
      </c>
      <c r="Q301">
        <v>1.1100000000000001</v>
      </c>
      <c r="R301" t="str" cm="1">
        <f t="array" ref="R3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38</v>
      </c>
      <c r="AA301">
        <v>6</v>
      </c>
      <c r="AB301">
        <v>5</v>
      </c>
      <c r="AC301">
        <v>3</v>
      </c>
      <c r="AD301">
        <v>0</v>
      </c>
      <c r="AE301">
        <v>3</v>
      </c>
      <c r="AF301">
        <v>1</v>
      </c>
      <c r="AG301">
        <v>0</v>
      </c>
      <c r="AH301">
        <v>3</v>
      </c>
      <c r="AI301">
        <v>0</v>
      </c>
      <c r="AJ301">
        <v>4</v>
      </c>
      <c r="AK301">
        <v>9</v>
      </c>
      <c r="AL301">
        <v>18</v>
      </c>
      <c r="AM301">
        <v>5</v>
      </c>
      <c r="AN301">
        <v>7</v>
      </c>
      <c r="AO301">
        <v>4</v>
      </c>
      <c r="AP301">
        <v>11</v>
      </c>
      <c r="AQ301">
        <v>15</v>
      </c>
      <c r="AR301">
        <v>13</v>
      </c>
      <c r="AS301">
        <v>54</v>
      </c>
      <c r="AT301">
        <v>46</v>
      </c>
      <c r="AU301">
        <v>1.3</v>
      </c>
      <c r="AV301">
        <v>1.98</v>
      </c>
      <c r="AW301">
        <v>2.52</v>
      </c>
      <c r="AX301">
        <v>65</v>
      </c>
      <c r="AY301">
        <v>78</v>
      </c>
      <c r="AZ301">
        <v>58</v>
      </c>
      <c r="BA301">
        <v>20</v>
      </c>
      <c r="BB301">
        <v>3</v>
      </c>
      <c r="BC301">
        <v>33</v>
      </c>
      <c r="BD301">
        <v>68</v>
      </c>
      <c r="BE301">
        <v>45</v>
      </c>
      <c r="BF301">
        <v>87</v>
      </c>
      <c r="BG301">
        <v>8.9700000000000006</v>
      </c>
      <c r="BH301">
        <v>5.88</v>
      </c>
      <c r="BI301">
        <v>3.1</v>
      </c>
      <c r="BJ301">
        <v>3.2</v>
      </c>
      <c r="BK301">
        <v>2.25</v>
      </c>
      <c r="BL301">
        <f>(1/Table1[[#This Row],[odds_ft_home_team_win]]+1/Table1[[#This Row],[odds_ft_draw]]+1/Table1[[#This Row],[odds_ft_away_team_win]]-1)/3</f>
        <v>2.650836320191156E-2</v>
      </c>
      <c r="BM301">
        <v>0</v>
      </c>
      <c r="BN301">
        <v>1.9</v>
      </c>
      <c r="BO301">
        <v>0</v>
      </c>
      <c r="BP301">
        <v>0</v>
      </c>
      <c r="BQ301">
        <v>0</v>
      </c>
      <c r="BR301">
        <v>0</v>
      </c>
      <c r="BS301" t="s">
        <v>120</v>
      </c>
      <c r="BT301">
        <f>VLOOKUP(Table1[[#This Row],[Reference]],metron,8,FALSE)</f>
        <v>1.2142445227270171</v>
      </c>
      <c r="BU301">
        <f>VLOOKUP(Table1[[#This Row],[Reference]],metron,9,FALSE)</f>
        <v>1.4993969533036628</v>
      </c>
      <c r="BV301">
        <f>VLOOKUP(Table1[[#This Row],[Reference]],metron,10,FALSE)</f>
        <v>2.5726407816919519</v>
      </c>
      <c r="BW301">
        <f>VLOOKUP(Table1[[#This Row],[Reference]],metron,11,FALSE)</f>
        <v>1.1805091283106199</v>
      </c>
      <c r="BX301">
        <f>VLOOKUP(Table1[[#This Row],[Reference]],metron,12,FALSE)</f>
        <v>1.3921316533813319</v>
      </c>
      <c r="BY301" s="6">
        <f>VLOOKUP(Table1[[#This Row],[Reference]],metron,13,FALSE)</f>
        <v>0.5209673269873939</v>
      </c>
      <c r="BZ301" s="6">
        <f>VLOOKUP(Table1[[#This Row],[Reference]],metron,14,FALSE)</f>
        <v>0.61847182917417032</v>
      </c>
      <c r="CA301" s="6">
        <f>VLOOKUP(Table1[[#This Row],[Reference]],metron,15,FALSE)</f>
        <v>11.149200710479571</v>
      </c>
      <c r="CB301" s="6">
        <f>VLOOKUP(Table1[[#This Row],[Reference]],metron,16,FALSE)</f>
        <v>11.444049733570161</v>
      </c>
      <c r="CC301" s="6">
        <f>VLOOKUP(Table1[[#This Row],[Reference]],metron,17,FALSE)</f>
        <v>4.5257270693512304</v>
      </c>
      <c r="CD301" s="6">
        <f>VLOOKUP(Table1[[#This Row],[Reference]],metron,18,FALSE)</f>
        <v>4.8465324384787474</v>
      </c>
      <c r="CE301" s="6">
        <f>VLOOKUP(Table1[[#This Row],[Reference]],metron,19,FALSE)</f>
        <v>6.6234736411283404</v>
      </c>
      <c r="CF301" s="6">
        <f>VLOOKUP(Table1[[#This Row],[Reference]],metron,20,FALSE)</f>
        <v>6.5975172950914134</v>
      </c>
      <c r="CG301" s="6">
        <f>VLOOKUP(Table1[[#This Row],[Reference]],metron,21,FALSE)</f>
        <v>12.90081154192967</v>
      </c>
      <c r="CH301" s="6">
        <f>VLOOKUP(Table1[[#This Row],[Reference]],metron,22,FALSE)</f>
        <v>13.00360685302074</v>
      </c>
      <c r="CI301" s="6">
        <f>VLOOKUP(Table1[[#This Row],[Reference]],metron,23,FALSE)</f>
        <v>1.7502145922746779</v>
      </c>
      <c r="CJ301" s="6">
        <f>VLOOKUP(Table1[[#This Row],[Reference]],metron,24,FALSE)</f>
        <v>1.831402831402831</v>
      </c>
      <c r="CK301" s="6">
        <f>VLOOKUP(Table1[[#This Row],[Reference]],metron,25,FALSE)</f>
        <v>9.6525096525096526E-2</v>
      </c>
      <c r="CL301" s="6">
        <f>VLOOKUP(Table1[[#This Row],[Reference]],metron,26,FALSE)</f>
        <v>0.1244101244101244</v>
      </c>
    </row>
    <row r="302" spans="1:90" hidden="1" x14ac:dyDescent="0.45">
      <c r="A302" t="s">
        <v>695</v>
      </c>
      <c r="B302">
        <v>1650420000</v>
      </c>
      <c r="C302" s="23" t="s">
        <v>618</v>
      </c>
      <c r="D302" t="s">
        <v>65</v>
      </c>
      <c r="E302" t="s">
        <v>66</v>
      </c>
      <c r="F302" t="s">
        <v>79</v>
      </c>
      <c r="G302" t="s">
        <v>78</v>
      </c>
      <c r="H302" t="s">
        <v>138</v>
      </c>
      <c r="I302">
        <f>MROUND(Table1[[#This Row],[ProbH]]*100,2)/100</f>
        <v>0.5</v>
      </c>
      <c r="J302">
        <f>1/Table1[[#This Row],[odds_ft_home_team_win]]-Table1[[#This Row],[Margin]]</f>
        <v>0.49959122404942841</v>
      </c>
      <c r="K302">
        <f>1/Table1[[#This Row],[odds_ft_draw]]-Table1[[#This Row],[Margin]]</f>
        <v>0.26739308163456776</v>
      </c>
      <c r="L302">
        <f>1/Table1[[#This Row],[odds_ft_away_team_win]]-Table1[[#This Row],[Margin]]</f>
        <v>0.23301569431600397</v>
      </c>
      <c r="M302">
        <v>15</v>
      </c>
      <c r="N302">
        <v>1.31</v>
      </c>
      <c r="O302">
        <v>0.6</v>
      </c>
      <c r="P302">
        <v>1.17</v>
      </c>
      <c r="Q302">
        <v>0.71</v>
      </c>
      <c r="R302" t="str" cm="1">
        <f t="array" ref="R3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Z302" t="s">
        <v>308</v>
      </c>
      <c r="AA302">
        <v>5</v>
      </c>
      <c r="AB302">
        <v>4</v>
      </c>
      <c r="AC302">
        <v>3</v>
      </c>
      <c r="AD302">
        <v>0</v>
      </c>
      <c r="AE302">
        <v>1</v>
      </c>
      <c r="AF302">
        <v>0</v>
      </c>
      <c r="AG302">
        <v>1</v>
      </c>
      <c r="AH302">
        <v>2</v>
      </c>
      <c r="AI302">
        <v>0</v>
      </c>
      <c r="AJ302">
        <v>1</v>
      </c>
      <c r="AK302">
        <v>16</v>
      </c>
      <c r="AL302">
        <v>11</v>
      </c>
      <c r="AM302">
        <v>4</v>
      </c>
      <c r="AN302">
        <v>3</v>
      </c>
      <c r="AO302">
        <v>12</v>
      </c>
      <c r="AP302">
        <v>8</v>
      </c>
      <c r="AQ302">
        <v>14</v>
      </c>
      <c r="AR302">
        <v>8</v>
      </c>
      <c r="AS302">
        <v>59</v>
      </c>
      <c r="AT302">
        <v>41</v>
      </c>
      <c r="AU302">
        <v>1.59</v>
      </c>
      <c r="AV302">
        <v>1.19</v>
      </c>
      <c r="AW302">
        <v>2.57</v>
      </c>
      <c r="AX302">
        <v>58</v>
      </c>
      <c r="AY302">
        <v>77</v>
      </c>
      <c r="AZ302">
        <v>54</v>
      </c>
      <c r="BA302">
        <v>26</v>
      </c>
      <c r="BB302">
        <v>3</v>
      </c>
      <c r="BC302">
        <v>42</v>
      </c>
      <c r="BD302">
        <v>58</v>
      </c>
      <c r="BE302">
        <v>49</v>
      </c>
      <c r="BF302">
        <v>84</v>
      </c>
      <c r="BG302">
        <v>7.57</v>
      </c>
      <c r="BH302">
        <v>5.47</v>
      </c>
      <c r="BI302">
        <v>1.9</v>
      </c>
      <c r="BJ302">
        <v>3.4</v>
      </c>
      <c r="BK302">
        <v>3.85</v>
      </c>
      <c r="BL302">
        <f>(1/Table1[[#This Row],[odds_ft_home_team_win]]+1/Table1[[#This Row],[odds_ft_draw]]+1/Table1[[#This Row],[odds_ft_away_team_win]]-1)/3</f>
        <v>2.6724565424255758E-2</v>
      </c>
      <c r="BM302">
        <v>1.25</v>
      </c>
      <c r="BN302">
        <v>1.9</v>
      </c>
      <c r="BO302">
        <v>2.96</v>
      </c>
      <c r="BP302">
        <v>5.5</v>
      </c>
      <c r="BQ302">
        <v>1.72</v>
      </c>
      <c r="BR302">
        <v>2.0099999999999998</v>
      </c>
      <c r="BS302" t="s">
        <v>140</v>
      </c>
      <c r="BT302">
        <f>VLOOKUP(Table1[[#This Row],[Reference]],metron,8,FALSE)</f>
        <v>1.8001937313313046</v>
      </c>
      <c r="BU302">
        <f>VLOOKUP(Table1[[#This Row],[Reference]],metron,9,FALSE)</f>
        <v>0.9268512077832276</v>
      </c>
      <c r="BV302">
        <f>VLOOKUP(Table1[[#This Row],[Reference]],metron,10,FALSE)</f>
        <v>2.5202079886551649</v>
      </c>
      <c r="BW302">
        <f>VLOOKUP(Table1[[#This Row],[Reference]],metron,11,FALSE)</f>
        <v>1.5342708579532029</v>
      </c>
      <c r="BX302">
        <f>VLOOKUP(Table1[[#This Row],[Reference]],metron,12,FALSE)</f>
        <v>0.98593713070196176</v>
      </c>
      <c r="BY302" s="6">
        <f>VLOOKUP(Table1[[#This Row],[Reference]],metron,13,FALSE)</f>
        <v>0.67513590167809023</v>
      </c>
      <c r="BZ302" s="6">
        <f>VLOOKUP(Table1[[#This Row],[Reference]],metron,14,FALSE)</f>
        <v>0.4286727337194185</v>
      </c>
      <c r="CA302" s="6">
        <f>VLOOKUP(Table1[[#This Row],[Reference]],metron,15,FALSE)</f>
        <v>12.98669114272602</v>
      </c>
      <c r="CB302" s="6">
        <f>VLOOKUP(Table1[[#This Row],[Reference]],metron,16,FALSE)</f>
        <v>9.4167049105094076</v>
      </c>
      <c r="CC302" s="6">
        <f>VLOOKUP(Table1[[#This Row],[Reference]],metron,17,FALSE)</f>
        <v>5.6645716945996272</v>
      </c>
      <c r="CD302" s="6">
        <f>VLOOKUP(Table1[[#This Row],[Reference]],metron,18,FALSE)</f>
        <v>4.0242085661080074</v>
      </c>
      <c r="CE302" s="6">
        <f>VLOOKUP(Table1[[#This Row],[Reference]],metron,19,FALSE)</f>
        <v>7.3221194481263927</v>
      </c>
      <c r="CF302" s="6">
        <f>VLOOKUP(Table1[[#This Row],[Reference]],metron,20,FALSE)</f>
        <v>5.3924963444014002</v>
      </c>
      <c r="CG302" s="6">
        <f>VLOOKUP(Table1[[#This Row],[Reference]],metron,21,FALSE)</f>
        <v>12.508162313432839</v>
      </c>
      <c r="CH302" s="6">
        <f>VLOOKUP(Table1[[#This Row],[Reference]],metron,22,FALSE)</f>
        <v>13.36963619402985</v>
      </c>
      <c r="CI302" s="6">
        <f>VLOOKUP(Table1[[#This Row],[Reference]],metron,23,FALSE)</f>
        <v>1.4438014689517029</v>
      </c>
      <c r="CJ302" s="6">
        <f>VLOOKUP(Table1[[#This Row],[Reference]],metron,24,FALSE)</f>
        <v>1.9410193634542621</v>
      </c>
      <c r="CK302" s="6">
        <f>VLOOKUP(Table1[[#This Row],[Reference]],metron,25,FALSE)</f>
        <v>8.4130870242599604E-2</v>
      </c>
      <c r="CL302" s="6">
        <f>VLOOKUP(Table1[[#This Row],[Reference]],metron,26,FALSE)</f>
        <v>0.1275317160026708</v>
      </c>
    </row>
    <row r="303" spans="1:90" hidden="1" x14ac:dyDescent="0.45">
      <c r="A303" t="s">
        <v>695</v>
      </c>
      <c r="B303">
        <v>1650420000</v>
      </c>
      <c r="C303" s="23" t="s">
        <v>618</v>
      </c>
      <c r="D303" t="s">
        <v>65</v>
      </c>
      <c r="E303" t="s">
        <v>66</v>
      </c>
      <c r="F303" t="s">
        <v>90</v>
      </c>
      <c r="G303" t="s">
        <v>106</v>
      </c>
      <c r="H303" t="s">
        <v>133</v>
      </c>
      <c r="I303">
        <f>MROUND(Table1[[#This Row],[ProbH]]*100,2)/100</f>
        <v>0.5</v>
      </c>
      <c r="J303">
        <f>1/Table1[[#This Row],[odds_ft_home_team_win]]-Table1[[#This Row],[Margin]]</f>
        <v>0.50523381499601772</v>
      </c>
      <c r="K303">
        <f>1/Table1[[#This Row],[odds_ft_draw]]-Table1[[#This Row],[Margin]]</f>
        <v>0.27634922440929954</v>
      </c>
      <c r="L303">
        <f>1/Table1[[#This Row],[odds_ft_away_team_win]]-Table1[[#This Row],[Margin]]</f>
        <v>0.21841696059468274</v>
      </c>
      <c r="M303">
        <v>15</v>
      </c>
      <c r="N303">
        <v>1.27</v>
      </c>
      <c r="O303">
        <v>0.6</v>
      </c>
      <c r="P303">
        <v>1.47</v>
      </c>
      <c r="Q303">
        <v>0.53</v>
      </c>
      <c r="R303" t="str" cm="1">
        <f t="array" ref="R3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1</v>
      </c>
      <c r="Y303" t="s">
        <v>619</v>
      </c>
      <c r="Z303">
        <v>12</v>
      </c>
      <c r="AA303">
        <v>5</v>
      </c>
      <c r="AB303">
        <v>4</v>
      </c>
      <c r="AC303">
        <v>2</v>
      </c>
      <c r="AD303">
        <v>0</v>
      </c>
      <c r="AE303">
        <v>5</v>
      </c>
      <c r="AF303">
        <v>0</v>
      </c>
      <c r="AG303">
        <v>2</v>
      </c>
      <c r="AH303">
        <v>0</v>
      </c>
      <c r="AI303">
        <v>2</v>
      </c>
      <c r="AJ303">
        <v>3</v>
      </c>
      <c r="AK303">
        <v>14</v>
      </c>
      <c r="AL303">
        <v>17</v>
      </c>
      <c r="AM303">
        <v>6</v>
      </c>
      <c r="AN303">
        <v>2</v>
      </c>
      <c r="AO303">
        <v>8</v>
      </c>
      <c r="AP303">
        <v>15</v>
      </c>
      <c r="AQ303">
        <v>10</v>
      </c>
      <c r="AR303">
        <v>17</v>
      </c>
      <c r="AS303">
        <v>44</v>
      </c>
      <c r="AT303">
        <v>56</v>
      </c>
      <c r="AU303">
        <v>1.64</v>
      </c>
      <c r="AV303">
        <v>1.47</v>
      </c>
      <c r="AW303">
        <v>2.6</v>
      </c>
      <c r="AX303">
        <v>50</v>
      </c>
      <c r="AY303">
        <v>83</v>
      </c>
      <c r="AZ303">
        <v>50</v>
      </c>
      <c r="BA303">
        <v>27</v>
      </c>
      <c r="BB303">
        <v>7</v>
      </c>
      <c r="BC303">
        <v>30</v>
      </c>
      <c r="BD303">
        <v>77</v>
      </c>
      <c r="BE303">
        <v>47</v>
      </c>
      <c r="BF303">
        <v>80</v>
      </c>
      <c r="BG303">
        <v>8.33</v>
      </c>
      <c r="BH303">
        <v>5.13</v>
      </c>
      <c r="BI303">
        <v>1.88</v>
      </c>
      <c r="BJ303">
        <v>3.3</v>
      </c>
      <c r="BK303">
        <v>4.08</v>
      </c>
      <c r="BL303">
        <f>(1/Table1[[#This Row],[odds_ft_home_team_win]]+1/Table1[[#This Row],[odds_ft_draw]]+1/Table1[[#This Row],[odds_ft_away_team_win]]-1)/3</f>
        <v>2.6681078621003513E-2</v>
      </c>
      <c r="BM303">
        <v>1.34</v>
      </c>
      <c r="BN303">
        <v>2.11</v>
      </c>
      <c r="BO303">
        <v>3.57</v>
      </c>
      <c r="BP303">
        <v>6.95</v>
      </c>
      <c r="BQ303">
        <v>1.8</v>
      </c>
      <c r="BR303">
        <v>1.9</v>
      </c>
      <c r="BS303" t="s">
        <v>94</v>
      </c>
      <c r="BT303">
        <f>VLOOKUP(Table1[[#This Row],[Reference]],metron,8,FALSE)</f>
        <v>1.8001937313313046</v>
      </c>
      <c r="BU303">
        <f>VLOOKUP(Table1[[#This Row],[Reference]],metron,9,FALSE)</f>
        <v>0.9268512077832276</v>
      </c>
      <c r="BV303">
        <f>VLOOKUP(Table1[[#This Row],[Reference]],metron,10,FALSE)</f>
        <v>2.5202079886551649</v>
      </c>
      <c r="BW303">
        <f>VLOOKUP(Table1[[#This Row],[Reference]],metron,11,FALSE)</f>
        <v>1.5342708579532029</v>
      </c>
      <c r="BX303">
        <f>VLOOKUP(Table1[[#This Row],[Reference]],metron,12,FALSE)</f>
        <v>0.98593713070196176</v>
      </c>
      <c r="BY303" s="6">
        <f>VLOOKUP(Table1[[#This Row],[Reference]],metron,13,FALSE)</f>
        <v>0.67513590167809023</v>
      </c>
      <c r="BZ303" s="6">
        <f>VLOOKUP(Table1[[#This Row],[Reference]],metron,14,FALSE)</f>
        <v>0.4286727337194185</v>
      </c>
      <c r="CA303" s="6">
        <f>VLOOKUP(Table1[[#This Row],[Reference]],metron,15,FALSE)</f>
        <v>12.98669114272602</v>
      </c>
      <c r="CB303" s="6">
        <f>VLOOKUP(Table1[[#This Row],[Reference]],metron,16,FALSE)</f>
        <v>9.4167049105094076</v>
      </c>
      <c r="CC303" s="6">
        <f>VLOOKUP(Table1[[#This Row],[Reference]],metron,17,FALSE)</f>
        <v>5.6645716945996272</v>
      </c>
      <c r="CD303" s="6">
        <f>VLOOKUP(Table1[[#This Row],[Reference]],metron,18,FALSE)</f>
        <v>4.0242085661080074</v>
      </c>
      <c r="CE303" s="6">
        <f>VLOOKUP(Table1[[#This Row],[Reference]],metron,19,FALSE)</f>
        <v>7.3221194481263927</v>
      </c>
      <c r="CF303" s="6">
        <f>VLOOKUP(Table1[[#This Row],[Reference]],metron,20,FALSE)</f>
        <v>5.3924963444014002</v>
      </c>
      <c r="CG303" s="6">
        <f>VLOOKUP(Table1[[#This Row],[Reference]],metron,21,FALSE)</f>
        <v>12.508162313432839</v>
      </c>
      <c r="CH303" s="6">
        <f>VLOOKUP(Table1[[#This Row],[Reference]],metron,22,FALSE)</f>
        <v>13.36963619402985</v>
      </c>
      <c r="CI303" s="6">
        <f>VLOOKUP(Table1[[#This Row],[Reference]],metron,23,FALSE)</f>
        <v>1.4438014689517029</v>
      </c>
      <c r="CJ303" s="6">
        <f>VLOOKUP(Table1[[#This Row],[Reference]],metron,24,FALSE)</f>
        <v>1.9410193634542621</v>
      </c>
      <c r="CK303" s="6">
        <f>VLOOKUP(Table1[[#This Row],[Reference]],metron,25,FALSE)</f>
        <v>8.4130870242599604E-2</v>
      </c>
      <c r="CL303" s="6">
        <f>VLOOKUP(Table1[[#This Row],[Reference]],metron,26,FALSE)</f>
        <v>0.1275317160026708</v>
      </c>
    </row>
    <row r="304" spans="1:90" hidden="1" x14ac:dyDescent="0.45">
      <c r="A304" t="s">
        <v>695</v>
      </c>
      <c r="B304">
        <v>1650499200</v>
      </c>
      <c r="C304" s="23" t="s">
        <v>620</v>
      </c>
      <c r="D304" t="s">
        <v>65</v>
      </c>
      <c r="E304" t="s">
        <v>66</v>
      </c>
      <c r="F304" t="s">
        <v>91</v>
      </c>
      <c r="G304" t="s">
        <v>96</v>
      </c>
      <c r="H304" t="s">
        <v>69</v>
      </c>
      <c r="I304">
        <f>MROUND(Table1[[#This Row],[ProbH]]*100,2)/100</f>
        <v>0.46</v>
      </c>
      <c r="J304">
        <f>1/Table1[[#This Row],[odds_ft_home_team_win]]-Table1[[#This Row],[Margin]]</f>
        <v>0.45759795759795757</v>
      </c>
      <c r="K304">
        <f>1/Table1[[#This Row],[odds_ft_draw]]-Table1[[#This Row],[Margin]]</f>
        <v>0.26254301254301254</v>
      </c>
      <c r="L304">
        <f>1/Table1[[#This Row],[odds_ft_away_team_win]]-Table1[[#This Row],[Margin]]</f>
        <v>0.27985902985902988</v>
      </c>
      <c r="M304">
        <v>15</v>
      </c>
      <c r="N304">
        <v>1.07</v>
      </c>
      <c r="O304">
        <v>1.28</v>
      </c>
      <c r="P304">
        <v>1.1100000000000001</v>
      </c>
      <c r="Q304">
        <v>1.1000000000000001</v>
      </c>
      <c r="R304" t="str" cm="1">
        <f t="array" ref="R3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4">
        <v>2</v>
      </c>
      <c r="T304">
        <v>0</v>
      </c>
      <c r="U304">
        <v>2</v>
      </c>
      <c r="V304">
        <v>1</v>
      </c>
      <c r="W304">
        <v>1</v>
      </c>
      <c r="X304">
        <v>0</v>
      </c>
      <c r="Y304" t="s">
        <v>621</v>
      </c>
      <c r="AA304">
        <v>2</v>
      </c>
      <c r="AB304">
        <v>7</v>
      </c>
      <c r="AC304">
        <v>3</v>
      </c>
      <c r="AD304">
        <v>0</v>
      </c>
      <c r="AE304">
        <v>2</v>
      </c>
      <c r="AF304">
        <v>0</v>
      </c>
      <c r="AG304">
        <v>2</v>
      </c>
      <c r="AH304">
        <v>1</v>
      </c>
      <c r="AI304">
        <v>2</v>
      </c>
      <c r="AJ304">
        <v>0</v>
      </c>
      <c r="AK304">
        <v>12</v>
      </c>
      <c r="AL304">
        <v>14</v>
      </c>
      <c r="AM304">
        <v>5</v>
      </c>
      <c r="AN304">
        <v>3</v>
      </c>
      <c r="AO304">
        <v>7</v>
      </c>
      <c r="AP304">
        <v>11</v>
      </c>
      <c r="AQ304">
        <v>16</v>
      </c>
      <c r="AR304">
        <v>9</v>
      </c>
      <c r="AS304">
        <v>44</v>
      </c>
      <c r="AT304">
        <v>56</v>
      </c>
      <c r="AU304">
        <v>1.34</v>
      </c>
      <c r="AV304">
        <v>1.36</v>
      </c>
      <c r="AW304">
        <v>2.4900000000000002</v>
      </c>
      <c r="AX304">
        <v>48</v>
      </c>
      <c r="AY304">
        <v>70</v>
      </c>
      <c r="AZ304">
        <v>45</v>
      </c>
      <c r="BA304">
        <v>24</v>
      </c>
      <c r="BB304">
        <v>10</v>
      </c>
      <c r="BC304">
        <v>27</v>
      </c>
      <c r="BD304">
        <v>70</v>
      </c>
      <c r="BE304">
        <v>31</v>
      </c>
      <c r="BF304">
        <v>88</v>
      </c>
      <c r="BG304">
        <v>8.56</v>
      </c>
      <c r="BH304">
        <v>5.34</v>
      </c>
      <c r="BI304">
        <v>2.08</v>
      </c>
      <c r="BJ304">
        <v>3.5</v>
      </c>
      <c r="BK304">
        <v>3.3</v>
      </c>
      <c r="BL304">
        <f>(1/Table1[[#This Row],[odds_ft_home_team_win]]+1/Table1[[#This Row],[odds_ft_draw]]+1/Table1[[#This Row],[odds_ft_away_team_win]]-1)/3</f>
        <v>2.3171273171273137E-2</v>
      </c>
      <c r="BM304">
        <v>1.29</v>
      </c>
      <c r="BN304">
        <v>1.81</v>
      </c>
      <c r="BO304">
        <v>3</v>
      </c>
      <c r="BP304">
        <v>5.5</v>
      </c>
      <c r="BQ304">
        <v>1.7</v>
      </c>
      <c r="BR304">
        <v>2.0499999999999998</v>
      </c>
      <c r="BS304" t="s">
        <v>144</v>
      </c>
      <c r="BT304">
        <f>VLOOKUP(Table1[[#This Row],[Reference]],metron,8,FALSE)</f>
        <v>1.6955772349985931</v>
      </c>
      <c r="BU304">
        <f>VLOOKUP(Table1[[#This Row],[Reference]],metron,9,FALSE)</f>
        <v>1.0239029519551039</v>
      </c>
      <c r="BV304">
        <f>VLOOKUP(Table1[[#This Row],[Reference]],metron,10,FALSE)</f>
        <v>2.5405629139072849</v>
      </c>
      <c r="BW304">
        <f>VLOOKUP(Table1[[#This Row],[Reference]],metron,11,FALSE)</f>
        <v>1.4888836329233679</v>
      </c>
      <c r="BX304">
        <f>VLOOKUP(Table1[[#This Row],[Reference]],metron,12,FALSE)</f>
        <v>1.0516792809839171</v>
      </c>
      <c r="BY304" s="6">
        <f>VLOOKUP(Table1[[#This Row],[Reference]],metron,13,FALSE)</f>
        <v>0.64581362346263005</v>
      </c>
      <c r="BZ304" s="6">
        <f>VLOOKUP(Table1[[#This Row],[Reference]],metron,14,FALSE)</f>
        <v>0.45364238410596031</v>
      </c>
      <c r="CA304" s="6">
        <f>VLOOKUP(Table1[[#This Row],[Reference]],metron,15,FALSE)</f>
        <v>12.686892177589851</v>
      </c>
      <c r="CB304" s="6">
        <f>VLOOKUP(Table1[[#This Row],[Reference]],metron,16,FALSE)</f>
        <v>9.8059196617336148</v>
      </c>
      <c r="CC304" s="6">
        <f>VLOOKUP(Table1[[#This Row],[Reference]],metron,17,FALSE)</f>
        <v>5.3198121263877027</v>
      </c>
      <c r="CD304" s="6">
        <f>VLOOKUP(Table1[[#This Row],[Reference]],metron,18,FALSE)</f>
        <v>4.0954312553373189</v>
      </c>
      <c r="CE304" s="6">
        <f>VLOOKUP(Table1[[#This Row],[Reference]],metron,19,FALSE)</f>
        <v>7.3670800512021479</v>
      </c>
      <c r="CF304" s="6">
        <f>VLOOKUP(Table1[[#This Row],[Reference]],metron,20,FALSE)</f>
        <v>5.710488406396296</v>
      </c>
      <c r="CG304" s="6">
        <f>VLOOKUP(Table1[[#This Row],[Reference]],metron,21,FALSE)</f>
        <v>13.0488908033599</v>
      </c>
      <c r="CH304" s="6">
        <f>VLOOKUP(Table1[[#This Row],[Reference]],metron,22,FALSE)</f>
        <v>13.714839543398661</v>
      </c>
      <c r="CI304" s="6">
        <f>VLOOKUP(Table1[[#This Row],[Reference]],metron,23,FALSE)</f>
        <v>1.567523459812322</v>
      </c>
      <c r="CJ304" s="6">
        <f>VLOOKUP(Table1[[#This Row],[Reference]],metron,24,FALSE)</f>
        <v>1.951040391676867</v>
      </c>
      <c r="CK304" s="6">
        <f>VLOOKUP(Table1[[#This Row],[Reference]],metron,25,FALSE)</f>
        <v>8.3027335781313744E-2</v>
      </c>
      <c r="CL304" s="6">
        <f>VLOOKUP(Table1[[#This Row],[Reference]],metron,26,FALSE)</f>
        <v>0.13117095063239501</v>
      </c>
    </row>
    <row r="305" spans="1:90" hidden="1" x14ac:dyDescent="0.45">
      <c r="A305" t="s">
        <v>695</v>
      </c>
      <c r="B305">
        <v>1650506400</v>
      </c>
      <c r="C305" s="23" t="s">
        <v>622</v>
      </c>
      <c r="D305" t="s">
        <v>65</v>
      </c>
      <c r="E305" t="s">
        <v>66</v>
      </c>
      <c r="F305" t="s">
        <v>68</v>
      </c>
      <c r="G305" t="s">
        <v>85</v>
      </c>
      <c r="H305" t="s">
        <v>114</v>
      </c>
      <c r="I305">
        <f>MROUND(Table1[[#This Row],[ProbH]]*100,2)/100</f>
        <v>0.46</v>
      </c>
      <c r="J305">
        <f>1/Table1[[#This Row],[odds_ft_home_team_win]]-Table1[[#This Row],[Margin]]</f>
        <v>0.46964547813750079</v>
      </c>
      <c r="K305">
        <f>1/Table1[[#This Row],[odds_ft_draw]]-Table1[[#This Row],[Margin]]</f>
        <v>0.27554210338564422</v>
      </c>
      <c r="L305">
        <f>1/Table1[[#This Row],[odds_ft_away_team_win]]-Table1[[#This Row],[Margin]]</f>
        <v>0.25481241847685487</v>
      </c>
      <c r="M305">
        <v>15</v>
      </c>
      <c r="N305">
        <v>1.88</v>
      </c>
      <c r="O305">
        <v>1.5</v>
      </c>
      <c r="P305">
        <v>1.9</v>
      </c>
      <c r="Q305">
        <v>1.4</v>
      </c>
      <c r="R305" t="str" cm="1">
        <f t="array" ref="R3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5">
        <v>2</v>
      </c>
      <c r="T305">
        <v>0</v>
      </c>
      <c r="U305">
        <v>2</v>
      </c>
      <c r="V305">
        <v>1</v>
      </c>
      <c r="W305">
        <v>1</v>
      </c>
      <c r="X305">
        <v>0</v>
      </c>
      <c r="Y305" t="s">
        <v>623</v>
      </c>
      <c r="AA305">
        <v>8</v>
      </c>
      <c r="AB305">
        <v>1</v>
      </c>
      <c r="AC305">
        <v>3</v>
      </c>
      <c r="AD305">
        <v>0</v>
      </c>
      <c r="AE305">
        <v>3</v>
      </c>
      <c r="AF305">
        <v>3</v>
      </c>
      <c r="AG305">
        <v>2</v>
      </c>
      <c r="AH305">
        <v>1</v>
      </c>
      <c r="AI305">
        <v>4</v>
      </c>
      <c r="AJ305">
        <v>2</v>
      </c>
      <c r="AK305">
        <v>20</v>
      </c>
      <c r="AL305">
        <v>8</v>
      </c>
      <c r="AM305">
        <v>8</v>
      </c>
      <c r="AN305">
        <v>3</v>
      </c>
      <c r="AO305">
        <v>12</v>
      </c>
      <c r="AP305">
        <v>5</v>
      </c>
      <c r="AQ305">
        <v>12</v>
      </c>
      <c r="AR305">
        <v>13</v>
      </c>
      <c r="AS305">
        <v>62</v>
      </c>
      <c r="AT305">
        <v>38</v>
      </c>
      <c r="AU305">
        <v>2.39</v>
      </c>
      <c r="AV305">
        <v>0.83</v>
      </c>
      <c r="AW305">
        <v>2.19</v>
      </c>
      <c r="AX305">
        <v>36</v>
      </c>
      <c r="AY305">
        <v>69</v>
      </c>
      <c r="AZ305">
        <v>42</v>
      </c>
      <c r="BA305">
        <v>15</v>
      </c>
      <c r="BB305">
        <v>3</v>
      </c>
      <c r="BC305">
        <v>24</v>
      </c>
      <c r="BD305">
        <v>65</v>
      </c>
      <c r="BE305">
        <v>28</v>
      </c>
      <c r="BF305">
        <v>74</v>
      </c>
      <c r="BG305">
        <v>9.5299999999999994</v>
      </c>
      <c r="BH305">
        <v>4.47</v>
      </c>
      <c r="BI305">
        <v>2.0299999999999998</v>
      </c>
      <c r="BJ305">
        <v>3.35</v>
      </c>
      <c r="BK305">
        <v>3.6</v>
      </c>
      <c r="BL305">
        <f>(1/Table1[[#This Row],[odds_ft_home_team_win]]+1/Table1[[#This Row],[odds_ft_draw]]+1/Table1[[#This Row],[odds_ft_away_team_win]]-1)/3</f>
        <v>2.2965359300922916E-2</v>
      </c>
      <c r="BM305">
        <v>1.36</v>
      </c>
      <c r="BN305">
        <v>1.94</v>
      </c>
      <c r="BO305">
        <v>3.5</v>
      </c>
      <c r="BP305">
        <v>6.5</v>
      </c>
      <c r="BQ305">
        <v>1.85</v>
      </c>
      <c r="BR305">
        <v>1.85</v>
      </c>
      <c r="BS305" t="s">
        <v>116</v>
      </c>
      <c r="BT305">
        <f>VLOOKUP(Table1[[#This Row],[Reference]],metron,8,FALSE)</f>
        <v>1.6955772349985931</v>
      </c>
      <c r="BU305">
        <f>VLOOKUP(Table1[[#This Row],[Reference]],metron,9,FALSE)</f>
        <v>1.0239029519551039</v>
      </c>
      <c r="BV305">
        <f>VLOOKUP(Table1[[#This Row],[Reference]],metron,10,FALSE)</f>
        <v>2.5405629139072849</v>
      </c>
      <c r="BW305">
        <f>VLOOKUP(Table1[[#This Row],[Reference]],metron,11,FALSE)</f>
        <v>1.4888836329233679</v>
      </c>
      <c r="BX305">
        <f>VLOOKUP(Table1[[#This Row],[Reference]],metron,12,FALSE)</f>
        <v>1.0516792809839171</v>
      </c>
      <c r="BY305" s="6">
        <f>VLOOKUP(Table1[[#This Row],[Reference]],metron,13,FALSE)</f>
        <v>0.64581362346263005</v>
      </c>
      <c r="BZ305" s="6">
        <f>VLOOKUP(Table1[[#This Row],[Reference]],metron,14,FALSE)</f>
        <v>0.45364238410596031</v>
      </c>
      <c r="CA305" s="6">
        <f>VLOOKUP(Table1[[#This Row],[Reference]],metron,15,FALSE)</f>
        <v>12.686892177589851</v>
      </c>
      <c r="CB305" s="6">
        <f>VLOOKUP(Table1[[#This Row],[Reference]],metron,16,FALSE)</f>
        <v>9.8059196617336148</v>
      </c>
      <c r="CC305" s="6">
        <f>VLOOKUP(Table1[[#This Row],[Reference]],metron,17,FALSE)</f>
        <v>5.3198121263877027</v>
      </c>
      <c r="CD305" s="6">
        <f>VLOOKUP(Table1[[#This Row],[Reference]],metron,18,FALSE)</f>
        <v>4.0954312553373189</v>
      </c>
      <c r="CE305" s="6">
        <f>VLOOKUP(Table1[[#This Row],[Reference]],metron,19,FALSE)</f>
        <v>7.3670800512021479</v>
      </c>
      <c r="CF305" s="6">
        <f>VLOOKUP(Table1[[#This Row],[Reference]],metron,20,FALSE)</f>
        <v>5.710488406396296</v>
      </c>
      <c r="CG305" s="6">
        <f>VLOOKUP(Table1[[#This Row],[Reference]],metron,21,FALSE)</f>
        <v>13.0488908033599</v>
      </c>
      <c r="CH305" s="6">
        <f>VLOOKUP(Table1[[#This Row],[Reference]],metron,22,FALSE)</f>
        <v>13.714839543398661</v>
      </c>
      <c r="CI305" s="6">
        <f>VLOOKUP(Table1[[#This Row],[Reference]],metron,23,FALSE)</f>
        <v>1.567523459812322</v>
      </c>
      <c r="CJ305" s="6">
        <f>VLOOKUP(Table1[[#This Row],[Reference]],metron,24,FALSE)</f>
        <v>1.951040391676867</v>
      </c>
      <c r="CK305" s="6">
        <f>VLOOKUP(Table1[[#This Row],[Reference]],metron,25,FALSE)</f>
        <v>8.3027335781313744E-2</v>
      </c>
      <c r="CL305" s="6">
        <f>VLOOKUP(Table1[[#This Row],[Reference]],metron,26,FALSE)</f>
        <v>0.13117095063239501</v>
      </c>
    </row>
    <row r="306" spans="1:90" hidden="1" x14ac:dyDescent="0.45">
      <c r="A306" t="s">
        <v>695</v>
      </c>
      <c r="B306">
        <v>1650506760</v>
      </c>
      <c r="C306" s="23" t="s">
        <v>624</v>
      </c>
      <c r="D306" t="s">
        <v>65</v>
      </c>
      <c r="E306" t="s">
        <v>66</v>
      </c>
      <c r="F306" t="s">
        <v>101</v>
      </c>
      <c r="G306" t="s">
        <v>97</v>
      </c>
      <c r="H306" t="s">
        <v>158</v>
      </c>
      <c r="I306">
        <f>MROUND(Table1[[#This Row],[ProbH]]*100,2)/100</f>
        <v>0.48</v>
      </c>
      <c r="J306">
        <f>1/Table1[[#This Row],[odds_ft_home_team_win]]-Table1[[#This Row],[Margin]]</f>
        <v>0.48209111163250534</v>
      </c>
      <c r="K306">
        <f>1/Table1[[#This Row],[odds_ft_draw]]-Table1[[#This Row],[Margin]]</f>
        <v>0.26689567904576839</v>
      </c>
      <c r="L306">
        <f>1/Table1[[#This Row],[odds_ft_away_team_win]]-Table1[[#This Row],[Margin]]</f>
        <v>0.25101320932172627</v>
      </c>
      <c r="M306">
        <v>15</v>
      </c>
      <c r="N306">
        <v>1.81</v>
      </c>
      <c r="O306">
        <v>1.67</v>
      </c>
      <c r="P306">
        <v>1.79</v>
      </c>
      <c r="Q306">
        <v>1.68</v>
      </c>
      <c r="R306" s="9" t="str" cm="1">
        <f t="array" ref="R3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A306">
        <v>3</v>
      </c>
      <c r="AB306">
        <v>3</v>
      </c>
      <c r="AC306">
        <v>0</v>
      </c>
      <c r="AD306">
        <v>1</v>
      </c>
      <c r="AE306">
        <v>3</v>
      </c>
      <c r="AF306">
        <v>0</v>
      </c>
      <c r="AG306">
        <v>0</v>
      </c>
      <c r="AH306">
        <v>1</v>
      </c>
      <c r="AI306">
        <v>1</v>
      </c>
      <c r="AJ306">
        <v>2</v>
      </c>
      <c r="AK306">
        <v>13</v>
      </c>
      <c r="AL306">
        <v>10</v>
      </c>
      <c r="AM306">
        <v>2</v>
      </c>
      <c r="AN306">
        <v>3</v>
      </c>
      <c r="AO306">
        <v>11</v>
      </c>
      <c r="AP306">
        <v>7</v>
      </c>
      <c r="AQ306">
        <v>9</v>
      </c>
      <c r="AR306">
        <v>13</v>
      </c>
      <c r="AS306">
        <v>46</v>
      </c>
      <c r="AT306">
        <v>54</v>
      </c>
      <c r="AU306">
        <v>1.26</v>
      </c>
      <c r="AV306">
        <v>1.2</v>
      </c>
      <c r="AW306">
        <v>1.97</v>
      </c>
      <c r="AX306">
        <v>35</v>
      </c>
      <c r="AY306">
        <v>60</v>
      </c>
      <c r="AZ306">
        <v>27</v>
      </c>
      <c r="BA306">
        <v>12</v>
      </c>
      <c r="BB306">
        <v>6</v>
      </c>
      <c r="BC306">
        <v>18</v>
      </c>
      <c r="BD306">
        <v>67</v>
      </c>
      <c r="BE306">
        <v>27</v>
      </c>
      <c r="BF306">
        <v>63</v>
      </c>
      <c r="BG306">
        <v>10.67</v>
      </c>
      <c r="BH306">
        <v>4.8600000000000003</v>
      </c>
      <c r="BI306">
        <v>1.98</v>
      </c>
      <c r="BJ306">
        <v>3.45</v>
      </c>
      <c r="BK306">
        <v>3.65</v>
      </c>
      <c r="BL306">
        <f>(1/Table1[[#This Row],[odds_ft_home_team_win]]+1/Table1[[#This Row],[odds_ft_draw]]+1/Table1[[#This Row],[odds_ft_away_team_win]]-1)/3</f>
        <v>2.2959393417999758E-2</v>
      </c>
      <c r="BM306">
        <v>1.36</v>
      </c>
      <c r="BN306">
        <v>2.25</v>
      </c>
      <c r="BO306">
        <v>3.5</v>
      </c>
      <c r="BP306">
        <v>7</v>
      </c>
      <c r="BQ306">
        <v>1.85</v>
      </c>
      <c r="BR306">
        <v>1.85</v>
      </c>
      <c r="BS306" t="s">
        <v>104</v>
      </c>
      <c r="BT306">
        <f>VLOOKUP(Table1[[#This Row],[Reference]],metron,8,FALSE)</f>
        <v>1.743992017160418</v>
      </c>
      <c r="BU306">
        <f>VLOOKUP(Table1[[#This Row],[Reference]],metron,9,FALSE)</f>
        <v>0.97803937284245479</v>
      </c>
      <c r="BV306">
        <f>VLOOKUP(Table1[[#This Row],[Reference]],metron,10,FALSE)</f>
        <v>2.5271929824561399</v>
      </c>
      <c r="BW306">
        <f>VLOOKUP(Table1[[#This Row],[Reference]],metron,11,FALSE)</f>
        <v>1.510877192982456</v>
      </c>
      <c r="BX306">
        <f>VLOOKUP(Table1[[#This Row],[Reference]],metron,12,FALSE)</f>
        <v>1.0163157894736841</v>
      </c>
      <c r="BY306" s="6">
        <f>VLOOKUP(Table1[[#This Row],[Reference]],metron,13,FALSE)</f>
        <v>0.67350877192982461</v>
      </c>
      <c r="BZ306" s="6">
        <f>VLOOKUP(Table1[[#This Row],[Reference]],metron,14,FALSE)</f>
        <v>0.4442105263157895</v>
      </c>
      <c r="CA306" s="6">
        <f>VLOOKUP(Table1[[#This Row],[Reference]],metron,15,FALSE)</f>
        <v>12.80980392156863</v>
      </c>
      <c r="CB306" s="6">
        <f>VLOOKUP(Table1[[#This Row],[Reference]],metron,16,FALSE)</f>
        <v>9.6872549019607845</v>
      </c>
      <c r="CC306" s="6">
        <f>VLOOKUP(Table1[[#This Row],[Reference]],metron,17,FALSE)</f>
        <v>5.6491169610129957</v>
      </c>
      <c r="CD306" s="6">
        <f>VLOOKUP(Table1[[#This Row],[Reference]],metron,18,FALSE)</f>
        <v>4.1379540153282237</v>
      </c>
      <c r="CE306" s="6">
        <f>VLOOKUP(Table1[[#This Row],[Reference]],metron,19,FALSE)</f>
        <v>7.1606869605556343</v>
      </c>
      <c r="CF306" s="6">
        <f>VLOOKUP(Table1[[#This Row],[Reference]],metron,20,FALSE)</f>
        <v>5.5493008866325608</v>
      </c>
      <c r="CG306" s="6">
        <f>VLOOKUP(Table1[[#This Row],[Reference]],metron,21,FALSE)</f>
        <v>12.9029029029029</v>
      </c>
      <c r="CH306" s="6">
        <f>VLOOKUP(Table1[[#This Row],[Reference]],metron,22,FALSE)</f>
        <v>13.75508842175509</v>
      </c>
      <c r="CI306" s="6">
        <f>VLOOKUP(Table1[[#This Row],[Reference]],metron,23,FALSE)</f>
        <v>1.5287356321839081</v>
      </c>
      <c r="CJ306" s="6">
        <f>VLOOKUP(Table1[[#This Row],[Reference]],metron,24,FALSE)</f>
        <v>1.9664750957854411</v>
      </c>
      <c r="CK306" s="6">
        <f>VLOOKUP(Table1[[#This Row],[Reference]],metron,25,FALSE)</f>
        <v>8.8441890166028103E-2</v>
      </c>
      <c r="CL306" s="6">
        <f>VLOOKUP(Table1[[#This Row],[Reference]],metron,26,FALSE)</f>
        <v>0.13409961685823751</v>
      </c>
    </row>
    <row r="307" spans="1:90" hidden="1" x14ac:dyDescent="0.45">
      <c r="A307" t="s">
        <v>695</v>
      </c>
      <c r="B307">
        <v>1650592800</v>
      </c>
      <c r="C307" s="23" t="s">
        <v>625</v>
      </c>
      <c r="D307" t="s">
        <v>65</v>
      </c>
      <c r="E307" t="s">
        <v>66</v>
      </c>
      <c r="F307" t="s">
        <v>67</v>
      </c>
      <c r="G307" t="s">
        <v>112</v>
      </c>
      <c r="H307" t="s">
        <v>122</v>
      </c>
      <c r="I307">
        <f>MROUND(Table1[[#This Row],[ProbH]]*100,2)/100</f>
        <v>0.36</v>
      </c>
      <c r="J307">
        <f>1/Table1[[#This Row],[odds_ft_home_team_win]]-Table1[[#This Row],[Margin]]</f>
        <v>0.35926525581697993</v>
      </c>
      <c r="K307">
        <f>1/Table1[[#This Row],[odds_ft_draw]]-Table1[[#This Row],[Margin]]</f>
        <v>0.29395700085355259</v>
      </c>
      <c r="L307">
        <f>1/Table1[[#This Row],[odds_ft_away_team_win]]-Table1[[#This Row],[Margin]]</f>
        <v>0.34677774332946742</v>
      </c>
      <c r="M307">
        <v>15</v>
      </c>
      <c r="N307">
        <v>1.2</v>
      </c>
      <c r="O307">
        <v>1.33</v>
      </c>
      <c r="P307">
        <v>1.24</v>
      </c>
      <c r="Q307">
        <v>1.5</v>
      </c>
      <c r="R307" t="str" cm="1">
        <f t="array" ref="R3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Z307">
        <v>74</v>
      </c>
      <c r="AA307">
        <v>4</v>
      </c>
      <c r="AB307">
        <v>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19</v>
      </c>
      <c r="AL307">
        <v>12</v>
      </c>
      <c r="AM307">
        <v>4</v>
      </c>
      <c r="AN307">
        <v>5</v>
      </c>
      <c r="AO307">
        <v>15</v>
      </c>
      <c r="AP307">
        <v>7</v>
      </c>
      <c r="AQ307">
        <v>7</v>
      </c>
      <c r="AR307">
        <v>11</v>
      </c>
      <c r="AS307">
        <v>59</v>
      </c>
      <c r="AT307">
        <v>41</v>
      </c>
      <c r="AU307">
        <v>1.95</v>
      </c>
      <c r="AV307">
        <v>1.33</v>
      </c>
      <c r="AW307">
        <v>2.2400000000000002</v>
      </c>
      <c r="AX307">
        <v>50</v>
      </c>
      <c r="AY307">
        <v>64</v>
      </c>
      <c r="AZ307">
        <v>34</v>
      </c>
      <c r="BA307">
        <v>20</v>
      </c>
      <c r="BB307">
        <v>10</v>
      </c>
      <c r="BC307">
        <v>34</v>
      </c>
      <c r="BD307">
        <v>74</v>
      </c>
      <c r="BE307">
        <v>24</v>
      </c>
      <c r="BF307">
        <v>60</v>
      </c>
      <c r="BG307">
        <v>7.73</v>
      </c>
      <c r="BH307">
        <v>6</v>
      </c>
      <c r="BI307">
        <v>2.64</v>
      </c>
      <c r="BJ307">
        <v>3.19</v>
      </c>
      <c r="BK307">
        <v>2.73</v>
      </c>
      <c r="BL307">
        <f>(1/Table1[[#This Row],[odds_ft_home_team_win]]+1/Table1[[#This Row],[odds_ft_draw]]+1/Table1[[#This Row],[odds_ft_away_team_win]]-1)/3</f>
        <v>1.9522622970898833E-2</v>
      </c>
      <c r="BM307">
        <v>1.44</v>
      </c>
      <c r="BN307">
        <v>2.08</v>
      </c>
      <c r="BO307">
        <v>4</v>
      </c>
      <c r="BP307">
        <v>8</v>
      </c>
      <c r="BQ307">
        <v>1.95</v>
      </c>
      <c r="BR307">
        <v>1.8</v>
      </c>
      <c r="BS307" t="s">
        <v>70</v>
      </c>
      <c r="BT307">
        <f>VLOOKUP(Table1[[#This Row],[Reference]],metron,8,FALSE)</f>
        <v>1.4023864615972674</v>
      </c>
      <c r="BU307">
        <f>VLOOKUP(Table1[[#This Row],[Reference]],metron,9,FALSE)</f>
        <v>1.3093265904245279</v>
      </c>
      <c r="BV307">
        <f>VLOOKUP(Table1[[#This Row],[Reference]],metron,10,FALSE)</f>
        <v>2.5110350525197691</v>
      </c>
      <c r="BW307">
        <f>VLOOKUP(Table1[[#This Row],[Reference]],metron,11,FALSE)</f>
        <v>1.269326094653606</v>
      </c>
      <c r="BX307">
        <f>VLOOKUP(Table1[[#This Row],[Reference]],metron,12,FALSE)</f>
        <v>1.2417089578661631</v>
      </c>
      <c r="BY307" s="6">
        <f>VLOOKUP(Table1[[#This Row],[Reference]],metron,13,FALSE)</f>
        <v>0.56586402266288949</v>
      </c>
      <c r="BZ307" s="6">
        <f>VLOOKUP(Table1[[#This Row],[Reference]],metron,14,FALSE)</f>
        <v>0.55158168083097259</v>
      </c>
      <c r="CA307" s="6">
        <f>VLOOKUP(Table1[[#This Row],[Reference]],metron,15,FALSE)</f>
        <v>11.49400826446281</v>
      </c>
      <c r="CB307" s="6">
        <f>VLOOKUP(Table1[[#This Row],[Reference]],metron,16,FALSE)</f>
        <v>10.507231404958681</v>
      </c>
      <c r="CC307" s="6">
        <f>VLOOKUP(Table1[[#This Row],[Reference]],metron,17,FALSE)</f>
        <v>4.9238790406673623</v>
      </c>
      <c r="CD307" s="6">
        <f>VLOOKUP(Table1[[#This Row],[Reference]],metron,18,FALSE)</f>
        <v>4.6296141814389991</v>
      </c>
      <c r="CE307" s="6">
        <f>VLOOKUP(Table1[[#This Row],[Reference]],metron,19,FALSE)</f>
        <v>6.5701292237954476</v>
      </c>
      <c r="CF307" s="6">
        <f>VLOOKUP(Table1[[#This Row],[Reference]],metron,20,FALSE)</f>
        <v>5.8776172235196817</v>
      </c>
      <c r="CG307" s="6">
        <f>VLOOKUP(Table1[[#This Row],[Reference]],metron,21,FALSE)</f>
        <v>12.798739495798319</v>
      </c>
      <c r="CH307" s="6">
        <f>VLOOKUP(Table1[[#This Row],[Reference]],metron,22,FALSE)</f>
        <v>12.98844537815126</v>
      </c>
      <c r="CI307" s="6">
        <f>VLOOKUP(Table1[[#This Row],[Reference]],metron,23,FALSE)</f>
        <v>1.604928297313674</v>
      </c>
      <c r="CJ307" s="6">
        <f>VLOOKUP(Table1[[#This Row],[Reference]],metron,24,FALSE)</f>
        <v>1.791961219955565</v>
      </c>
      <c r="CK307" s="6">
        <f>VLOOKUP(Table1[[#This Row],[Reference]],metron,25,FALSE)</f>
        <v>8.887093516461321E-2</v>
      </c>
      <c r="CL307" s="6">
        <f>VLOOKUP(Table1[[#This Row],[Reference]],metron,26,FALSE)</f>
        <v>0.11694607150070691</v>
      </c>
    </row>
    <row r="308" spans="1:90" hidden="1" x14ac:dyDescent="0.45">
      <c r="A308" t="s">
        <v>695</v>
      </c>
      <c r="B308">
        <v>1650672000</v>
      </c>
      <c r="C308" s="23" t="s">
        <v>626</v>
      </c>
      <c r="D308" t="s">
        <v>65</v>
      </c>
      <c r="E308" t="s">
        <v>66</v>
      </c>
      <c r="F308" t="s">
        <v>102</v>
      </c>
      <c r="G308" t="s">
        <v>72</v>
      </c>
      <c r="H308" t="s">
        <v>66</v>
      </c>
      <c r="I308">
        <f>MROUND(Table1[[#This Row],[ProbH]]*100,2)/100</f>
        <v>0.5</v>
      </c>
      <c r="J308">
        <f>1/Table1[[#This Row],[odds_ft_home_team_win]]-Table1[[#This Row],[Margin]]</f>
        <v>0.50597465662028063</v>
      </c>
      <c r="K308">
        <f>1/Table1[[#This Row],[odds_ft_draw]]-Table1[[#This Row],[Margin]]</f>
        <v>0.27890760602381842</v>
      </c>
      <c r="L308">
        <f>1/Table1[[#This Row],[odds_ft_away_team_win]]-Table1[[#This Row],[Margin]]</f>
        <v>0.21511773735590095</v>
      </c>
      <c r="M308">
        <v>16</v>
      </c>
      <c r="N308">
        <v>1.5</v>
      </c>
      <c r="O308">
        <v>1.19</v>
      </c>
      <c r="P308">
        <v>1.38</v>
      </c>
      <c r="Q308">
        <v>1.28</v>
      </c>
      <c r="R308" t="str" cm="1">
        <f t="array" ref="R3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Z308">
        <v>54</v>
      </c>
      <c r="AA308">
        <v>6</v>
      </c>
      <c r="AB308">
        <v>1</v>
      </c>
      <c r="AC308">
        <v>4</v>
      </c>
      <c r="AD308">
        <v>0</v>
      </c>
      <c r="AE308">
        <v>4</v>
      </c>
      <c r="AF308">
        <v>0</v>
      </c>
      <c r="AG308">
        <v>1</v>
      </c>
      <c r="AH308">
        <v>3</v>
      </c>
      <c r="AI308">
        <v>0</v>
      </c>
      <c r="AJ308">
        <v>4</v>
      </c>
      <c r="AK308">
        <v>20</v>
      </c>
      <c r="AL308">
        <v>11</v>
      </c>
      <c r="AM308">
        <v>0</v>
      </c>
      <c r="AN308">
        <v>2</v>
      </c>
      <c r="AO308">
        <v>20</v>
      </c>
      <c r="AP308">
        <v>9</v>
      </c>
      <c r="AQ308">
        <v>10</v>
      </c>
      <c r="AR308">
        <v>13</v>
      </c>
      <c r="AS308">
        <v>61</v>
      </c>
      <c r="AT308">
        <v>39</v>
      </c>
      <c r="AU308">
        <v>1.62</v>
      </c>
      <c r="AV308">
        <v>1</v>
      </c>
      <c r="AW308">
        <v>2.41</v>
      </c>
      <c r="AX308">
        <v>62</v>
      </c>
      <c r="AY308">
        <v>77</v>
      </c>
      <c r="AZ308">
        <v>48</v>
      </c>
      <c r="BA308">
        <v>21</v>
      </c>
      <c r="BB308">
        <v>3</v>
      </c>
      <c r="BC308">
        <v>26</v>
      </c>
      <c r="BD308">
        <v>63</v>
      </c>
      <c r="BE308">
        <v>54</v>
      </c>
      <c r="BF308">
        <v>82</v>
      </c>
      <c r="BG308">
        <v>9.8699999999999992</v>
      </c>
      <c r="BH308">
        <v>5.6</v>
      </c>
      <c r="BI308">
        <v>1.87</v>
      </c>
      <c r="BJ308">
        <v>3.25</v>
      </c>
      <c r="BK308">
        <v>4.0999999999999996</v>
      </c>
      <c r="BL308">
        <f>(1/Table1[[#This Row],[odds_ft_home_team_win]]+1/Table1[[#This Row],[odds_ft_draw]]+1/Table1[[#This Row],[odds_ft_away_team_win]]-1)/3</f>
        <v>2.8784701668489305E-2</v>
      </c>
      <c r="BM308">
        <v>1.33</v>
      </c>
      <c r="BN308">
        <v>1.93</v>
      </c>
      <c r="BO308">
        <v>3.4</v>
      </c>
      <c r="BP308">
        <v>6</v>
      </c>
      <c r="BQ308">
        <v>1.81</v>
      </c>
      <c r="BR308">
        <v>1.95</v>
      </c>
      <c r="BS308" t="s">
        <v>124</v>
      </c>
      <c r="BT308">
        <f>VLOOKUP(Table1[[#This Row],[Reference]],metron,8,FALSE)</f>
        <v>1.8001937313313046</v>
      </c>
      <c r="BU308">
        <f>VLOOKUP(Table1[[#This Row],[Reference]],metron,9,FALSE)</f>
        <v>0.9268512077832276</v>
      </c>
      <c r="BV308">
        <f>VLOOKUP(Table1[[#This Row],[Reference]],metron,10,FALSE)</f>
        <v>2.5202079886551649</v>
      </c>
      <c r="BW308">
        <f>VLOOKUP(Table1[[#This Row],[Reference]],metron,11,FALSE)</f>
        <v>1.5342708579532029</v>
      </c>
      <c r="BX308">
        <f>VLOOKUP(Table1[[#This Row],[Reference]],metron,12,FALSE)</f>
        <v>0.98593713070196176</v>
      </c>
      <c r="BY308" s="6">
        <f>VLOOKUP(Table1[[#This Row],[Reference]],metron,13,FALSE)</f>
        <v>0.67513590167809023</v>
      </c>
      <c r="BZ308" s="6">
        <f>VLOOKUP(Table1[[#This Row],[Reference]],metron,14,FALSE)</f>
        <v>0.4286727337194185</v>
      </c>
      <c r="CA308" s="6">
        <f>VLOOKUP(Table1[[#This Row],[Reference]],metron,15,FALSE)</f>
        <v>12.98669114272602</v>
      </c>
      <c r="CB308" s="6">
        <f>VLOOKUP(Table1[[#This Row],[Reference]],metron,16,FALSE)</f>
        <v>9.4167049105094076</v>
      </c>
      <c r="CC308" s="6">
        <f>VLOOKUP(Table1[[#This Row],[Reference]],metron,17,FALSE)</f>
        <v>5.6645716945996272</v>
      </c>
      <c r="CD308" s="6">
        <f>VLOOKUP(Table1[[#This Row],[Reference]],metron,18,FALSE)</f>
        <v>4.0242085661080074</v>
      </c>
      <c r="CE308" s="6">
        <f>VLOOKUP(Table1[[#This Row],[Reference]],metron,19,FALSE)</f>
        <v>7.3221194481263927</v>
      </c>
      <c r="CF308" s="6">
        <f>VLOOKUP(Table1[[#This Row],[Reference]],metron,20,FALSE)</f>
        <v>5.3924963444014002</v>
      </c>
      <c r="CG308" s="6">
        <f>VLOOKUP(Table1[[#This Row],[Reference]],metron,21,FALSE)</f>
        <v>12.508162313432839</v>
      </c>
      <c r="CH308" s="6">
        <f>VLOOKUP(Table1[[#This Row],[Reference]],metron,22,FALSE)</f>
        <v>13.36963619402985</v>
      </c>
      <c r="CI308" s="6">
        <f>VLOOKUP(Table1[[#This Row],[Reference]],metron,23,FALSE)</f>
        <v>1.4438014689517029</v>
      </c>
      <c r="CJ308" s="6">
        <f>VLOOKUP(Table1[[#This Row],[Reference]],metron,24,FALSE)</f>
        <v>1.9410193634542621</v>
      </c>
      <c r="CK308" s="6">
        <f>VLOOKUP(Table1[[#This Row],[Reference]],metron,25,FALSE)</f>
        <v>8.4130870242599604E-2</v>
      </c>
      <c r="CL308" s="6">
        <f>VLOOKUP(Table1[[#This Row],[Reference]],metron,26,FALSE)</f>
        <v>0.1275317160026708</v>
      </c>
    </row>
    <row r="309" spans="1:90" hidden="1" x14ac:dyDescent="0.45">
      <c r="A309" t="s">
        <v>695</v>
      </c>
      <c r="B309">
        <v>1650679200</v>
      </c>
      <c r="C309" s="23" t="s">
        <v>627</v>
      </c>
      <c r="D309" t="s">
        <v>65</v>
      </c>
      <c r="E309" t="s">
        <v>66</v>
      </c>
      <c r="F309" t="s">
        <v>78</v>
      </c>
      <c r="G309" t="s">
        <v>113</v>
      </c>
      <c r="H309" t="s">
        <v>103</v>
      </c>
      <c r="I309">
        <f>MROUND(Table1[[#This Row],[ProbH]]*100,2)/100</f>
        <v>0.4</v>
      </c>
      <c r="J309">
        <f>1/Table1[[#This Row],[odds_ft_home_team_win]]-Table1[[#This Row],[Margin]]</f>
        <v>0.40238481186757052</v>
      </c>
      <c r="K309">
        <f>1/Table1[[#This Row],[odds_ft_draw]]-Table1[[#This Row],[Margin]]</f>
        <v>0.31857255133117202</v>
      </c>
      <c r="L309">
        <f>1/Table1[[#This Row],[odds_ft_away_team_win]]-Table1[[#This Row],[Margin]]</f>
        <v>0.27904263680125752</v>
      </c>
      <c r="M309">
        <v>16</v>
      </c>
      <c r="N309">
        <v>0.94</v>
      </c>
      <c r="O309">
        <v>0.56000000000000005</v>
      </c>
      <c r="P309">
        <v>0.88</v>
      </c>
      <c r="Q309">
        <v>0.72</v>
      </c>
      <c r="R309" t="str" cm="1">
        <f t="array" ref="R3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9">
        <v>0</v>
      </c>
      <c r="T309">
        <v>2</v>
      </c>
      <c r="U309">
        <v>2</v>
      </c>
      <c r="V309">
        <v>1</v>
      </c>
      <c r="W309">
        <v>0</v>
      </c>
      <c r="X309">
        <v>1</v>
      </c>
      <c r="Z309" t="s">
        <v>628</v>
      </c>
      <c r="AA309">
        <v>3</v>
      </c>
      <c r="AB309">
        <v>1</v>
      </c>
      <c r="AC309">
        <v>1</v>
      </c>
      <c r="AD309">
        <v>0</v>
      </c>
      <c r="AE309">
        <v>3</v>
      </c>
      <c r="AF309">
        <v>0</v>
      </c>
      <c r="AG309">
        <v>1</v>
      </c>
      <c r="AH309">
        <v>0</v>
      </c>
      <c r="AI309">
        <v>1</v>
      </c>
      <c r="AJ309">
        <v>2</v>
      </c>
      <c r="AK309">
        <v>4</v>
      </c>
      <c r="AL309">
        <v>3</v>
      </c>
      <c r="AM309">
        <v>0</v>
      </c>
      <c r="AN309">
        <v>2</v>
      </c>
      <c r="AO309">
        <v>4</v>
      </c>
      <c r="AP309">
        <v>1</v>
      </c>
      <c r="AQ309">
        <v>10</v>
      </c>
      <c r="AR309">
        <v>11</v>
      </c>
      <c r="AS309">
        <v>61</v>
      </c>
      <c r="AT309">
        <v>39</v>
      </c>
      <c r="AU309">
        <v>0.5</v>
      </c>
      <c r="AV309">
        <v>0.54</v>
      </c>
      <c r="AW309">
        <v>2.54</v>
      </c>
      <c r="AX309">
        <v>54</v>
      </c>
      <c r="AY309">
        <v>75</v>
      </c>
      <c r="AZ309">
        <v>53</v>
      </c>
      <c r="BA309">
        <v>22</v>
      </c>
      <c r="BB309">
        <v>6</v>
      </c>
      <c r="BC309">
        <v>44</v>
      </c>
      <c r="BD309">
        <v>69</v>
      </c>
      <c r="BE309">
        <v>38</v>
      </c>
      <c r="BF309">
        <v>72</v>
      </c>
      <c r="BG309">
        <v>5.76</v>
      </c>
      <c r="BH309">
        <v>5.13</v>
      </c>
      <c r="BI309">
        <v>2.3199999999999998</v>
      </c>
      <c r="BJ309">
        <v>2.88</v>
      </c>
      <c r="BK309">
        <v>3.25</v>
      </c>
      <c r="BL309">
        <f>(1/Table1[[#This Row],[odds_ft_home_team_win]]+1/Table1[[#This Row],[odds_ft_draw]]+1/Table1[[#This Row],[odds_ft_away_team_win]]-1)/3</f>
        <v>2.8649670891050194E-2</v>
      </c>
      <c r="BM309">
        <v>0</v>
      </c>
      <c r="BN309">
        <v>2.5499999999999998</v>
      </c>
      <c r="BO309">
        <v>0</v>
      </c>
      <c r="BP309">
        <v>0</v>
      </c>
      <c r="BQ309">
        <v>0</v>
      </c>
      <c r="BR309">
        <v>0</v>
      </c>
      <c r="BS309" t="s">
        <v>82</v>
      </c>
      <c r="BT309">
        <f>VLOOKUP(Table1[[#This Row],[Reference]],metron,8,FALSE)</f>
        <v>1.5181603563290151</v>
      </c>
      <c r="BU309">
        <f>VLOOKUP(Table1[[#This Row],[Reference]],metron,9,FALSE)</f>
        <v>1.1952730370775513</v>
      </c>
      <c r="BV309">
        <f>VLOOKUP(Table1[[#This Row],[Reference]],metron,10,FALSE)</f>
        <v>2.4956155335383219</v>
      </c>
      <c r="BW309">
        <f>VLOOKUP(Table1[[#This Row],[Reference]],metron,11,FALSE)</f>
        <v>1.344038264434575</v>
      </c>
      <c r="BX309">
        <f>VLOOKUP(Table1[[#This Row],[Reference]],metron,12,FALSE)</f>
        <v>1.1515772691037469</v>
      </c>
      <c r="BY309" s="6">
        <f>VLOOKUP(Table1[[#This Row],[Reference]],metron,13,FALSE)</f>
        <v>0.59936225942375587</v>
      </c>
      <c r="BZ309" s="6">
        <f>VLOOKUP(Table1[[#This Row],[Reference]],metron,14,FALSE)</f>
        <v>0.50723152260562576</v>
      </c>
      <c r="CA309" s="6">
        <f>VLOOKUP(Table1[[#This Row],[Reference]],metron,15,FALSE)</f>
        <v>11.99278846153846</v>
      </c>
      <c r="CB309" s="6">
        <f>VLOOKUP(Table1[[#This Row],[Reference]],metron,16,FALSE)</f>
        <v>10.0277534965035</v>
      </c>
      <c r="CC309" s="6">
        <f>VLOOKUP(Table1[[#This Row],[Reference]],metron,17,FALSE)</f>
        <v>5.2857459543338514</v>
      </c>
      <c r="CD309" s="6">
        <f>VLOOKUP(Table1[[#This Row],[Reference]],metron,18,FALSE)</f>
        <v>4.4067834183107957</v>
      </c>
      <c r="CE309" s="6">
        <f>VLOOKUP(Table1[[#This Row],[Reference]],metron,19,FALSE)</f>
        <v>6.7070425072046085</v>
      </c>
      <c r="CF309" s="6">
        <f>VLOOKUP(Table1[[#This Row],[Reference]],metron,20,FALSE)</f>
        <v>5.6209700781927046</v>
      </c>
      <c r="CG309" s="6">
        <f>VLOOKUP(Table1[[#This Row],[Reference]],metron,21,FALSE)</f>
        <v>13.04463690872752</v>
      </c>
      <c r="CH309" s="6">
        <f>VLOOKUP(Table1[[#This Row],[Reference]],metron,22,FALSE)</f>
        <v>13.49811236953142</v>
      </c>
      <c r="CI309" s="6">
        <f>VLOOKUP(Table1[[#This Row],[Reference]],metron,23,FALSE)</f>
        <v>1.5836526181353769</v>
      </c>
      <c r="CJ309" s="6">
        <f>VLOOKUP(Table1[[#This Row],[Reference]],metron,24,FALSE)</f>
        <v>1.8744146445295871</v>
      </c>
      <c r="CK309" s="6">
        <f>VLOOKUP(Table1[[#This Row],[Reference]],metron,25,FALSE)</f>
        <v>8.5994040017028525E-2</v>
      </c>
      <c r="CL309" s="6">
        <f>VLOOKUP(Table1[[#This Row],[Reference]],metron,26,FALSE)</f>
        <v>0.13452532992762881</v>
      </c>
    </row>
    <row r="310" spans="1:90" hidden="1" x14ac:dyDescent="0.45">
      <c r="A310" t="s">
        <v>695</v>
      </c>
      <c r="B310">
        <v>1650751200</v>
      </c>
      <c r="C310" s="23" t="s">
        <v>629</v>
      </c>
      <c r="D310" t="s">
        <v>65</v>
      </c>
      <c r="E310" t="s">
        <v>66</v>
      </c>
      <c r="F310" t="s">
        <v>84</v>
      </c>
      <c r="G310" t="s">
        <v>101</v>
      </c>
      <c r="H310" t="s">
        <v>98</v>
      </c>
      <c r="I310">
        <f>MROUND(Table1[[#This Row],[ProbH]]*100,2)/100</f>
        <v>0.46</v>
      </c>
      <c r="J310">
        <f>1/Table1[[#This Row],[odds_ft_home_team_win]]-Table1[[#This Row],[Margin]]</f>
        <v>0.45941622555412542</v>
      </c>
      <c r="K310">
        <f>1/Table1[[#This Row],[odds_ft_draw]]-Table1[[#This Row],[Margin]]</f>
        <v>0.27248679503680906</v>
      </c>
      <c r="L310">
        <f>1/Table1[[#This Row],[odds_ft_away_team_win]]-Table1[[#This Row],[Margin]]</f>
        <v>0.26809697940906546</v>
      </c>
      <c r="M310">
        <v>16</v>
      </c>
      <c r="N310">
        <v>1.75</v>
      </c>
      <c r="O310">
        <v>1.1100000000000001</v>
      </c>
      <c r="P310">
        <v>1.89</v>
      </c>
      <c r="Q310">
        <v>1.05</v>
      </c>
      <c r="R310" t="str" cm="1">
        <f t="array" ref="R3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0">
        <v>3</v>
      </c>
      <c r="T310">
        <v>0</v>
      </c>
      <c r="U310">
        <v>3</v>
      </c>
      <c r="V310">
        <v>1</v>
      </c>
      <c r="W310">
        <v>1</v>
      </c>
      <c r="X310">
        <v>0</v>
      </c>
      <c r="Y310" t="s">
        <v>630</v>
      </c>
      <c r="AA310">
        <v>3</v>
      </c>
      <c r="AB310">
        <v>3</v>
      </c>
      <c r="AC310">
        <v>2</v>
      </c>
      <c r="AD310">
        <v>0</v>
      </c>
      <c r="AE310">
        <v>2</v>
      </c>
      <c r="AF310">
        <v>0</v>
      </c>
      <c r="AG310">
        <v>1</v>
      </c>
      <c r="AH310">
        <v>1</v>
      </c>
      <c r="AI310">
        <v>0</v>
      </c>
      <c r="AJ310">
        <v>2</v>
      </c>
      <c r="AK310">
        <v>15</v>
      </c>
      <c r="AL310">
        <v>14</v>
      </c>
      <c r="AM310">
        <v>6</v>
      </c>
      <c r="AN310">
        <v>0</v>
      </c>
      <c r="AO310">
        <v>9</v>
      </c>
      <c r="AP310">
        <v>14</v>
      </c>
      <c r="AQ310">
        <v>12</v>
      </c>
      <c r="AR310">
        <v>8</v>
      </c>
      <c r="AS310">
        <v>46</v>
      </c>
      <c r="AT310">
        <v>54</v>
      </c>
      <c r="AU310">
        <v>1.74</v>
      </c>
      <c r="AV310">
        <v>1.19</v>
      </c>
      <c r="AW310">
        <v>2.2799999999999998</v>
      </c>
      <c r="AX310">
        <v>59</v>
      </c>
      <c r="AY310">
        <v>71</v>
      </c>
      <c r="AZ310">
        <v>41</v>
      </c>
      <c r="BA310">
        <v>26</v>
      </c>
      <c r="BB310">
        <v>3</v>
      </c>
      <c r="BC310">
        <v>35</v>
      </c>
      <c r="BD310">
        <v>68</v>
      </c>
      <c r="BE310">
        <v>29</v>
      </c>
      <c r="BF310">
        <v>64</v>
      </c>
      <c r="BG310">
        <v>10.98</v>
      </c>
      <c r="BH310">
        <v>4.7300000000000004</v>
      </c>
      <c r="BI310">
        <v>2.06</v>
      </c>
      <c r="BJ310">
        <v>3.35</v>
      </c>
      <c r="BK310">
        <v>3.4</v>
      </c>
      <c r="BL310">
        <f>(1/Table1[[#This Row],[odds_ft_home_team_win]]+1/Table1[[#This Row],[odds_ft_draw]]+1/Table1[[#This Row],[odds_ft_away_team_win]]-1)/3</f>
        <v>2.6020667649758078E-2</v>
      </c>
      <c r="BM310">
        <v>1.31</v>
      </c>
      <c r="BN310">
        <v>2.0299999999999998</v>
      </c>
      <c r="BO310">
        <v>3.4</v>
      </c>
      <c r="BP310">
        <v>6.3</v>
      </c>
      <c r="BQ310">
        <v>1.81</v>
      </c>
      <c r="BR310">
        <v>2</v>
      </c>
      <c r="BS310" t="s">
        <v>88</v>
      </c>
      <c r="BT310">
        <f>VLOOKUP(Table1[[#This Row],[Reference]],metron,8,FALSE)</f>
        <v>1.6955772349985931</v>
      </c>
      <c r="BU310">
        <f>VLOOKUP(Table1[[#This Row],[Reference]],metron,9,FALSE)</f>
        <v>1.0239029519551039</v>
      </c>
      <c r="BV310">
        <f>VLOOKUP(Table1[[#This Row],[Reference]],metron,10,FALSE)</f>
        <v>2.5405629139072849</v>
      </c>
      <c r="BW310">
        <f>VLOOKUP(Table1[[#This Row],[Reference]],metron,11,FALSE)</f>
        <v>1.4888836329233679</v>
      </c>
      <c r="BX310">
        <f>VLOOKUP(Table1[[#This Row],[Reference]],metron,12,FALSE)</f>
        <v>1.0516792809839171</v>
      </c>
      <c r="BY310" s="6">
        <f>VLOOKUP(Table1[[#This Row],[Reference]],metron,13,FALSE)</f>
        <v>0.64581362346263005</v>
      </c>
      <c r="BZ310" s="6">
        <f>VLOOKUP(Table1[[#This Row],[Reference]],metron,14,FALSE)</f>
        <v>0.45364238410596031</v>
      </c>
      <c r="CA310" s="6">
        <f>VLOOKUP(Table1[[#This Row],[Reference]],metron,15,FALSE)</f>
        <v>12.686892177589851</v>
      </c>
      <c r="CB310" s="6">
        <f>VLOOKUP(Table1[[#This Row],[Reference]],metron,16,FALSE)</f>
        <v>9.8059196617336148</v>
      </c>
      <c r="CC310" s="6">
        <f>VLOOKUP(Table1[[#This Row],[Reference]],metron,17,FALSE)</f>
        <v>5.3198121263877027</v>
      </c>
      <c r="CD310" s="6">
        <f>VLOOKUP(Table1[[#This Row],[Reference]],metron,18,FALSE)</f>
        <v>4.0954312553373189</v>
      </c>
      <c r="CE310" s="6">
        <f>VLOOKUP(Table1[[#This Row],[Reference]],metron,19,FALSE)</f>
        <v>7.3670800512021479</v>
      </c>
      <c r="CF310" s="6">
        <f>VLOOKUP(Table1[[#This Row],[Reference]],metron,20,FALSE)</f>
        <v>5.710488406396296</v>
      </c>
      <c r="CG310" s="6">
        <f>VLOOKUP(Table1[[#This Row],[Reference]],metron,21,FALSE)</f>
        <v>13.0488908033599</v>
      </c>
      <c r="CH310" s="6">
        <f>VLOOKUP(Table1[[#This Row],[Reference]],metron,22,FALSE)</f>
        <v>13.714839543398661</v>
      </c>
      <c r="CI310" s="6">
        <f>VLOOKUP(Table1[[#This Row],[Reference]],metron,23,FALSE)</f>
        <v>1.567523459812322</v>
      </c>
      <c r="CJ310" s="6">
        <f>VLOOKUP(Table1[[#This Row],[Reference]],metron,24,FALSE)</f>
        <v>1.951040391676867</v>
      </c>
      <c r="CK310" s="6">
        <f>VLOOKUP(Table1[[#This Row],[Reference]],metron,25,FALSE)</f>
        <v>8.3027335781313744E-2</v>
      </c>
      <c r="CL310" s="6">
        <f>VLOOKUP(Table1[[#This Row],[Reference]],metron,26,FALSE)</f>
        <v>0.13117095063239501</v>
      </c>
    </row>
    <row r="311" spans="1:90" hidden="1" x14ac:dyDescent="0.45">
      <c r="A311" t="s">
        <v>695</v>
      </c>
      <c r="B311">
        <v>1650758400</v>
      </c>
      <c r="C311" s="23" t="s">
        <v>631</v>
      </c>
      <c r="D311" t="s">
        <v>65</v>
      </c>
      <c r="E311" t="s">
        <v>66</v>
      </c>
      <c r="F311" t="s">
        <v>107</v>
      </c>
      <c r="G311" t="s">
        <v>68</v>
      </c>
      <c r="H311" t="s">
        <v>130</v>
      </c>
      <c r="I311">
        <f>MROUND(Table1[[#This Row],[ProbH]]*100,2)/100</f>
        <v>0.42</v>
      </c>
      <c r="J311">
        <f>1/Table1[[#This Row],[odds_ft_home_team_win]]-Table1[[#This Row],[Margin]]</f>
        <v>0.4262003534733424</v>
      </c>
      <c r="K311">
        <f>1/Table1[[#This Row],[odds_ft_draw]]-Table1[[#This Row],[Margin]]</f>
        <v>0.2722191283771041</v>
      </c>
      <c r="L311">
        <f>1/Table1[[#This Row],[odds_ft_away_team_win]]-Table1[[#This Row],[Margin]]</f>
        <v>0.30158051814955339</v>
      </c>
      <c r="M311">
        <v>16</v>
      </c>
      <c r="N311">
        <v>2.17</v>
      </c>
      <c r="O311">
        <v>1.47</v>
      </c>
      <c r="P311">
        <v>2</v>
      </c>
      <c r="Q311">
        <v>1.53</v>
      </c>
      <c r="R311" t="str" cm="1">
        <f t="array" ref="R3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1">
        <v>0</v>
      </c>
      <c r="T311">
        <v>2</v>
      </c>
      <c r="U311">
        <v>2</v>
      </c>
      <c r="V311">
        <v>1</v>
      </c>
      <c r="W311">
        <v>0</v>
      </c>
      <c r="X311">
        <v>1</v>
      </c>
      <c r="Z311" t="s">
        <v>632</v>
      </c>
      <c r="AA311">
        <v>8</v>
      </c>
      <c r="AB311">
        <v>8</v>
      </c>
      <c r="AC311">
        <v>4</v>
      </c>
      <c r="AD311">
        <v>1</v>
      </c>
      <c r="AE311">
        <v>3</v>
      </c>
      <c r="AF311">
        <v>0</v>
      </c>
      <c r="AG311">
        <v>1</v>
      </c>
      <c r="AH311">
        <v>4</v>
      </c>
      <c r="AI311">
        <v>0</v>
      </c>
      <c r="AJ311">
        <v>3</v>
      </c>
      <c r="AK311">
        <v>6</v>
      </c>
      <c r="AL311">
        <v>16</v>
      </c>
      <c r="AM311">
        <v>3</v>
      </c>
      <c r="AN311">
        <v>9</v>
      </c>
      <c r="AO311">
        <v>3</v>
      </c>
      <c r="AP311">
        <v>7</v>
      </c>
      <c r="AQ311">
        <v>14</v>
      </c>
      <c r="AR311">
        <v>8</v>
      </c>
      <c r="AS311">
        <v>63</v>
      </c>
      <c r="AT311">
        <v>37</v>
      </c>
      <c r="AU311">
        <v>0.93</v>
      </c>
      <c r="AV311">
        <v>1.92</v>
      </c>
      <c r="AW311">
        <v>2.31</v>
      </c>
      <c r="AX311">
        <v>52</v>
      </c>
      <c r="AY311">
        <v>71</v>
      </c>
      <c r="AZ311">
        <v>49</v>
      </c>
      <c r="BA311">
        <v>18</v>
      </c>
      <c r="BB311">
        <v>6</v>
      </c>
      <c r="BC311">
        <v>41</v>
      </c>
      <c r="BD311">
        <v>58</v>
      </c>
      <c r="BE311">
        <v>28</v>
      </c>
      <c r="BF311">
        <v>71</v>
      </c>
      <c r="BG311">
        <v>10.91</v>
      </c>
      <c r="BH311">
        <v>4.63</v>
      </c>
      <c r="BI311">
        <v>2.21</v>
      </c>
      <c r="BJ311">
        <v>3.35</v>
      </c>
      <c r="BK311">
        <v>3.05</v>
      </c>
      <c r="BL311">
        <f>(1/Table1[[#This Row],[odds_ft_home_team_win]]+1/Table1[[#This Row],[odds_ft_draw]]+1/Table1[[#This Row],[odds_ft_away_team_win]]-1)/3</f>
        <v>2.6288334309463018E-2</v>
      </c>
      <c r="BM311">
        <v>1.33</v>
      </c>
      <c r="BN311">
        <v>2</v>
      </c>
      <c r="BO311">
        <v>3.55</v>
      </c>
      <c r="BP311">
        <v>6.8</v>
      </c>
      <c r="BQ311">
        <v>1.86</v>
      </c>
      <c r="BR311">
        <v>1.85</v>
      </c>
      <c r="BS311" t="s">
        <v>161</v>
      </c>
      <c r="BT311">
        <f>VLOOKUP(Table1[[#This Row],[Reference]],metron,8,FALSE)</f>
        <v>1.5780106027030405</v>
      </c>
      <c r="BU311">
        <f>VLOOKUP(Table1[[#This Row],[Reference]],metron,9,FALSE)</f>
        <v>1.1353025412447635</v>
      </c>
      <c r="BV311">
        <f>VLOOKUP(Table1[[#This Row],[Reference]],metron,10,FALSE)</f>
        <v>2.4884649511978703</v>
      </c>
      <c r="BW311">
        <f>VLOOKUP(Table1[[#This Row],[Reference]],metron,11,FALSE)</f>
        <v>1.396960958296362</v>
      </c>
      <c r="BX311">
        <f>VLOOKUP(Table1[[#This Row],[Reference]],metron,12,FALSE)</f>
        <v>1.091503992901508</v>
      </c>
      <c r="BY311" s="6">
        <f>VLOOKUP(Table1[[#This Row],[Reference]],metron,13,FALSE)</f>
        <v>0.60765391014975045</v>
      </c>
      <c r="BZ311" s="6">
        <f>VLOOKUP(Table1[[#This Row],[Reference]],metron,14,FALSE)</f>
        <v>0.47276760953965608</v>
      </c>
      <c r="CA311" s="6">
        <f>VLOOKUP(Table1[[#This Row],[Reference]],metron,15,FALSE)</f>
        <v>12.29504785684561</v>
      </c>
      <c r="CB311" s="6">
        <f>VLOOKUP(Table1[[#This Row],[Reference]],metron,16,FALSE)</f>
        <v>10.047232625884311</v>
      </c>
      <c r="CC311" s="6">
        <f>VLOOKUP(Table1[[#This Row],[Reference]],metron,17,FALSE)</f>
        <v>5.2917192097519967</v>
      </c>
      <c r="CD311" s="6">
        <f>VLOOKUP(Table1[[#This Row],[Reference]],metron,18,FALSE)</f>
        <v>4.2580916351408158</v>
      </c>
      <c r="CE311" s="6">
        <f>VLOOKUP(Table1[[#This Row],[Reference]],metron,19,FALSE)</f>
        <v>7.0033286470936131</v>
      </c>
      <c r="CF311" s="6">
        <f>VLOOKUP(Table1[[#This Row],[Reference]],metron,20,FALSE)</f>
        <v>5.789140990743495</v>
      </c>
      <c r="CG311" s="6">
        <f>VLOOKUP(Table1[[#This Row],[Reference]],metron,21,FALSE)</f>
        <v>12.77041895895049</v>
      </c>
      <c r="CH311" s="6">
        <f>VLOOKUP(Table1[[#This Row],[Reference]],metron,22,FALSE)</f>
        <v>13.411129919593741</v>
      </c>
      <c r="CI311" s="6">
        <f>VLOOKUP(Table1[[#This Row],[Reference]],metron,23,FALSE)</f>
        <v>1.556141062018646</v>
      </c>
      <c r="CJ311" s="6">
        <f>VLOOKUP(Table1[[#This Row],[Reference]],metron,24,FALSE)</f>
        <v>1.9114308877178761</v>
      </c>
      <c r="CK311" s="6">
        <f>VLOOKUP(Table1[[#This Row],[Reference]],metron,25,FALSE)</f>
        <v>8.4920956627482766E-2</v>
      </c>
      <c r="CL311" s="6">
        <f>VLOOKUP(Table1[[#This Row],[Reference]],metron,26,FALSE)</f>
        <v>0.1323469801378192</v>
      </c>
    </row>
    <row r="312" spans="1:90" hidden="1" x14ac:dyDescent="0.45">
      <c r="A312" t="s">
        <v>695</v>
      </c>
      <c r="B312">
        <v>1650765600</v>
      </c>
      <c r="C312" s="23" t="s">
        <v>633</v>
      </c>
      <c r="D312" t="s">
        <v>65</v>
      </c>
      <c r="E312" t="s">
        <v>66</v>
      </c>
      <c r="F312" t="s">
        <v>90</v>
      </c>
      <c r="G312" t="s">
        <v>96</v>
      </c>
      <c r="H312" t="s">
        <v>108</v>
      </c>
      <c r="I312">
        <f>MROUND(Table1[[#This Row],[ProbH]]*100,2)/100</f>
        <v>0.42</v>
      </c>
      <c r="J312">
        <f>1/Table1[[#This Row],[odds_ft_home_team_win]]-Table1[[#This Row],[Margin]]</f>
        <v>0.42283009206176042</v>
      </c>
      <c r="K312">
        <f>1/Table1[[#This Row],[odds_ft_draw]]-Table1[[#This Row],[Margin]]</f>
        <v>0.28127956941367682</v>
      </c>
      <c r="L312">
        <f>1/Table1[[#This Row],[odds_ft_away_team_win]]-Table1[[#This Row],[Margin]]</f>
        <v>0.29589033852456281</v>
      </c>
      <c r="M312">
        <v>16</v>
      </c>
      <c r="N312">
        <v>1.38</v>
      </c>
      <c r="O312">
        <v>1.21</v>
      </c>
      <c r="P312">
        <v>1.47</v>
      </c>
      <c r="Q312">
        <v>1.1000000000000001</v>
      </c>
      <c r="R312" t="str" cm="1">
        <f t="array" ref="R3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2">
        <v>3</v>
      </c>
      <c r="T312">
        <v>1</v>
      </c>
      <c r="U312">
        <v>4</v>
      </c>
      <c r="V312">
        <v>2</v>
      </c>
      <c r="W312">
        <v>2</v>
      </c>
      <c r="X312">
        <v>0</v>
      </c>
      <c r="Y312" t="s">
        <v>634</v>
      </c>
      <c r="Z312">
        <v>58</v>
      </c>
      <c r="AA312">
        <v>2</v>
      </c>
      <c r="AB312">
        <v>6</v>
      </c>
      <c r="AC312">
        <v>0</v>
      </c>
      <c r="AD312">
        <v>0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10</v>
      </c>
      <c r="AL312">
        <v>15</v>
      </c>
      <c r="AM312">
        <v>6</v>
      </c>
      <c r="AN312">
        <v>7</v>
      </c>
      <c r="AO312">
        <v>4</v>
      </c>
      <c r="AP312">
        <v>8</v>
      </c>
      <c r="AQ312">
        <v>8</v>
      </c>
      <c r="AR312">
        <v>15</v>
      </c>
      <c r="AS312">
        <v>53</v>
      </c>
      <c r="AT312">
        <v>47</v>
      </c>
      <c r="AU312">
        <v>1.39</v>
      </c>
      <c r="AV312">
        <v>1.65</v>
      </c>
      <c r="AW312">
        <v>2.52</v>
      </c>
      <c r="AX312">
        <v>55</v>
      </c>
      <c r="AY312">
        <v>75</v>
      </c>
      <c r="AZ312">
        <v>55</v>
      </c>
      <c r="BA312">
        <v>26</v>
      </c>
      <c r="BB312">
        <v>6</v>
      </c>
      <c r="BC312">
        <v>38</v>
      </c>
      <c r="BD312">
        <v>78</v>
      </c>
      <c r="BE312">
        <v>35</v>
      </c>
      <c r="BF312">
        <v>82</v>
      </c>
      <c r="BG312">
        <v>8.99</v>
      </c>
      <c r="BH312">
        <v>5.39</v>
      </c>
      <c r="BI312">
        <v>2.2400000000000002</v>
      </c>
      <c r="BJ312">
        <v>3.28</v>
      </c>
      <c r="BK312">
        <v>3.13</v>
      </c>
      <c r="BL312">
        <f>(1/Table1[[#This Row],[odds_ft_home_team_win]]+1/Table1[[#This Row],[odds_ft_draw]]+1/Table1[[#This Row],[odds_ft_away_team_win]]-1)/3</f>
        <v>2.3598479366810993E-2</v>
      </c>
      <c r="BM312">
        <v>1.33</v>
      </c>
      <c r="BN312">
        <v>2.02</v>
      </c>
      <c r="BO312">
        <v>3.5</v>
      </c>
      <c r="BP312">
        <v>6.75</v>
      </c>
      <c r="BQ312">
        <v>1.78</v>
      </c>
      <c r="BR312">
        <v>1.93</v>
      </c>
      <c r="BS312" t="s">
        <v>94</v>
      </c>
      <c r="BT312">
        <f>VLOOKUP(Table1[[#This Row],[Reference]],metron,8,FALSE)</f>
        <v>1.5780106027030405</v>
      </c>
      <c r="BU312">
        <f>VLOOKUP(Table1[[#This Row],[Reference]],metron,9,FALSE)</f>
        <v>1.1353025412447635</v>
      </c>
      <c r="BV312">
        <f>VLOOKUP(Table1[[#This Row],[Reference]],metron,10,FALSE)</f>
        <v>2.4884649511978703</v>
      </c>
      <c r="BW312">
        <f>VLOOKUP(Table1[[#This Row],[Reference]],metron,11,FALSE)</f>
        <v>1.396960958296362</v>
      </c>
      <c r="BX312">
        <f>VLOOKUP(Table1[[#This Row],[Reference]],metron,12,FALSE)</f>
        <v>1.091503992901508</v>
      </c>
      <c r="BY312" s="6">
        <f>VLOOKUP(Table1[[#This Row],[Reference]],metron,13,FALSE)</f>
        <v>0.60765391014975045</v>
      </c>
      <c r="BZ312" s="6">
        <f>VLOOKUP(Table1[[#This Row],[Reference]],metron,14,FALSE)</f>
        <v>0.47276760953965608</v>
      </c>
      <c r="CA312" s="6">
        <f>VLOOKUP(Table1[[#This Row],[Reference]],metron,15,FALSE)</f>
        <v>12.29504785684561</v>
      </c>
      <c r="CB312" s="6">
        <f>VLOOKUP(Table1[[#This Row],[Reference]],metron,16,FALSE)</f>
        <v>10.047232625884311</v>
      </c>
      <c r="CC312" s="6">
        <f>VLOOKUP(Table1[[#This Row],[Reference]],metron,17,FALSE)</f>
        <v>5.2917192097519967</v>
      </c>
      <c r="CD312" s="6">
        <f>VLOOKUP(Table1[[#This Row],[Reference]],metron,18,FALSE)</f>
        <v>4.2580916351408158</v>
      </c>
      <c r="CE312" s="6">
        <f>VLOOKUP(Table1[[#This Row],[Reference]],metron,19,FALSE)</f>
        <v>7.0033286470936131</v>
      </c>
      <c r="CF312" s="6">
        <f>VLOOKUP(Table1[[#This Row],[Reference]],metron,20,FALSE)</f>
        <v>5.789140990743495</v>
      </c>
      <c r="CG312" s="6">
        <f>VLOOKUP(Table1[[#This Row],[Reference]],metron,21,FALSE)</f>
        <v>12.77041895895049</v>
      </c>
      <c r="CH312" s="6">
        <f>VLOOKUP(Table1[[#This Row],[Reference]],metron,22,FALSE)</f>
        <v>13.411129919593741</v>
      </c>
      <c r="CI312" s="6">
        <f>VLOOKUP(Table1[[#This Row],[Reference]],metron,23,FALSE)</f>
        <v>1.556141062018646</v>
      </c>
      <c r="CJ312" s="6">
        <f>VLOOKUP(Table1[[#This Row],[Reference]],metron,24,FALSE)</f>
        <v>1.9114308877178761</v>
      </c>
      <c r="CK312" s="6">
        <f>VLOOKUP(Table1[[#This Row],[Reference]],metron,25,FALSE)</f>
        <v>8.4920956627482766E-2</v>
      </c>
      <c r="CL312" s="6">
        <f>VLOOKUP(Table1[[#This Row],[Reference]],metron,26,FALSE)</f>
        <v>0.1323469801378192</v>
      </c>
    </row>
    <row r="313" spans="1:90" hidden="1" x14ac:dyDescent="0.45">
      <c r="A313" t="s">
        <v>695</v>
      </c>
      <c r="B313">
        <v>1650819600</v>
      </c>
      <c r="C313" s="23" t="s">
        <v>635</v>
      </c>
      <c r="D313" t="s">
        <v>65</v>
      </c>
      <c r="E313" t="s">
        <v>66</v>
      </c>
      <c r="F313" t="s">
        <v>79</v>
      </c>
      <c r="G313" t="s">
        <v>97</v>
      </c>
      <c r="H313" t="s">
        <v>122</v>
      </c>
      <c r="I313">
        <f>MROUND(Table1[[#This Row],[ProbH]]*100,2)/100</f>
        <v>0.3</v>
      </c>
      <c r="J313">
        <f>1/Table1[[#This Row],[odds_ft_home_team_win]]-Table1[[#This Row],[Margin]]</f>
        <v>0.30794468600472535</v>
      </c>
      <c r="K313">
        <f>1/Table1[[#This Row],[odds_ft_draw]]-Table1[[#This Row],[Margin]]</f>
        <v>0.29106855679313837</v>
      </c>
      <c r="L313">
        <f>1/Table1[[#This Row],[odds_ft_away_team_win]]-Table1[[#This Row],[Margin]]</f>
        <v>0.40098675720213633</v>
      </c>
      <c r="M313">
        <v>16</v>
      </c>
      <c r="N313">
        <v>1.24</v>
      </c>
      <c r="O313">
        <v>1.63</v>
      </c>
      <c r="P313">
        <v>1.17</v>
      </c>
      <c r="Q313">
        <v>1.68</v>
      </c>
      <c r="R313" t="str" cm="1">
        <f t="array" ref="R3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3">
        <v>2</v>
      </c>
      <c r="T313">
        <v>4</v>
      </c>
      <c r="U313">
        <v>6</v>
      </c>
      <c r="V313">
        <v>3</v>
      </c>
      <c r="W313">
        <v>1</v>
      </c>
      <c r="X313">
        <v>2</v>
      </c>
      <c r="Y313" t="s">
        <v>636</v>
      </c>
      <c r="Z313" t="s">
        <v>637</v>
      </c>
      <c r="AA313">
        <v>7</v>
      </c>
      <c r="AB313">
        <v>5</v>
      </c>
      <c r="AC313">
        <v>2</v>
      </c>
      <c r="AD313">
        <v>1</v>
      </c>
      <c r="AE313">
        <v>5</v>
      </c>
      <c r="AF313">
        <v>0</v>
      </c>
      <c r="AG313">
        <v>2</v>
      </c>
      <c r="AH313">
        <v>1</v>
      </c>
      <c r="AI313">
        <v>1</v>
      </c>
      <c r="AJ313">
        <v>4</v>
      </c>
      <c r="AK313">
        <v>19</v>
      </c>
      <c r="AL313">
        <v>16</v>
      </c>
      <c r="AM313">
        <v>8</v>
      </c>
      <c r="AN313">
        <v>8</v>
      </c>
      <c r="AO313">
        <v>11</v>
      </c>
      <c r="AP313">
        <v>8</v>
      </c>
      <c r="AQ313">
        <v>9</v>
      </c>
      <c r="AR313">
        <v>15</v>
      </c>
      <c r="AS313">
        <v>48</v>
      </c>
      <c r="AT313">
        <v>52</v>
      </c>
      <c r="AU313">
        <v>1.94</v>
      </c>
      <c r="AV313">
        <v>1.84</v>
      </c>
      <c r="AW313">
        <v>2.4500000000000002</v>
      </c>
      <c r="AX313">
        <v>60</v>
      </c>
      <c r="AY313">
        <v>71</v>
      </c>
      <c r="AZ313">
        <v>46</v>
      </c>
      <c r="BA313">
        <v>23</v>
      </c>
      <c r="BB313">
        <v>9</v>
      </c>
      <c r="BC313">
        <v>40</v>
      </c>
      <c r="BD313">
        <v>73</v>
      </c>
      <c r="BE313">
        <v>37</v>
      </c>
      <c r="BF313">
        <v>62</v>
      </c>
      <c r="BG313">
        <v>9.58</v>
      </c>
      <c r="BH313">
        <v>5.21</v>
      </c>
      <c r="BI313">
        <v>3.09</v>
      </c>
      <c r="BJ313">
        <v>3.26</v>
      </c>
      <c r="BK313">
        <v>2.4</v>
      </c>
      <c r="BL313">
        <f>(1/Table1[[#This Row],[odds_ft_home_team_win]]+1/Table1[[#This Row],[odds_ft_draw]]+1/Table1[[#This Row],[odds_ft_away_team_win]]-1)/3</f>
        <v>1.5679909464530351E-2</v>
      </c>
      <c r="BM313">
        <v>1.4</v>
      </c>
      <c r="BN313">
        <v>2.2200000000000002</v>
      </c>
      <c r="BO313">
        <v>4.05</v>
      </c>
      <c r="BP313">
        <v>8</v>
      </c>
      <c r="BQ313">
        <v>1.9</v>
      </c>
      <c r="BR313">
        <v>1.81</v>
      </c>
      <c r="BS313" t="s">
        <v>140</v>
      </c>
      <c r="BT313">
        <f>VLOOKUP(Table1[[#This Row],[Reference]],metron,8,FALSE)</f>
        <v>1.2142445227270171</v>
      </c>
      <c r="BU313">
        <f>VLOOKUP(Table1[[#This Row],[Reference]],metron,9,FALSE)</f>
        <v>1.4993969533036628</v>
      </c>
      <c r="BV313">
        <f>VLOOKUP(Table1[[#This Row],[Reference]],metron,10,FALSE)</f>
        <v>2.5726407816919519</v>
      </c>
      <c r="BW313">
        <f>VLOOKUP(Table1[[#This Row],[Reference]],metron,11,FALSE)</f>
        <v>1.1805091283106199</v>
      </c>
      <c r="BX313">
        <f>VLOOKUP(Table1[[#This Row],[Reference]],metron,12,FALSE)</f>
        <v>1.3921316533813319</v>
      </c>
      <c r="BY313" s="6">
        <f>VLOOKUP(Table1[[#This Row],[Reference]],metron,13,FALSE)</f>
        <v>0.5209673269873939</v>
      </c>
      <c r="BZ313" s="6">
        <f>VLOOKUP(Table1[[#This Row],[Reference]],metron,14,FALSE)</f>
        <v>0.61847182917417032</v>
      </c>
      <c r="CA313" s="6">
        <f>VLOOKUP(Table1[[#This Row],[Reference]],metron,15,FALSE)</f>
        <v>11.149200710479571</v>
      </c>
      <c r="CB313" s="6">
        <f>VLOOKUP(Table1[[#This Row],[Reference]],metron,16,FALSE)</f>
        <v>11.444049733570161</v>
      </c>
      <c r="CC313" s="6">
        <f>VLOOKUP(Table1[[#This Row],[Reference]],metron,17,FALSE)</f>
        <v>4.5257270693512304</v>
      </c>
      <c r="CD313" s="6">
        <f>VLOOKUP(Table1[[#This Row],[Reference]],metron,18,FALSE)</f>
        <v>4.8465324384787474</v>
      </c>
      <c r="CE313" s="6">
        <f>VLOOKUP(Table1[[#This Row],[Reference]],metron,19,FALSE)</f>
        <v>6.6234736411283404</v>
      </c>
      <c r="CF313" s="6">
        <f>VLOOKUP(Table1[[#This Row],[Reference]],metron,20,FALSE)</f>
        <v>6.5975172950914134</v>
      </c>
      <c r="CG313" s="6">
        <f>VLOOKUP(Table1[[#This Row],[Reference]],metron,21,FALSE)</f>
        <v>12.90081154192967</v>
      </c>
      <c r="CH313" s="6">
        <f>VLOOKUP(Table1[[#This Row],[Reference]],metron,22,FALSE)</f>
        <v>13.00360685302074</v>
      </c>
      <c r="CI313" s="6">
        <f>VLOOKUP(Table1[[#This Row],[Reference]],metron,23,FALSE)</f>
        <v>1.7502145922746779</v>
      </c>
      <c r="CJ313" s="6">
        <f>VLOOKUP(Table1[[#This Row],[Reference]],metron,24,FALSE)</f>
        <v>1.831402831402831</v>
      </c>
      <c r="CK313" s="6">
        <f>VLOOKUP(Table1[[#This Row],[Reference]],metron,25,FALSE)</f>
        <v>9.6525096525096526E-2</v>
      </c>
      <c r="CL313" s="6">
        <f>VLOOKUP(Table1[[#This Row],[Reference]],metron,26,FALSE)</f>
        <v>0.1244101244101244</v>
      </c>
    </row>
    <row r="314" spans="1:90" hidden="1" x14ac:dyDescent="0.45">
      <c r="A314" t="s">
        <v>695</v>
      </c>
      <c r="B314">
        <v>1650837600</v>
      </c>
      <c r="C314" s="23" t="s">
        <v>638</v>
      </c>
      <c r="D314" t="s">
        <v>65</v>
      </c>
      <c r="E314" t="s">
        <v>66</v>
      </c>
      <c r="F314" t="s">
        <v>112</v>
      </c>
      <c r="G314" t="s">
        <v>91</v>
      </c>
      <c r="H314" t="s">
        <v>583</v>
      </c>
      <c r="I314">
        <f>MROUND(Table1[[#This Row],[ProbH]]*100,2)/100</f>
        <v>0.5</v>
      </c>
      <c r="J314">
        <f>1/Table1[[#This Row],[odds_ft_home_team_win]]-Table1[[#This Row],[Margin]]</f>
        <v>0.50638782490818235</v>
      </c>
      <c r="K314">
        <f>1/Table1[[#This Row],[odds_ft_draw]]-Table1[[#This Row],[Margin]]</f>
        <v>0.27769108305354584</v>
      </c>
      <c r="L314">
        <f>1/Table1[[#This Row],[odds_ft_away_team_win]]-Table1[[#This Row],[Margin]]</f>
        <v>0.21592109203827176</v>
      </c>
      <c r="M314">
        <v>16</v>
      </c>
      <c r="N314">
        <v>1.41</v>
      </c>
      <c r="O314">
        <v>1.24</v>
      </c>
      <c r="P314">
        <v>1.25</v>
      </c>
      <c r="Q314">
        <v>1.25</v>
      </c>
      <c r="R314" t="str" cm="1">
        <f t="array" ref="R3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Z314" t="s">
        <v>639</v>
      </c>
      <c r="AA314">
        <v>8</v>
      </c>
      <c r="AB314">
        <v>3</v>
      </c>
      <c r="AC314">
        <v>3</v>
      </c>
      <c r="AD314">
        <v>0</v>
      </c>
      <c r="AE314">
        <v>4</v>
      </c>
      <c r="AF314">
        <v>0</v>
      </c>
      <c r="AG314">
        <v>1</v>
      </c>
      <c r="AH314">
        <v>2</v>
      </c>
      <c r="AI314">
        <v>1</v>
      </c>
      <c r="AJ314">
        <v>3</v>
      </c>
      <c r="AK314">
        <v>15</v>
      </c>
      <c r="AL314">
        <v>8</v>
      </c>
      <c r="AM314">
        <v>3</v>
      </c>
      <c r="AN314">
        <v>4</v>
      </c>
      <c r="AO314">
        <v>12</v>
      </c>
      <c r="AP314">
        <v>4</v>
      </c>
      <c r="AQ314">
        <v>10</v>
      </c>
      <c r="AR314">
        <v>11</v>
      </c>
      <c r="AS314">
        <v>58</v>
      </c>
      <c r="AT314">
        <v>42</v>
      </c>
      <c r="AU314">
        <v>1.74</v>
      </c>
      <c r="AV314">
        <v>0.94</v>
      </c>
      <c r="AW314">
        <v>2.4700000000000002</v>
      </c>
      <c r="AX314">
        <v>56</v>
      </c>
      <c r="AY314">
        <v>74</v>
      </c>
      <c r="AZ314">
        <v>47</v>
      </c>
      <c r="BA314">
        <v>24</v>
      </c>
      <c r="BB314">
        <v>9</v>
      </c>
      <c r="BC314">
        <v>27</v>
      </c>
      <c r="BD314">
        <v>71</v>
      </c>
      <c r="BE314">
        <v>41</v>
      </c>
      <c r="BF314">
        <v>74</v>
      </c>
      <c r="BG314">
        <v>8.64</v>
      </c>
      <c r="BH314">
        <v>4.59</v>
      </c>
      <c r="BI314">
        <v>1.9</v>
      </c>
      <c r="BJ314">
        <v>3.36</v>
      </c>
      <c r="BK314">
        <v>4.24</v>
      </c>
      <c r="BL314">
        <f>(1/Table1[[#This Row],[odds_ft_home_team_win]]+1/Table1[[#This Row],[odds_ft_draw]]+1/Table1[[#This Row],[odds_ft_away_team_win]]-1)/3</f>
        <v>1.9927964565501794E-2</v>
      </c>
      <c r="BM314">
        <v>1.4</v>
      </c>
      <c r="BN314">
        <v>2.19</v>
      </c>
      <c r="BO314">
        <v>3.75</v>
      </c>
      <c r="BP314">
        <v>7.5</v>
      </c>
      <c r="BQ314">
        <v>2</v>
      </c>
      <c r="BR314">
        <v>1.73</v>
      </c>
      <c r="BS314" t="s">
        <v>116</v>
      </c>
      <c r="BT314">
        <f>VLOOKUP(Table1[[#This Row],[Reference]],metron,8,FALSE)</f>
        <v>1.8001937313313046</v>
      </c>
      <c r="BU314">
        <f>VLOOKUP(Table1[[#This Row],[Reference]],metron,9,FALSE)</f>
        <v>0.9268512077832276</v>
      </c>
      <c r="BV314">
        <f>VLOOKUP(Table1[[#This Row],[Reference]],metron,10,FALSE)</f>
        <v>2.5202079886551649</v>
      </c>
      <c r="BW314">
        <f>VLOOKUP(Table1[[#This Row],[Reference]],metron,11,FALSE)</f>
        <v>1.5342708579532029</v>
      </c>
      <c r="BX314">
        <f>VLOOKUP(Table1[[#This Row],[Reference]],metron,12,FALSE)</f>
        <v>0.98593713070196176</v>
      </c>
      <c r="BY314" s="6">
        <f>VLOOKUP(Table1[[#This Row],[Reference]],metron,13,FALSE)</f>
        <v>0.67513590167809023</v>
      </c>
      <c r="BZ314" s="6">
        <f>VLOOKUP(Table1[[#This Row],[Reference]],metron,14,FALSE)</f>
        <v>0.4286727337194185</v>
      </c>
      <c r="CA314" s="6">
        <f>VLOOKUP(Table1[[#This Row],[Reference]],metron,15,FALSE)</f>
        <v>12.98669114272602</v>
      </c>
      <c r="CB314" s="6">
        <f>VLOOKUP(Table1[[#This Row],[Reference]],metron,16,FALSE)</f>
        <v>9.4167049105094076</v>
      </c>
      <c r="CC314" s="6">
        <f>VLOOKUP(Table1[[#This Row],[Reference]],metron,17,FALSE)</f>
        <v>5.6645716945996272</v>
      </c>
      <c r="CD314" s="6">
        <f>VLOOKUP(Table1[[#This Row],[Reference]],metron,18,FALSE)</f>
        <v>4.0242085661080074</v>
      </c>
      <c r="CE314" s="6">
        <f>VLOOKUP(Table1[[#This Row],[Reference]],metron,19,FALSE)</f>
        <v>7.3221194481263927</v>
      </c>
      <c r="CF314" s="6">
        <f>VLOOKUP(Table1[[#This Row],[Reference]],metron,20,FALSE)</f>
        <v>5.3924963444014002</v>
      </c>
      <c r="CG314" s="6">
        <f>VLOOKUP(Table1[[#This Row],[Reference]],metron,21,FALSE)</f>
        <v>12.508162313432839</v>
      </c>
      <c r="CH314" s="6">
        <f>VLOOKUP(Table1[[#This Row],[Reference]],metron,22,FALSE)</f>
        <v>13.36963619402985</v>
      </c>
      <c r="CI314" s="6">
        <f>VLOOKUP(Table1[[#This Row],[Reference]],metron,23,FALSE)</f>
        <v>1.4438014689517029</v>
      </c>
      <c r="CJ314" s="6">
        <f>VLOOKUP(Table1[[#This Row],[Reference]],metron,24,FALSE)</f>
        <v>1.9410193634542621</v>
      </c>
      <c r="CK314" s="6">
        <f>VLOOKUP(Table1[[#This Row],[Reference]],metron,25,FALSE)</f>
        <v>8.4130870242599604E-2</v>
      </c>
      <c r="CL314" s="6">
        <f>VLOOKUP(Table1[[#This Row],[Reference]],metron,26,FALSE)</f>
        <v>0.1275317160026708</v>
      </c>
    </row>
    <row r="315" spans="1:90" hidden="1" x14ac:dyDescent="0.45">
      <c r="A315" t="s">
        <v>695</v>
      </c>
      <c r="B315">
        <v>1650844800</v>
      </c>
      <c r="C315" s="23" t="s">
        <v>640</v>
      </c>
      <c r="D315" t="s">
        <v>65</v>
      </c>
      <c r="E315" t="s">
        <v>66</v>
      </c>
      <c r="F315" t="s">
        <v>73</v>
      </c>
      <c r="G315" t="s">
        <v>85</v>
      </c>
      <c r="H315" t="s">
        <v>133</v>
      </c>
      <c r="I315">
        <f>MROUND(Table1[[#This Row],[ProbH]]*100,2)/100</f>
        <v>0.46</v>
      </c>
      <c r="J315">
        <f>1/Table1[[#This Row],[odds_ft_home_team_win]]-Table1[[#This Row],[Margin]]</f>
        <v>0.45225327925186143</v>
      </c>
      <c r="K315">
        <f>1/Table1[[#This Row],[odds_ft_draw]]-Table1[[#This Row],[Margin]]</f>
        <v>0.26957250708477676</v>
      </c>
      <c r="L315">
        <f>1/Table1[[#This Row],[odds_ft_away_team_win]]-Table1[[#This Row],[Margin]]</f>
        <v>0.27817421366336192</v>
      </c>
      <c r="M315">
        <v>16</v>
      </c>
      <c r="N315">
        <v>1.61</v>
      </c>
      <c r="O315">
        <v>1.42</v>
      </c>
      <c r="P315">
        <v>1.58</v>
      </c>
      <c r="Q315">
        <v>1.4</v>
      </c>
      <c r="R315" t="str" cm="1">
        <f t="array" ref="R3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15">
        <v>1</v>
      </c>
      <c r="T315">
        <v>1</v>
      </c>
      <c r="U315">
        <v>2</v>
      </c>
      <c r="V315">
        <v>0</v>
      </c>
      <c r="W315">
        <v>0</v>
      </c>
      <c r="X315">
        <v>0</v>
      </c>
      <c r="Y315">
        <v>57</v>
      </c>
      <c r="Z315">
        <v>51</v>
      </c>
      <c r="AA315">
        <v>7</v>
      </c>
      <c r="AB315">
        <v>2</v>
      </c>
      <c r="AC315">
        <v>1</v>
      </c>
      <c r="AD315">
        <v>0</v>
      </c>
      <c r="AE315">
        <v>2</v>
      </c>
      <c r="AF315">
        <v>0</v>
      </c>
      <c r="AG315">
        <v>1</v>
      </c>
      <c r="AH315">
        <v>0</v>
      </c>
      <c r="AI315">
        <v>1</v>
      </c>
      <c r="AJ315">
        <v>1</v>
      </c>
      <c r="AK315">
        <v>8</v>
      </c>
      <c r="AL315">
        <v>5</v>
      </c>
      <c r="AM315">
        <v>7</v>
      </c>
      <c r="AN315">
        <v>3</v>
      </c>
      <c r="AO315">
        <v>1</v>
      </c>
      <c r="AP315">
        <v>2</v>
      </c>
      <c r="AQ315">
        <v>17</v>
      </c>
      <c r="AR315">
        <v>12</v>
      </c>
      <c r="AS315">
        <v>43</v>
      </c>
      <c r="AT315">
        <v>57</v>
      </c>
      <c r="AU315">
        <v>1.43</v>
      </c>
      <c r="AV315">
        <v>0.71</v>
      </c>
      <c r="AW315">
        <v>2.34</v>
      </c>
      <c r="AX315">
        <v>50</v>
      </c>
      <c r="AY315">
        <v>71</v>
      </c>
      <c r="AZ315">
        <v>41</v>
      </c>
      <c r="BA315">
        <v>22</v>
      </c>
      <c r="BB315">
        <v>9</v>
      </c>
      <c r="BC315">
        <v>22</v>
      </c>
      <c r="BD315">
        <v>59</v>
      </c>
      <c r="BE315">
        <v>42</v>
      </c>
      <c r="BF315">
        <v>76</v>
      </c>
      <c r="BG315">
        <v>10.33</v>
      </c>
      <c r="BH315">
        <v>4.67</v>
      </c>
      <c r="BI315">
        <v>2.12</v>
      </c>
      <c r="BJ315">
        <v>3.46</v>
      </c>
      <c r="BK315">
        <v>3.36</v>
      </c>
      <c r="BL315">
        <f>(1/Table1[[#This Row],[odds_ft_home_team_win]]+1/Table1[[#This Row],[odds_ft_draw]]+1/Table1[[#This Row],[odds_ft_away_team_win]]-1)/3</f>
        <v>1.9444833955685709E-2</v>
      </c>
      <c r="BM315">
        <v>1.33</v>
      </c>
      <c r="BN315">
        <v>1.95</v>
      </c>
      <c r="BO315">
        <v>3.25</v>
      </c>
      <c r="BP315">
        <v>6</v>
      </c>
      <c r="BQ315">
        <v>1.73</v>
      </c>
      <c r="BR315">
        <v>2</v>
      </c>
      <c r="BS315" t="s">
        <v>142</v>
      </c>
      <c r="BT315">
        <f>VLOOKUP(Table1[[#This Row],[Reference]],metron,8,FALSE)</f>
        <v>1.6955772349985931</v>
      </c>
      <c r="BU315">
        <f>VLOOKUP(Table1[[#This Row],[Reference]],metron,9,FALSE)</f>
        <v>1.0239029519551039</v>
      </c>
      <c r="BV315">
        <f>VLOOKUP(Table1[[#This Row],[Reference]],metron,10,FALSE)</f>
        <v>2.5405629139072849</v>
      </c>
      <c r="BW315">
        <f>VLOOKUP(Table1[[#This Row],[Reference]],metron,11,FALSE)</f>
        <v>1.4888836329233679</v>
      </c>
      <c r="BX315">
        <f>VLOOKUP(Table1[[#This Row],[Reference]],metron,12,FALSE)</f>
        <v>1.0516792809839171</v>
      </c>
      <c r="BY315" s="6">
        <f>VLOOKUP(Table1[[#This Row],[Reference]],metron,13,FALSE)</f>
        <v>0.64581362346263005</v>
      </c>
      <c r="BZ315" s="6">
        <f>VLOOKUP(Table1[[#This Row],[Reference]],metron,14,FALSE)</f>
        <v>0.45364238410596031</v>
      </c>
      <c r="CA315" s="6">
        <f>VLOOKUP(Table1[[#This Row],[Reference]],metron,15,FALSE)</f>
        <v>12.686892177589851</v>
      </c>
      <c r="CB315" s="6">
        <f>VLOOKUP(Table1[[#This Row],[Reference]],metron,16,FALSE)</f>
        <v>9.8059196617336148</v>
      </c>
      <c r="CC315" s="6">
        <f>VLOOKUP(Table1[[#This Row],[Reference]],metron,17,FALSE)</f>
        <v>5.3198121263877027</v>
      </c>
      <c r="CD315" s="6">
        <f>VLOOKUP(Table1[[#This Row],[Reference]],metron,18,FALSE)</f>
        <v>4.0954312553373189</v>
      </c>
      <c r="CE315" s="6">
        <f>VLOOKUP(Table1[[#This Row],[Reference]],metron,19,FALSE)</f>
        <v>7.3670800512021479</v>
      </c>
      <c r="CF315" s="6">
        <f>VLOOKUP(Table1[[#This Row],[Reference]],metron,20,FALSE)</f>
        <v>5.710488406396296</v>
      </c>
      <c r="CG315" s="6">
        <f>VLOOKUP(Table1[[#This Row],[Reference]],metron,21,FALSE)</f>
        <v>13.0488908033599</v>
      </c>
      <c r="CH315" s="6">
        <f>VLOOKUP(Table1[[#This Row],[Reference]],metron,22,FALSE)</f>
        <v>13.714839543398661</v>
      </c>
      <c r="CI315" s="6">
        <f>VLOOKUP(Table1[[#This Row],[Reference]],metron,23,FALSE)</f>
        <v>1.567523459812322</v>
      </c>
      <c r="CJ315" s="6">
        <f>VLOOKUP(Table1[[#This Row],[Reference]],metron,24,FALSE)</f>
        <v>1.951040391676867</v>
      </c>
      <c r="CK315" s="6">
        <f>VLOOKUP(Table1[[#This Row],[Reference]],metron,25,FALSE)</f>
        <v>8.3027335781313744E-2</v>
      </c>
      <c r="CL315" s="6">
        <f>VLOOKUP(Table1[[#This Row],[Reference]],metron,26,FALSE)</f>
        <v>0.13117095063239501</v>
      </c>
    </row>
    <row r="316" spans="1:90" hidden="1" x14ac:dyDescent="0.45">
      <c r="A316" t="s">
        <v>695</v>
      </c>
      <c r="B316">
        <v>1650852360</v>
      </c>
      <c r="C316" s="23" t="s">
        <v>641</v>
      </c>
      <c r="D316" t="s">
        <v>65</v>
      </c>
      <c r="E316" t="s">
        <v>66</v>
      </c>
      <c r="F316" t="s">
        <v>106</v>
      </c>
      <c r="G316" t="s">
        <v>67</v>
      </c>
      <c r="H316" t="s">
        <v>69</v>
      </c>
      <c r="I316">
        <f>MROUND(Table1[[#This Row],[ProbH]]*100,2)/100</f>
        <v>0.46</v>
      </c>
      <c r="J316">
        <f>1/Table1[[#This Row],[odds_ft_home_team_win]]-Table1[[#This Row],[Margin]]</f>
        <v>0.45667368013736725</v>
      </c>
      <c r="K316">
        <f>1/Table1[[#This Row],[odds_ft_draw]]-Table1[[#This Row],[Margin]]</f>
        <v>0.28351350697719413</v>
      </c>
      <c r="L316">
        <f>1/Table1[[#This Row],[odds_ft_away_team_win]]-Table1[[#This Row],[Margin]]</f>
        <v>0.25981281288543856</v>
      </c>
      <c r="M316">
        <v>16</v>
      </c>
      <c r="N316">
        <v>1.38</v>
      </c>
      <c r="O316">
        <v>0.63</v>
      </c>
      <c r="P316">
        <v>1.35</v>
      </c>
      <c r="Q316">
        <v>0.65</v>
      </c>
      <c r="R316" t="str" cm="1">
        <f t="array" ref="R3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16">
        <v>2</v>
      </c>
      <c r="T316">
        <v>2</v>
      </c>
      <c r="U316">
        <v>4</v>
      </c>
      <c r="V316">
        <v>2</v>
      </c>
      <c r="W316">
        <v>2</v>
      </c>
      <c r="X316">
        <v>0</v>
      </c>
      <c r="Y316" t="s">
        <v>642</v>
      </c>
      <c r="Z316" t="s">
        <v>643</v>
      </c>
      <c r="AA316">
        <v>8</v>
      </c>
      <c r="AB316">
        <v>10</v>
      </c>
      <c r="AC316">
        <v>5</v>
      </c>
      <c r="AD316">
        <v>0</v>
      </c>
      <c r="AE316">
        <v>3</v>
      </c>
      <c r="AF316">
        <v>0</v>
      </c>
      <c r="AG316">
        <v>3</v>
      </c>
      <c r="AH316">
        <v>2</v>
      </c>
      <c r="AI316">
        <v>2</v>
      </c>
      <c r="AJ316">
        <v>1</v>
      </c>
      <c r="AK316">
        <v>9</v>
      </c>
      <c r="AL316">
        <v>7</v>
      </c>
      <c r="AM316">
        <v>6</v>
      </c>
      <c r="AN316">
        <v>3</v>
      </c>
      <c r="AO316">
        <v>3</v>
      </c>
      <c r="AP316">
        <v>4</v>
      </c>
      <c r="AQ316">
        <v>14</v>
      </c>
      <c r="AR316">
        <v>14</v>
      </c>
      <c r="AS316">
        <v>46</v>
      </c>
      <c r="AT316">
        <v>54</v>
      </c>
      <c r="AU316">
        <v>1.4</v>
      </c>
      <c r="AV316">
        <v>1.03</v>
      </c>
      <c r="AW316">
        <v>1.94</v>
      </c>
      <c r="AX316">
        <v>53</v>
      </c>
      <c r="AY316">
        <v>69</v>
      </c>
      <c r="AZ316">
        <v>25</v>
      </c>
      <c r="BA316">
        <v>13</v>
      </c>
      <c r="BB316">
        <v>3</v>
      </c>
      <c r="BC316">
        <v>19</v>
      </c>
      <c r="BD316">
        <v>60</v>
      </c>
      <c r="BE316">
        <v>31</v>
      </c>
      <c r="BF316">
        <v>72</v>
      </c>
      <c r="BG316">
        <v>10.130000000000001</v>
      </c>
      <c r="BH316">
        <v>5.44</v>
      </c>
      <c r="BI316">
        <v>2.1</v>
      </c>
      <c r="BJ316">
        <v>3.3</v>
      </c>
      <c r="BK316">
        <v>3.58</v>
      </c>
      <c r="BL316">
        <f>(1/Table1[[#This Row],[odds_ft_home_team_win]]+1/Table1[[#This Row],[odds_ft_draw]]+1/Table1[[#This Row],[odds_ft_away_team_win]]-1)/3</f>
        <v>1.9516796053108926E-2</v>
      </c>
      <c r="BM316">
        <v>1.39</v>
      </c>
      <c r="BN316">
        <v>2.1</v>
      </c>
      <c r="BO316">
        <v>3.98</v>
      </c>
      <c r="BP316">
        <v>7.7</v>
      </c>
      <c r="BQ316">
        <v>1.91</v>
      </c>
      <c r="BR316">
        <v>1.8</v>
      </c>
      <c r="BS316" t="s">
        <v>110</v>
      </c>
      <c r="BT316">
        <f>VLOOKUP(Table1[[#This Row],[Reference]],metron,8,FALSE)</f>
        <v>1.6955772349985931</v>
      </c>
      <c r="BU316">
        <f>VLOOKUP(Table1[[#This Row],[Reference]],metron,9,FALSE)</f>
        <v>1.0239029519551039</v>
      </c>
      <c r="BV316">
        <f>VLOOKUP(Table1[[#This Row],[Reference]],metron,10,FALSE)</f>
        <v>2.5405629139072849</v>
      </c>
      <c r="BW316">
        <f>VLOOKUP(Table1[[#This Row],[Reference]],metron,11,FALSE)</f>
        <v>1.4888836329233679</v>
      </c>
      <c r="BX316">
        <f>VLOOKUP(Table1[[#This Row],[Reference]],metron,12,FALSE)</f>
        <v>1.0516792809839171</v>
      </c>
      <c r="BY316" s="6">
        <f>VLOOKUP(Table1[[#This Row],[Reference]],metron,13,FALSE)</f>
        <v>0.64581362346263005</v>
      </c>
      <c r="BZ316" s="6">
        <f>VLOOKUP(Table1[[#This Row],[Reference]],metron,14,FALSE)</f>
        <v>0.45364238410596031</v>
      </c>
      <c r="CA316" s="6">
        <f>VLOOKUP(Table1[[#This Row],[Reference]],metron,15,FALSE)</f>
        <v>12.686892177589851</v>
      </c>
      <c r="CB316" s="6">
        <f>VLOOKUP(Table1[[#This Row],[Reference]],metron,16,FALSE)</f>
        <v>9.8059196617336148</v>
      </c>
      <c r="CC316" s="6">
        <f>VLOOKUP(Table1[[#This Row],[Reference]],metron,17,FALSE)</f>
        <v>5.3198121263877027</v>
      </c>
      <c r="CD316" s="6">
        <f>VLOOKUP(Table1[[#This Row],[Reference]],metron,18,FALSE)</f>
        <v>4.0954312553373189</v>
      </c>
      <c r="CE316" s="6">
        <f>VLOOKUP(Table1[[#This Row],[Reference]],metron,19,FALSE)</f>
        <v>7.3670800512021479</v>
      </c>
      <c r="CF316" s="6">
        <f>VLOOKUP(Table1[[#This Row],[Reference]],metron,20,FALSE)</f>
        <v>5.710488406396296</v>
      </c>
      <c r="CG316" s="6">
        <f>VLOOKUP(Table1[[#This Row],[Reference]],metron,21,FALSE)</f>
        <v>13.0488908033599</v>
      </c>
      <c r="CH316" s="6">
        <f>VLOOKUP(Table1[[#This Row],[Reference]],metron,22,FALSE)</f>
        <v>13.714839543398661</v>
      </c>
      <c r="CI316" s="6">
        <f>VLOOKUP(Table1[[#This Row],[Reference]],metron,23,FALSE)</f>
        <v>1.567523459812322</v>
      </c>
      <c r="CJ316" s="6">
        <f>VLOOKUP(Table1[[#This Row],[Reference]],metron,24,FALSE)</f>
        <v>1.951040391676867</v>
      </c>
      <c r="CK316" s="6">
        <f>VLOOKUP(Table1[[#This Row],[Reference]],metron,25,FALSE)</f>
        <v>8.3027335781313744E-2</v>
      </c>
      <c r="CL316" s="6">
        <f>VLOOKUP(Table1[[#This Row],[Reference]],metron,26,FALSE)</f>
        <v>0.13117095063239501</v>
      </c>
    </row>
    <row r="317" spans="1:90" hidden="1" x14ac:dyDescent="0.45">
      <c r="A317" t="s">
        <v>695</v>
      </c>
      <c r="B317">
        <v>1651276800</v>
      </c>
      <c r="C317" s="23" t="s">
        <v>644</v>
      </c>
      <c r="D317" t="s">
        <v>65</v>
      </c>
      <c r="E317" t="s">
        <v>66</v>
      </c>
      <c r="F317" t="s">
        <v>72</v>
      </c>
      <c r="G317" t="s">
        <v>90</v>
      </c>
      <c r="H317" t="s">
        <v>158</v>
      </c>
      <c r="I317">
        <f>MROUND(Table1[[#This Row],[ProbH]]*100,2)/100</f>
        <v>0.42</v>
      </c>
      <c r="J317">
        <f>1/Table1[[#This Row],[odds_ft_home_team_win]]-Table1[[#This Row],[Margin]]</f>
        <v>0.41212753306486882</v>
      </c>
      <c r="K317">
        <f>1/Table1[[#This Row],[odds_ft_draw]]-Table1[[#This Row],[Margin]]</f>
        <v>0.27706063076746917</v>
      </c>
      <c r="L317">
        <f>1/Table1[[#This Row],[odds_ft_away_team_win]]-Table1[[#This Row],[Margin]]</f>
        <v>0.31081183616766206</v>
      </c>
      <c r="M317">
        <v>17</v>
      </c>
      <c r="N317">
        <v>1.31</v>
      </c>
      <c r="O317">
        <v>1.24</v>
      </c>
      <c r="P317">
        <v>1.24</v>
      </c>
      <c r="Q317">
        <v>1.32</v>
      </c>
      <c r="R317" s="9" t="str" cm="1">
        <f t="array" ref="R3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Z317">
        <v>89</v>
      </c>
      <c r="AA317">
        <v>6</v>
      </c>
      <c r="AB317">
        <v>4</v>
      </c>
      <c r="AC317">
        <v>3</v>
      </c>
      <c r="AD317">
        <v>0</v>
      </c>
      <c r="AE317">
        <v>1</v>
      </c>
      <c r="AF317">
        <v>0</v>
      </c>
      <c r="AG317">
        <v>1</v>
      </c>
      <c r="AH317">
        <v>2</v>
      </c>
      <c r="AI317">
        <v>1</v>
      </c>
      <c r="AJ317">
        <v>0</v>
      </c>
      <c r="AK317">
        <v>12</v>
      </c>
      <c r="AL317">
        <v>11</v>
      </c>
      <c r="AM317">
        <v>5</v>
      </c>
      <c r="AN317">
        <v>5</v>
      </c>
      <c r="AO317">
        <v>7</v>
      </c>
      <c r="AP317">
        <v>6</v>
      </c>
      <c r="AQ317">
        <v>22</v>
      </c>
      <c r="AR317">
        <v>4</v>
      </c>
      <c r="AS317">
        <v>50</v>
      </c>
      <c r="AT317">
        <v>50</v>
      </c>
      <c r="AU317">
        <v>1.43</v>
      </c>
      <c r="AV317">
        <v>1.21</v>
      </c>
      <c r="AW317">
        <v>2.13</v>
      </c>
      <c r="AX317">
        <v>36</v>
      </c>
      <c r="AY317">
        <v>58</v>
      </c>
      <c r="AZ317">
        <v>46</v>
      </c>
      <c r="BA317">
        <v>19</v>
      </c>
      <c r="BB317">
        <v>3</v>
      </c>
      <c r="BC317">
        <v>34</v>
      </c>
      <c r="BD317">
        <v>55</v>
      </c>
      <c r="BE317">
        <v>39</v>
      </c>
      <c r="BF317">
        <v>73</v>
      </c>
      <c r="BG317">
        <v>8.94</v>
      </c>
      <c r="BH317">
        <v>4.76</v>
      </c>
      <c r="BI317">
        <v>2.33</v>
      </c>
      <c r="BJ317">
        <v>3.4</v>
      </c>
      <c r="BK317">
        <v>3.05</v>
      </c>
      <c r="BL317">
        <f>(1/Table1[[#This Row],[odds_ft_home_team_win]]+1/Table1[[#This Row],[odds_ft_draw]]+1/Table1[[#This Row],[odds_ft_away_team_win]]-1)/3</f>
        <v>1.7057016291354365E-2</v>
      </c>
      <c r="BM317">
        <v>1.5</v>
      </c>
      <c r="BN317">
        <v>2.08</v>
      </c>
      <c r="BO317">
        <v>3.8</v>
      </c>
      <c r="BP317">
        <v>7.4</v>
      </c>
      <c r="BQ317">
        <v>1.85</v>
      </c>
      <c r="BR317">
        <v>1.85</v>
      </c>
      <c r="BS317" t="s">
        <v>76</v>
      </c>
      <c r="BT317">
        <f>VLOOKUP(Table1[[#This Row],[Reference]],metron,8,FALSE)</f>
        <v>1.5780106027030405</v>
      </c>
      <c r="BU317">
        <f>VLOOKUP(Table1[[#This Row],[Reference]],metron,9,FALSE)</f>
        <v>1.1353025412447635</v>
      </c>
      <c r="BV317">
        <f>VLOOKUP(Table1[[#This Row],[Reference]],metron,10,FALSE)</f>
        <v>2.4884649511978703</v>
      </c>
      <c r="BW317">
        <f>VLOOKUP(Table1[[#This Row],[Reference]],metron,11,FALSE)</f>
        <v>1.396960958296362</v>
      </c>
      <c r="BX317">
        <f>VLOOKUP(Table1[[#This Row],[Reference]],metron,12,FALSE)</f>
        <v>1.091503992901508</v>
      </c>
      <c r="BY317" s="6">
        <f>VLOOKUP(Table1[[#This Row],[Reference]],metron,13,FALSE)</f>
        <v>0.60765391014975045</v>
      </c>
      <c r="BZ317" s="6">
        <f>VLOOKUP(Table1[[#This Row],[Reference]],metron,14,FALSE)</f>
        <v>0.47276760953965608</v>
      </c>
      <c r="CA317" s="6">
        <f>VLOOKUP(Table1[[#This Row],[Reference]],metron,15,FALSE)</f>
        <v>12.29504785684561</v>
      </c>
      <c r="CB317" s="6">
        <f>VLOOKUP(Table1[[#This Row],[Reference]],metron,16,FALSE)</f>
        <v>10.047232625884311</v>
      </c>
      <c r="CC317" s="6">
        <f>VLOOKUP(Table1[[#This Row],[Reference]],metron,17,FALSE)</f>
        <v>5.2917192097519967</v>
      </c>
      <c r="CD317" s="6">
        <f>VLOOKUP(Table1[[#This Row],[Reference]],metron,18,FALSE)</f>
        <v>4.2580916351408158</v>
      </c>
      <c r="CE317" s="6">
        <f>VLOOKUP(Table1[[#This Row],[Reference]],metron,19,FALSE)</f>
        <v>7.0033286470936131</v>
      </c>
      <c r="CF317" s="6">
        <f>VLOOKUP(Table1[[#This Row],[Reference]],metron,20,FALSE)</f>
        <v>5.789140990743495</v>
      </c>
      <c r="CG317" s="6">
        <f>VLOOKUP(Table1[[#This Row],[Reference]],metron,21,FALSE)</f>
        <v>12.77041895895049</v>
      </c>
      <c r="CH317" s="6">
        <f>VLOOKUP(Table1[[#This Row],[Reference]],metron,22,FALSE)</f>
        <v>13.411129919593741</v>
      </c>
      <c r="CI317" s="6">
        <f>VLOOKUP(Table1[[#This Row],[Reference]],metron,23,FALSE)</f>
        <v>1.556141062018646</v>
      </c>
      <c r="CJ317" s="6">
        <f>VLOOKUP(Table1[[#This Row],[Reference]],metron,24,FALSE)</f>
        <v>1.9114308877178761</v>
      </c>
      <c r="CK317" s="6">
        <f>VLOOKUP(Table1[[#This Row],[Reference]],metron,25,FALSE)</f>
        <v>8.4920956627482766E-2</v>
      </c>
      <c r="CL317" s="6">
        <f>VLOOKUP(Table1[[#This Row],[Reference]],metron,26,FALSE)</f>
        <v>0.1323469801378192</v>
      </c>
    </row>
    <row r="318" spans="1:90" hidden="1" x14ac:dyDescent="0.45">
      <c r="A318" t="s">
        <v>695</v>
      </c>
      <c r="B318">
        <v>1651284300</v>
      </c>
      <c r="C318" s="23" t="s">
        <v>645</v>
      </c>
      <c r="D318" t="s">
        <v>65</v>
      </c>
      <c r="E318" t="s">
        <v>66</v>
      </c>
      <c r="F318" t="s">
        <v>113</v>
      </c>
      <c r="G318" t="s">
        <v>102</v>
      </c>
      <c r="H318" t="s">
        <v>74</v>
      </c>
      <c r="I318">
        <f>MROUND(Table1[[#This Row],[ProbH]]*100,2)/100</f>
        <v>0.34</v>
      </c>
      <c r="J318">
        <f>1/Table1[[#This Row],[odds_ft_home_team_win]]-Table1[[#This Row],[Margin]]</f>
        <v>0.33318273545977528</v>
      </c>
      <c r="K318">
        <f>1/Table1[[#This Row],[odds_ft_draw]]-Table1[[#This Row],[Margin]]</f>
        <v>0.29862052347820844</v>
      </c>
      <c r="L318">
        <f>1/Table1[[#This Row],[odds_ft_away_team_win]]-Table1[[#This Row],[Margin]]</f>
        <v>0.36819674106201622</v>
      </c>
      <c r="M318">
        <v>17</v>
      </c>
      <c r="N318">
        <v>1.63</v>
      </c>
      <c r="O318">
        <v>1.59</v>
      </c>
      <c r="P318">
        <v>1.71</v>
      </c>
      <c r="Q318">
        <v>1.42</v>
      </c>
      <c r="R318" t="str" cm="1">
        <f t="array" ref="R3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8">
        <v>2</v>
      </c>
      <c r="T318">
        <v>1</v>
      </c>
      <c r="U318">
        <v>3</v>
      </c>
      <c r="V318">
        <v>0</v>
      </c>
      <c r="W318">
        <v>0</v>
      </c>
      <c r="X318">
        <v>0</v>
      </c>
      <c r="Y318" t="s">
        <v>646</v>
      </c>
      <c r="Z318" t="s">
        <v>329</v>
      </c>
      <c r="AA318">
        <v>7</v>
      </c>
      <c r="AB318">
        <v>4</v>
      </c>
      <c r="AC318">
        <v>3</v>
      </c>
      <c r="AD318">
        <v>0</v>
      </c>
      <c r="AE318">
        <v>5</v>
      </c>
      <c r="AF318">
        <v>0</v>
      </c>
      <c r="AG318">
        <v>0</v>
      </c>
      <c r="AH318">
        <v>3</v>
      </c>
      <c r="AI318">
        <v>3</v>
      </c>
      <c r="AJ318">
        <v>2</v>
      </c>
      <c r="AK318">
        <v>15</v>
      </c>
      <c r="AL318">
        <v>9</v>
      </c>
      <c r="AM318">
        <v>8</v>
      </c>
      <c r="AN318">
        <v>2</v>
      </c>
      <c r="AO318">
        <v>7</v>
      </c>
      <c r="AP318">
        <v>7</v>
      </c>
      <c r="AQ318">
        <v>15</v>
      </c>
      <c r="AR318">
        <v>18</v>
      </c>
      <c r="AS318">
        <v>55</v>
      </c>
      <c r="AT318">
        <v>45</v>
      </c>
      <c r="AU318">
        <v>1.78</v>
      </c>
      <c r="AV318">
        <v>0.96</v>
      </c>
      <c r="AW318">
        <v>2.31</v>
      </c>
      <c r="AX318">
        <v>52</v>
      </c>
      <c r="AY318">
        <v>76</v>
      </c>
      <c r="AZ318">
        <v>40</v>
      </c>
      <c r="BA318">
        <v>16</v>
      </c>
      <c r="BB318">
        <v>3</v>
      </c>
      <c r="BC318">
        <v>34</v>
      </c>
      <c r="BD318">
        <v>76</v>
      </c>
      <c r="BE318">
        <v>37</v>
      </c>
      <c r="BF318">
        <v>70</v>
      </c>
      <c r="BG318">
        <v>6.99</v>
      </c>
      <c r="BH318">
        <v>6.41</v>
      </c>
      <c r="BI318">
        <v>2.8</v>
      </c>
      <c r="BJ318">
        <v>3.1</v>
      </c>
      <c r="BK318">
        <v>2.5499999999999998</v>
      </c>
      <c r="BL318">
        <f>(1/Table1[[#This Row],[odds_ft_home_team_win]]+1/Table1[[#This Row],[odds_ft_draw]]+1/Table1[[#This Row],[odds_ft_away_team_win]]-1)/3</f>
        <v>2.3960121683081887E-2</v>
      </c>
      <c r="BM318">
        <v>0</v>
      </c>
      <c r="BN318">
        <v>2.13</v>
      </c>
      <c r="BO318">
        <v>0</v>
      </c>
      <c r="BP318">
        <v>0</v>
      </c>
      <c r="BQ318">
        <v>0</v>
      </c>
      <c r="BR318">
        <v>0</v>
      </c>
      <c r="BS318" t="s">
        <v>120</v>
      </c>
      <c r="BT318">
        <f>VLOOKUP(Table1[[#This Row],[Reference]],metron,8,FALSE)</f>
        <v>1.3382439854569812</v>
      </c>
      <c r="BU318">
        <f>VLOOKUP(Table1[[#This Row],[Reference]],metron,9,FALSE)</f>
        <v>1.3740319615582339</v>
      </c>
      <c r="BV318">
        <f>VLOOKUP(Table1[[#This Row],[Reference]],metron,10,FALSE)</f>
        <v>2.5229727551184897</v>
      </c>
      <c r="BW318">
        <f>VLOOKUP(Table1[[#This Row],[Reference]],metron,11,FALSE)</f>
        <v>1.228921489601805</v>
      </c>
      <c r="BX318">
        <f>VLOOKUP(Table1[[#This Row],[Reference]],metron,12,FALSE)</f>
        <v>1.2940512655166849</v>
      </c>
      <c r="BY318" s="6">
        <f>VLOOKUP(Table1[[#This Row],[Reference]],metron,13,FALSE)</f>
        <v>0.53240890035472432</v>
      </c>
      <c r="BZ318" s="6">
        <f>VLOOKUP(Table1[[#This Row],[Reference]],metron,14,FALSE)</f>
        <v>0.56514027732989358</v>
      </c>
      <c r="CA318" s="6">
        <f>VLOOKUP(Table1[[#This Row],[Reference]],metron,15,FALSE)</f>
        <v>11.417888124439131</v>
      </c>
      <c r="CB318" s="6">
        <f>VLOOKUP(Table1[[#This Row],[Reference]],metron,16,FALSE)</f>
        <v>10.76308704756207</v>
      </c>
      <c r="CC318" s="6">
        <f>VLOOKUP(Table1[[#This Row],[Reference]],metron,17,FALSE)</f>
        <v>4.8317672021824798</v>
      </c>
      <c r="CD318" s="6">
        <f>VLOOKUP(Table1[[#This Row],[Reference]],metron,18,FALSE)</f>
        <v>4.6698999696877843</v>
      </c>
      <c r="CE318" s="6">
        <f>VLOOKUP(Table1[[#This Row],[Reference]],metron,19,FALSE)</f>
        <v>6.5861209222566508</v>
      </c>
      <c r="CF318" s="6">
        <f>VLOOKUP(Table1[[#This Row],[Reference]],metron,20,FALSE)</f>
        <v>6.093187077874286</v>
      </c>
      <c r="CG318" s="6">
        <f>VLOOKUP(Table1[[#This Row],[Reference]],metron,21,FALSE)</f>
        <v>12.685679611650491</v>
      </c>
      <c r="CH318" s="6">
        <f>VLOOKUP(Table1[[#This Row],[Reference]],metron,22,FALSE)</f>
        <v>13.02639563106796</v>
      </c>
      <c r="CI318" s="6">
        <f>VLOOKUP(Table1[[#This Row],[Reference]],metron,23,FALSE)</f>
        <v>1.6481211768132831</v>
      </c>
      <c r="CJ318" s="6">
        <f>VLOOKUP(Table1[[#This Row],[Reference]],metron,24,FALSE)</f>
        <v>1.8572676958928049</v>
      </c>
      <c r="CK318" s="6">
        <f>VLOOKUP(Table1[[#This Row],[Reference]],metron,25,FALSE)</f>
        <v>9.641712787649287E-2</v>
      </c>
      <c r="CL318" s="6">
        <f>VLOOKUP(Table1[[#This Row],[Reference]],metron,26,FALSE)</f>
        <v>0.11302068161957469</v>
      </c>
    </row>
    <row r="319" spans="1:90" hidden="1" x14ac:dyDescent="0.45">
      <c r="A319" t="s">
        <v>695</v>
      </c>
      <c r="B319">
        <v>1651356000</v>
      </c>
      <c r="C319" s="23" t="s">
        <v>647</v>
      </c>
      <c r="D319" t="s">
        <v>65</v>
      </c>
      <c r="E319" t="s">
        <v>66</v>
      </c>
      <c r="F319" t="s">
        <v>67</v>
      </c>
      <c r="G319" t="s">
        <v>78</v>
      </c>
      <c r="H319" t="s">
        <v>133</v>
      </c>
      <c r="I319">
        <f>MROUND(Table1[[#This Row],[ProbH]]*100,2)/100</f>
        <v>0.54</v>
      </c>
      <c r="J319">
        <f>1/Table1[[#This Row],[odds_ft_home_team_win]]-Table1[[#This Row],[Margin]]</f>
        <v>0.54758624402805278</v>
      </c>
      <c r="K319">
        <f>1/Table1[[#This Row],[odds_ft_draw]]-Table1[[#This Row],[Margin]]</f>
        <v>0.27180208666494804</v>
      </c>
      <c r="L319">
        <f>1/Table1[[#This Row],[odds_ft_away_team_win]]-Table1[[#This Row],[Margin]]</f>
        <v>0.18061166930699918</v>
      </c>
      <c r="M319">
        <v>17</v>
      </c>
      <c r="N319">
        <v>1.1299999999999999</v>
      </c>
      <c r="O319">
        <v>0.75</v>
      </c>
      <c r="P319">
        <v>1.24</v>
      </c>
      <c r="Q319">
        <v>0.71</v>
      </c>
      <c r="R319" t="str" cm="1">
        <f t="array" ref="R3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9">
        <v>4</v>
      </c>
      <c r="T319">
        <v>0</v>
      </c>
      <c r="U319">
        <v>4</v>
      </c>
      <c r="V319">
        <v>2</v>
      </c>
      <c r="W319">
        <v>2</v>
      </c>
      <c r="X319">
        <v>0</v>
      </c>
      <c r="Y319" t="s">
        <v>648</v>
      </c>
      <c r="AA319">
        <v>7</v>
      </c>
      <c r="AB319">
        <v>1</v>
      </c>
      <c r="AC319">
        <v>1</v>
      </c>
      <c r="AD319">
        <v>0</v>
      </c>
      <c r="AE319">
        <v>3</v>
      </c>
      <c r="AF319">
        <v>2</v>
      </c>
      <c r="AG319">
        <v>1</v>
      </c>
      <c r="AH319">
        <v>0</v>
      </c>
      <c r="AI319">
        <v>3</v>
      </c>
      <c r="AJ319">
        <v>2</v>
      </c>
      <c r="AK319">
        <v>13</v>
      </c>
      <c r="AL319">
        <v>7</v>
      </c>
      <c r="AM319">
        <v>9</v>
      </c>
      <c r="AN319">
        <v>3</v>
      </c>
      <c r="AO319">
        <v>4</v>
      </c>
      <c r="AP319">
        <v>4</v>
      </c>
      <c r="AQ319">
        <v>14</v>
      </c>
      <c r="AR319">
        <v>10</v>
      </c>
      <c r="AS319">
        <v>63</v>
      </c>
      <c r="AT319">
        <v>37</v>
      </c>
      <c r="AU319">
        <v>1.72</v>
      </c>
      <c r="AV319">
        <v>0.78</v>
      </c>
      <c r="AW319">
        <v>1.97</v>
      </c>
      <c r="AX319">
        <v>28</v>
      </c>
      <c r="AY319">
        <v>56</v>
      </c>
      <c r="AZ319">
        <v>28</v>
      </c>
      <c r="BA319">
        <v>13</v>
      </c>
      <c r="BB319">
        <v>3</v>
      </c>
      <c r="BC319">
        <v>22</v>
      </c>
      <c r="BD319">
        <v>51</v>
      </c>
      <c r="BE319">
        <v>32</v>
      </c>
      <c r="BF319">
        <v>82</v>
      </c>
      <c r="BG319">
        <v>7.51</v>
      </c>
      <c r="BH319">
        <v>4.88</v>
      </c>
      <c r="BI319">
        <v>1.76</v>
      </c>
      <c r="BJ319">
        <v>3.42</v>
      </c>
      <c r="BK319">
        <v>4.97</v>
      </c>
      <c r="BL319">
        <f>(1/Table1[[#This Row],[odds_ft_home_team_win]]+1/Table1[[#This Row],[odds_ft_draw]]+1/Table1[[#This Row],[odds_ft_away_team_win]]-1)/3</f>
        <v>2.0595574153765412E-2</v>
      </c>
      <c r="BM319">
        <v>1.47</v>
      </c>
      <c r="BN319">
        <v>2.48</v>
      </c>
      <c r="BO319">
        <v>4.75</v>
      </c>
      <c r="BP319">
        <v>9.3000000000000007</v>
      </c>
      <c r="BQ319">
        <v>2.2999999999999998</v>
      </c>
      <c r="BR319">
        <v>1.62</v>
      </c>
      <c r="BS319" t="s">
        <v>70</v>
      </c>
      <c r="BT319">
        <f>VLOOKUP(Table1[[#This Row],[Reference]],metron,8,FALSE)</f>
        <v>1.915666026436746</v>
      </c>
      <c r="BU319">
        <f>VLOOKUP(Table1[[#This Row],[Reference]],metron,9,FALSE)</f>
        <v>0.82283834599204153</v>
      </c>
      <c r="BV319">
        <f>VLOOKUP(Table1[[#This Row],[Reference]],metron,10,FALSE)</f>
        <v>2.6359702267612941</v>
      </c>
      <c r="BW319">
        <f>VLOOKUP(Table1[[#This Row],[Reference]],metron,11,FALSE)</f>
        <v>1.684957590444867</v>
      </c>
      <c r="BX319">
        <f>VLOOKUP(Table1[[#This Row],[Reference]],metron,12,FALSE)</f>
        <v>0.95101263631642718</v>
      </c>
      <c r="BY319" s="6">
        <f>VLOOKUP(Table1[[#This Row],[Reference]],metron,13,FALSE)</f>
        <v>0.72650164445213783</v>
      </c>
      <c r="BZ319" s="6">
        <f>VLOOKUP(Table1[[#This Row],[Reference]],metron,14,FALSE)</f>
        <v>0.42097974727367138</v>
      </c>
      <c r="CA319" s="6">
        <f>VLOOKUP(Table1[[#This Row],[Reference]],metron,15,FALSE)</f>
        <v>13.338806970509379</v>
      </c>
      <c r="CB319" s="6">
        <f>VLOOKUP(Table1[[#This Row],[Reference]],metron,16,FALSE)</f>
        <v>9.2530160857908843</v>
      </c>
      <c r="CC319" s="6">
        <f>VLOOKUP(Table1[[#This Row],[Reference]],metron,17,FALSE)</f>
        <v>5.9915081521739131</v>
      </c>
      <c r="CD319" s="6">
        <f>VLOOKUP(Table1[[#This Row],[Reference]],metron,18,FALSE)</f>
        <v>3.9772418478260869</v>
      </c>
      <c r="CE319" s="6">
        <f>VLOOKUP(Table1[[#This Row],[Reference]],metron,19,FALSE)</f>
        <v>7.3472988183354664</v>
      </c>
      <c r="CF319" s="6">
        <f>VLOOKUP(Table1[[#This Row],[Reference]],metron,20,FALSE)</f>
        <v>5.2757742379647974</v>
      </c>
      <c r="CG319" s="6">
        <f>VLOOKUP(Table1[[#This Row],[Reference]],metron,21,FALSE)</f>
        <v>12.59428182437032</v>
      </c>
      <c r="CH319" s="6">
        <f>VLOOKUP(Table1[[#This Row],[Reference]],metron,22,FALSE)</f>
        <v>13.577944179714089</v>
      </c>
      <c r="CI319" s="6">
        <f>VLOOKUP(Table1[[#This Row],[Reference]],metron,23,FALSE)</f>
        <v>1.4276913099870301</v>
      </c>
      <c r="CJ319" s="6">
        <f>VLOOKUP(Table1[[#This Row],[Reference]],metron,24,FALSE)</f>
        <v>1.940985732814527</v>
      </c>
      <c r="CK319" s="6">
        <f>VLOOKUP(Table1[[#This Row],[Reference]],metron,25,FALSE)</f>
        <v>8.0739299610894946E-2</v>
      </c>
      <c r="CL319" s="6">
        <f>VLOOKUP(Table1[[#This Row],[Reference]],metron,26,FALSE)</f>
        <v>0.12743190661478601</v>
      </c>
    </row>
    <row r="320" spans="1:90" hidden="1" x14ac:dyDescent="0.45">
      <c r="A320" t="s">
        <v>695</v>
      </c>
      <c r="B320">
        <v>1651363200</v>
      </c>
      <c r="C320" s="23" t="s">
        <v>649</v>
      </c>
      <c r="D320" t="s">
        <v>65</v>
      </c>
      <c r="E320" t="s">
        <v>66</v>
      </c>
      <c r="F320" t="s">
        <v>97</v>
      </c>
      <c r="G320" t="s">
        <v>107</v>
      </c>
      <c r="H320" t="s">
        <v>103</v>
      </c>
      <c r="I320">
        <f>MROUND(Table1[[#This Row],[ProbH]]*100,2)/100</f>
        <v>0.36</v>
      </c>
      <c r="J320">
        <f>1/Table1[[#This Row],[odds_ft_home_team_win]]-Table1[[#This Row],[Margin]]</f>
        <v>0.3577016204134848</v>
      </c>
      <c r="K320">
        <f>1/Table1[[#This Row],[odds_ft_draw]]-Table1[[#This Row],[Margin]]</f>
        <v>0.31206928664555783</v>
      </c>
      <c r="L320">
        <f>1/Table1[[#This Row],[odds_ft_away_team_win]]-Table1[[#This Row],[Margin]]</f>
        <v>0.33022909294095737</v>
      </c>
      <c r="M320">
        <v>17</v>
      </c>
      <c r="N320">
        <v>1.53</v>
      </c>
      <c r="O320">
        <v>1.5</v>
      </c>
      <c r="P320">
        <v>1.55</v>
      </c>
      <c r="Q320">
        <v>1.48</v>
      </c>
      <c r="R320" t="str" cm="1">
        <f t="array" ref="R3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0">
        <v>1</v>
      </c>
      <c r="T320">
        <v>1</v>
      </c>
      <c r="U320">
        <v>2</v>
      </c>
      <c r="V320">
        <v>0</v>
      </c>
      <c r="W320">
        <v>0</v>
      </c>
      <c r="X320">
        <v>0</v>
      </c>
      <c r="Y320">
        <v>54</v>
      </c>
      <c r="Z320" t="s">
        <v>650</v>
      </c>
      <c r="AA320">
        <v>3</v>
      </c>
      <c r="AB320">
        <v>2</v>
      </c>
      <c r="AC320">
        <v>3</v>
      </c>
      <c r="AD320">
        <v>0</v>
      </c>
      <c r="AE320">
        <v>2</v>
      </c>
      <c r="AF320">
        <v>0</v>
      </c>
      <c r="AG320">
        <v>1</v>
      </c>
      <c r="AH320">
        <v>2</v>
      </c>
      <c r="AI320">
        <v>1</v>
      </c>
      <c r="AJ320">
        <v>1</v>
      </c>
      <c r="AK320">
        <v>12</v>
      </c>
      <c r="AL320">
        <v>13</v>
      </c>
      <c r="AM320">
        <v>2</v>
      </c>
      <c r="AN320">
        <v>3</v>
      </c>
      <c r="AO320">
        <v>10</v>
      </c>
      <c r="AP320">
        <v>10</v>
      </c>
      <c r="AQ320">
        <v>15</v>
      </c>
      <c r="AR320">
        <v>8</v>
      </c>
      <c r="AS320">
        <v>46</v>
      </c>
      <c r="AT320">
        <v>54</v>
      </c>
      <c r="AU320">
        <v>1.1200000000000001</v>
      </c>
      <c r="AV320">
        <v>1.37</v>
      </c>
      <c r="AW320">
        <v>2.15</v>
      </c>
      <c r="AX320">
        <v>47</v>
      </c>
      <c r="AY320">
        <v>71</v>
      </c>
      <c r="AZ320">
        <v>41</v>
      </c>
      <c r="BA320">
        <v>9</v>
      </c>
      <c r="BB320">
        <v>3</v>
      </c>
      <c r="BC320">
        <v>28</v>
      </c>
      <c r="BD320">
        <v>57</v>
      </c>
      <c r="BE320">
        <v>38</v>
      </c>
      <c r="BF320">
        <v>84</v>
      </c>
      <c r="BG320">
        <v>8.43</v>
      </c>
      <c r="BH320">
        <v>4.75</v>
      </c>
      <c r="BI320">
        <v>2.6</v>
      </c>
      <c r="BJ320">
        <v>2.95</v>
      </c>
      <c r="BK320">
        <v>2.8</v>
      </c>
      <c r="BL320">
        <f>(1/Table1[[#This Row],[odds_ft_home_team_win]]+1/Table1[[#This Row],[odds_ft_draw]]+1/Table1[[#This Row],[odds_ft_away_team_win]]-1)/3</f>
        <v>2.6913764201899799E-2</v>
      </c>
      <c r="BM320">
        <v>1.39</v>
      </c>
      <c r="BN320">
        <v>2.2000000000000002</v>
      </c>
      <c r="BO320">
        <v>4</v>
      </c>
      <c r="BP320">
        <v>7.95</v>
      </c>
      <c r="BQ320">
        <v>1.88</v>
      </c>
      <c r="BR320">
        <v>1.82</v>
      </c>
      <c r="BS320" t="s">
        <v>136</v>
      </c>
      <c r="BT320">
        <f>VLOOKUP(Table1[[#This Row],[Reference]],metron,8,FALSE)</f>
        <v>1.4023864615972674</v>
      </c>
      <c r="BU320">
        <f>VLOOKUP(Table1[[#This Row],[Reference]],metron,9,FALSE)</f>
        <v>1.3093265904245279</v>
      </c>
      <c r="BV320">
        <f>VLOOKUP(Table1[[#This Row],[Reference]],metron,10,FALSE)</f>
        <v>2.5110350525197691</v>
      </c>
      <c r="BW320">
        <f>VLOOKUP(Table1[[#This Row],[Reference]],metron,11,FALSE)</f>
        <v>1.269326094653606</v>
      </c>
      <c r="BX320">
        <f>VLOOKUP(Table1[[#This Row],[Reference]],metron,12,FALSE)</f>
        <v>1.2417089578661631</v>
      </c>
      <c r="BY320" s="6">
        <f>VLOOKUP(Table1[[#This Row],[Reference]],metron,13,FALSE)</f>
        <v>0.56586402266288949</v>
      </c>
      <c r="BZ320" s="6">
        <f>VLOOKUP(Table1[[#This Row],[Reference]],metron,14,FALSE)</f>
        <v>0.55158168083097259</v>
      </c>
      <c r="CA320" s="6">
        <f>VLOOKUP(Table1[[#This Row],[Reference]],metron,15,FALSE)</f>
        <v>11.49400826446281</v>
      </c>
      <c r="CB320" s="6">
        <f>VLOOKUP(Table1[[#This Row],[Reference]],metron,16,FALSE)</f>
        <v>10.507231404958681</v>
      </c>
      <c r="CC320" s="6">
        <f>VLOOKUP(Table1[[#This Row],[Reference]],metron,17,FALSE)</f>
        <v>4.9238790406673623</v>
      </c>
      <c r="CD320" s="6">
        <f>VLOOKUP(Table1[[#This Row],[Reference]],metron,18,FALSE)</f>
        <v>4.6296141814389991</v>
      </c>
      <c r="CE320" s="6">
        <f>VLOOKUP(Table1[[#This Row],[Reference]],metron,19,FALSE)</f>
        <v>6.5701292237954476</v>
      </c>
      <c r="CF320" s="6">
        <f>VLOOKUP(Table1[[#This Row],[Reference]],metron,20,FALSE)</f>
        <v>5.8776172235196817</v>
      </c>
      <c r="CG320" s="6">
        <f>VLOOKUP(Table1[[#This Row],[Reference]],metron,21,FALSE)</f>
        <v>12.798739495798319</v>
      </c>
      <c r="CH320" s="6">
        <f>VLOOKUP(Table1[[#This Row],[Reference]],metron,22,FALSE)</f>
        <v>12.98844537815126</v>
      </c>
      <c r="CI320" s="6">
        <f>VLOOKUP(Table1[[#This Row],[Reference]],metron,23,FALSE)</f>
        <v>1.604928297313674</v>
      </c>
      <c r="CJ320" s="6">
        <f>VLOOKUP(Table1[[#This Row],[Reference]],metron,24,FALSE)</f>
        <v>1.791961219955565</v>
      </c>
      <c r="CK320" s="6">
        <f>VLOOKUP(Table1[[#This Row],[Reference]],metron,25,FALSE)</f>
        <v>8.887093516461321E-2</v>
      </c>
      <c r="CL320" s="6">
        <f>VLOOKUP(Table1[[#This Row],[Reference]],metron,26,FALSE)</f>
        <v>0.11694607150070691</v>
      </c>
    </row>
    <row r="321" spans="1:90" hidden="1" x14ac:dyDescent="0.45">
      <c r="A321" t="s">
        <v>695</v>
      </c>
      <c r="B321">
        <v>1651363560</v>
      </c>
      <c r="C321" s="23" t="s">
        <v>651</v>
      </c>
      <c r="D321" t="s">
        <v>65</v>
      </c>
      <c r="E321" t="s">
        <v>66</v>
      </c>
      <c r="F321" t="s">
        <v>101</v>
      </c>
      <c r="G321" t="s">
        <v>106</v>
      </c>
      <c r="H321" t="s">
        <v>66</v>
      </c>
      <c r="I321">
        <f>MROUND(Table1[[#This Row],[ProbH]]*100,2)/100</f>
        <v>0.64</v>
      </c>
      <c r="J321">
        <f>1/Table1[[#This Row],[odds_ft_home_team_win]]-Table1[[#This Row],[Margin]]</f>
        <v>0.64314363143631437</v>
      </c>
      <c r="K321">
        <f>1/Table1[[#This Row],[odds_ft_draw]]-Table1[[#This Row],[Margin]]</f>
        <v>0.22037940379403798</v>
      </c>
      <c r="L321">
        <f>1/Table1[[#This Row],[odds_ft_away_team_win]]-Table1[[#This Row],[Margin]]</f>
        <v>0.13647696476964771</v>
      </c>
      <c r="M321">
        <v>17</v>
      </c>
      <c r="N321">
        <v>1.76</v>
      </c>
      <c r="O321">
        <v>0.56000000000000005</v>
      </c>
      <c r="P321">
        <v>1.79</v>
      </c>
      <c r="Q321">
        <v>0.53</v>
      </c>
      <c r="R321" t="str" cm="1">
        <f t="array" ref="R3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21">
        <v>2</v>
      </c>
      <c r="T321">
        <v>0</v>
      </c>
      <c r="U321">
        <v>2</v>
      </c>
      <c r="V321">
        <v>1</v>
      </c>
      <c r="W321">
        <v>1</v>
      </c>
      <c r="X321">
        <v>0</v>
      </c>
      <c r="Y321" t="s">
        <v>652</v>
      </c>
      <c r="AA321">
        <v>7</v>
      </c>
      <c r="AB321">
        <v>2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30</v>
      </c>
      <c r="AL321">
        <v>7</v>
      </c>
      <c r="AM321">
        <v>14</v>
      </c>
      <c r="AN321">
        <v>5</v>
      </c>
      <c r="AO321">
        <v>16</v>
      </c>
      <c r="AP321">
        <v>2</v>
      </c>
      <c r="AQ321">
        <v>7</v>
      </c>
      <c r="AR321">
        <v>7</v>
      </c>
      <c r="AS321">
        <v>56</v>
      </c>
      <c r="AT321">
        <v>44</v>
      </c>
      <c r="AU321">
        <v>3.35</v>
      </c>
      <c r="AV321">
        <v>0.96</v>
      </c>
      <c r="AW321">
        <v>2.23</v>
      </c>
      <c r="AX321">
        <v>40</v>
      </c>
      <c r="AY321">
        <v>77</v>
      </c>
      <c r="AZ321">
        <v>40</v>
      </c>
      <c r="BA321">
        <v>19</v>
      </c>
      <c r="BB321">
        <v>3</v>
      </c>
      <c r="BC321">
        <v>19</v>
      </c>
      <c r="BD321">
        <v>64</v>
      </c>
      <c r="BE321">
        <v>34</v>
      </c>
      <c r="BF321">
        <v>80</v>
      </c>
      <c r="BG321">
        <v>8.7899999999999991</v>
      </c>
      <c r="BH321">
        <v>5.4</v>
      </c>
      <c r="BI321">
        <v>1.5</v>
      </c>
      <c r="BJ321">
        <v>4.0999999999999996</v>
      </c>
      <c r="BK321">
        <v>6.25</v>
      </c>
      <c r="BL321">
        <f>(1/Table1[[#This Row],[odds_ft_home_team_win]]+1/Table1[[#This Row],[odds_ft_draw]]+1/Table1[[#This Row],[odds_ft_away_team_win]]-1)/3</f>
        <v>2.3523035230352301E-2</v>
      </c>
      <c r="BM321">
        <v>1.27</v>
      </c>
      <c r="BN321">
        <v>1.83</v>
      </c>
      <c r="BO321">
        <v>3.03</v>
      </c>
      <c r="BP321">
        <v>5.65</v>
      </c>
      <c r="BQ321">
        <v>1.9</v>
      </c>
      <c r="BR321">
        <v>1.8</v>
      </c>
      <c r="BS321" t="s">
        <v>104</v>
      </c>
      <c r="BT321">
        <f>VLOOKUP(Table1[[#This Row],[Reference]],metron,8,FALSE)</f>
        <v>2.1745910991837163</v>
      </c>
      <c r="BU321">
        <f>VLOOKUP(Table1[[#This Row],[Reference]],metron,9,FALSE)</f>
        <v>0.59796358565236019</v>
      </c>
      <c r="BV321">
        <f>VLOOKUP(Table1[[#This Row],[Reference]],metron,10,FALSE)</f>
        <v>2.8343749999999996</v>
      </c>
      <c r="BW321">
        <f>VLOOKUP(Table1[[#This Row],[Reference]],metron,11,FALSE)</f>
        <v>1.980803571428571</v>
      </c>
      <c r="BX321">
        <f>VLOOKUP(Table1[[#This Row],[Reference]],metron,12,FALSE)</f>
        <v>0.85357142857142854</v>
      </c>
      <c r="BY321" s="6">
        <f>VLOOKUP(Table1[[#This Row],[Reference]],metron,13,FALSE)</f>
        <v>0.8683035714285714</v>
      </c>
      <c r="BZ321" s="6">
        <f>VLOOKUP(Table1[[#This Row],[Reference]],metron,14,FALSE)</f>
        <v>0.36607142857142849</v>
      </c>
      <c r="CA321" s="6">
        <f>VLOOKUP(Table1[[#This Row],[Reference]],metron,15,FALSE)</f>
        <v>15.03980099502488</v>
      </c>
      <c r="CB321" s="6">
        <f>VLOOKUP(Table1[[#This Row],[Reference]],metron,16,FALSE)</f>
        <v>8.6326699834162515</v>
      </c>
      <c r="CC321" s="6">
        <f>VLOOKUP(Table1[[#This Row],[Reference]],metron,17,FALSE)</f>
        <v>6.5189234650967203</v>
      </c>
      <c r="CD321" s="6">
        <f>VLOOKUP(Table1[[#This Row],[Reference]],metron,18,FALSE)</f>
        <v>3.4507989907485279</v>
      </c>
      <c r="CE321" s="6">
        <f>VLOOKUP(Table1[[#This Row],[Reference]],metron,19,FALSE)</f>
        <v>8.5208775299281605</v>
      </c>
      <c r="CF321" s="6">
        <f>VLOOKUP(Table1[[#This Row],[Reference]],metron,20,FALSE)</f>
        <v>5.181870992667724</v>
      </c>
      <c r="CG321" s="6">
        <f>VLOOKUP(Table1[[#This Row],[Reference]],metron,21,FALSE)</f>
        <v>12.48566610455312</v>
      </c>
      <c r="CH321" s="6">
        <f>VLOOKUP(Table1[[#This Row],[Reference]],metron,22,FALSE)</f>
        <v>13.573355817875211</v>
      </c>
      <c r="CI321" s="6">
        <f>VLOOKUP(Table1[[#This Row],[Reference]],metron,23,FALSE)</f>
        <v>1.395273023634882</v>
      </c>
      <c r="CJ321" s="6">
        <f>VLOOKUP(Table1[[#This Row],[Reference]],metron,24,FALSE)</f>
        <v>2.0586797066014668</v>
      </c>
      <c r="CK321" s="6">
        <f>VLOOKUP(Table1[[#This Row],[Reference]],metron,25,FALSE)</f>
        <v>6.8459657701711488E-2</v>
      </c>
      <c r="CL321" s="6">
        <f>VLOOKUP(Table1[[#This Row],[Reference]],metron,26,FALSE)</f>
        <v>0.12713936430317849</v>
      </c>
    </row>
    <row r="322" spans="1:90" hidden="1" x14ac:dyDescent="0.45">
      <c r="A322" t="s">
        <v>695</v>
      </c>
      <c r="B322">
        <v>1651370400</v>
      </c>
      <c r="C322" s="23" t="s">
        <v>653</v>
      </c>
      <c r="D322" t="s">
        <v>65</v>
      </c>
      <c r="E322" t="s">
        <v>66</v>
      </c>
      <c r="F322" t="s">
        <v>68</v>
      </c>
      <c r="G322" t="s">
        <v>112</v>
      </c>
      <c r="H322" t="s">
        <v>69</v>
      </c>
      <c r="I322">
        <f>MROUND(Table1[[#This Row],[ProbH]]*100,2)/100</f>
        <v>0.57999999999999996</v>
      </c>
      <c r="J322">
        <f>1/Table1[[#This Row],[odds_ft_home_team_win]]-Table1[[#This Row],[Margin]]</f>
        <v>0.5812890812890813</v>
      </c>
      <c r="K322">
        <f>1/Table1[[#This Row],[odds_ft_draw]]-Table1[[#This Row],[Margin]]</f>
        <v>0.25300625300625301</v>
      </c>
      <c r="L322">
        <f>1/Table1[[#This Row],[odds_ft_away_team_win]]-Table1[[#This Row],[Margin]]</f>
        <v>0.16570466570466569</v>
      </c>
      <c r="M322">
        <v>17</v>
      </c>
      <c r="N322">
        <v>1.94</v>
      </c>
      <c r="O322">
        <v>1.44</v>
      </c>
      <c r="P322">
        <v>1.9</v>
      </c>
      <c r="Q322">
        <v>1.5</v>
      </c>
      <c r="R322" t="str" cm="1">
        <f t="array" ref="R3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AA322">
        <v>5</v>
      </c>
      <c r="AB322">
        <v>2</v>
      </c>
      <c r="AC322">
        <v>4</v>
      </c>
      <c r="AD322">
        <v>0</v>
      </c>
      <c r="AE322">
        <v>2</v>
      </c>
      <c r="AF322">
        <v>0</v>
      </c>
      <c r="AG322">
        <v>3</v>
      </c>
      <c r="AH322">
        <v>1</v>
      </c>
      <c r="AI322">
        <v>2</v>
      </c>
      <c r="AJ322">
        <v>0</v>
      </c>
      <c r="AK322">
        <v>16</v>
      </c>
      <c r="AL322">
        <v>8</v>
      </c>
      <c r="AM322">
        <v>5</v>
      </c>
      <c r="AN322">
        <v>3</v>
      </c>
      <c r="AO322">
        <v>11</v>
      </c>
      <c r="AP322">
        <v>5</v>
      </c>
      <c r="AQ322">
        <v>10</v>
      </c>
      <c r="AR322">
        <v>11</v>
      </c>
      <c r="AS322">
        <v>64</v>
      </c>
      <c r="AT322">
        <v>36</v>
      </c>
      <c r="AU322">
        <v>1.81</v>
      </c>
      <c r="AV322">
        <v>0.92</v>
      </c>
      <c r="AW322">
        <v>2.37</v>
      </c>
      <c r="AX322">
        <v>49</v>
      </c>
      <c r="AY322">
        <v>73</v>
      </c>
      <c r="AZ322">
        <v>40</v>
      </c>
      <c r="BA322">
        <v>22</v>
      </c>
      <c r="BB322">
        <v>10</v>
      </c>
      <c r="BC322">
        <v>31</v>
      </c>
      <c r="BD322">
        <v>70</v>
      </c>
      <c r="BE322">
        <v>30</v>
      </c>
      <c r="BF322">
        <v>69</v>
      </c>
      <c r="BG322">
        <v>8.9700000000000006</v>
      </c>
      <c r="BH322">
        <v>4.95</v>
      </c>
      <c r="BI322">
        <v>1.65</v>
      </c>
      <c r="BJ322">
        <v>3.6</v>
      </c>
      <c r="BK322">
        <v>5.25</v>
      </c>
      <c r="BL322">
        <f>(1/Table1[[#This Row],[odds_ft_home_team_win]]+1/Table1[[#This Row],[odds_ft_draw]]+1/Table1[[#This Row],[odds_ft_away_team_win]]-1)/3</f>
        <v>2.4771524771524778E-2</v>
      </c>
      <c r="BM322">
        <v>1.35</v>
      </c>
      <c r="BN322">
        <v>2.09</v>
      </c>
      <c r="BO322">
        <v>3.67</v>
      </c>
      <c r="BP322">
        <v>7.1</v>
      </c>
      <c r="BQ322">
        <v>2</v>
      </c>
      <c r="BR322">
        <v>1.77</v>
      </c>
      <c r="BS322" t="s">
        <v>116</v>
      </c>
      <c r="BT322">
        <f>VLOOKUP(Table1[[#This Row],[Reference]],metron,8,FALSE)</f>
        <v>2.0230889143600308</v>
      </c>
      <c r="BU322">
        <f>VLOOKUP(Table1[[#This Row],[Reference]],metron,9,FALSE)</f>
        <v>0.72731480520165426</v>
      </c>
      <c r="BV322">
        <f>VLOOKUP(Table1[[#This Row],[Reference]],metron,10,FALSE)</f>
        <v>2.6362999299229148</v>
      </c>
      <c r="BW322">
        <f>VLOOKUP(Table1[[#This Row],[Reference]],metron,11,FALSE)</f>
        <v>1.7619715019855171</v>
      </c>
      <c r="BX322">
        <f>VLOOKUP(Table1[[#This Row],[Reference]],metron,12,FALSE)</f>
        <v>0.87432842793739785</v>
      </c>
      <c r="BY322" s="6">
        <f>VLOOKUP(Table1[[#This Row],[Reference]],metron,13,FALSE)</f>
        <v>0.78411214953271025</v>
      </c>
      <c r="BZ322" s="6">
        <f>VLOOKUP(Table1[[#This Row],[Reference]],metron,14,FALSE)</f>
        <v>0.38060747663551397</v>
      </c>
      <c r="CA322" s="6">
        <f>VLOOKUP(Table1[[#This Row],[Reference]],metron,15,FALSE)</f>
        <v>14.215499378367181</v>
      </c>
      <c r="CB322" s="6">
        <f>VLOOKUP(Table1[[#This Row],[Reference]],metron,16,FALSE)</f>
        <v>8.9523612261806136</v>
      </c>
      <c r="CC322" s="6">
        <f>VLOOKUP(Table1[[#This Row],[Reference]],metron,17,FALSE)</f>
        <v>6.3083121289228163</v>
      </c>
      <c r="CD322" s="6">
        <f>VLOOKUP(Table1[[#This Row],[Reference]],metron,18,FALSE)</f>
        <v>3.7757524374735061</v>
      </c>
      <c r="CE322" s="6">
        <f>VLOOKUP(Table1[[#This Row],[Reference]],metron,19,FALSE)</f>
        <v>7.9071872494443642</v>
      </c>
      <c r="CF322" s="6">
        <f>VLOOKUP(Table1[[#This Row],[Reference]],metron,20,FALSE)</f>
        <v>5.1766087887071075</v>
      </c>
      <c r="CG322" s="6">
        <f>VLOOKUP(Table1[[#This Row],[Reference]],metron,21,FALSE)</f>
        <v>12.634239592183521</v>
      </c>
      <c r="CH322" s="6">
        <f>VLOOKUP(Table1[[#This Row],[Reference]],metron,22,FALSE)</f>
        <v>13.597706032285471</v>
      </c>
      <c r="CI322" s="6">
        <f>VLOOKUP(Table1[[#This Row],[Reference]],metron,23,FALSE)</f>
        <v>1.365400161681487</v>
      </c>
      <c r="CJ322" s="6">
        <f>VLOOKUP(Table1[[#This Row],[Reference]],metron,24,FALSE)</f>
        <v>1.963621665319321</v>
      </c>
      <c r="CK322" s="6">
        <f>VLOOKUP(Table1[[#This Row],[Reference]],metron,25,FALSE)</f>
        <v>7.1544058205335492E-2</v>
      </c>
      <c r="CL322" s="6">
        <f>VLOOKUP(Table1[[#This Row],[Reference]],metron,26,FALSE)</f>
        <v>0.1216653193209378</v>
      </c>
    </row>
    <row r="323" spans="1:90" hidden="1" x14ac:dyDescent="0.45">
      <c r="A323" t="s">
        <v>695</v>
      </c>
      <c r="B323">
        <v>1651424400</v>
      </c>
      <c r="C323" s="23" t="s">
        <v>654</v>
      </c>
      <c r="D323" t="s">
        <v>65</v>
      </c>
      <c r="E323" t="s">
        <v>66</v>
      </c>
      <c r="F323" t="s">
        <v>96</v>
      </c>
      <c r="G323" t="s">
        <v>84</v>
      </c>
      <c r="H323" t="s">
        <v>130</v>
      </c>
      <c r="I323">
        <f>MROUND(Table1[[#This Row],[ProbH]]*100,2)/100</f>
        <v>0.36</v>
      </c>
      <c r="J323">
        <f>1/Table1[[#This Row],[odds_ft_home_team_win]]-Table1[[#This Row],[Margin]]</f>
        <v>0.3574778010575676</v>
      </c>
      <c r="K323">
        <f>1/Table1[[#This Row],[odds_ft_draw]]-Table1[[#This Row],[Margin]]</f>
        <v>0.28055472413449073</v>
      </c>
      <c r="L323">
        <f>1/Table1[[#This Row],[odds_ft_away_team_win]]-Table1[[#This Row],[Margin]]</f>
        <v>0.36196747480794178</v>
      </c>
      <c r="M323">
        <v>17</v>
      </c>
      <c r="N323">
        <v>1.5</v>
      </c>
      <c r="O323">
        <v>1.56</v>
      </c>
      <c r="P323">
        <v>1.58</v>
      </c>
      <c r="Q323">
        <v>1.42</v>
      </c>
      <c r="R323" t="str" cm="1">
        <f t="array" ref="R3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23">
        <v>2</v>
      </c>
      <c r="T323">
        <v>0</v>
      </c>
      <c r="U323">
        <v>2</v>
      </c>
      <c r="V323">
        <v>0</v>
      </c>
      <c r="W323">
        <v>0</v>
      </c>
      <c r="X323">
        <v>0</v>
      </c>
      <c r="Y323" t="s">
        <v>655</v>
      </c>
      <c r="AA323">
        <v>6</v>
      </c>
      <c r="AB323">
        <v>6</v>
      </c>
      <c r="AC323">
        <v>3</v>
      </c>
      <c r="AD323">
        <v>0</v>
      </c>
      <c r="AE323">
        <v>2</v>
      </c>
      <c r="AF323">
        <v>0</v>
      </c>
      <c r="AG323">
        <v>2</v>
      </c>
      <c r="AH323">
        <v>1</v>
      </c>
      <c r="AI323">
        <v>0</v>
      </c>
      <c r="AJ323">
        <v>2</v>
      </c>
      <c r="AK323">
        <v>14</v>
      </c>
      <c r="AL323">
        <v>12</v>
      </c>
      <c r="AM323">
        <v>7</v>
      </c>
      <c r="AN323">
        <v>3</v>
      </c>
      <c r="AO323">
        <v>7</v>
      </c>
      <c r="AP323">
        <v>9</v>
      </c>
      <c r="AQ323">
        <v>9</v>
      </c>
      <c r="AR323">
        <v>11</v>
      </c>
      <c r="AS323">
        <v>44</v>
      </c>
      <c r="AT323">
        <v>56</v>
      </c>
      <c r="AU323">
        <v>1.55</v>
      </c>
      <c r="AV323">
        <v>1.32</v>
      </c>
      <c r="AW323">
        <v>2.61</v>
      </c>
      <c r="AX323">
        <v>51</v>
      </c>
      <c r="AY323">
        <v>75</v>
      </c>
      <c r="AZ323">
        <v>57</v>
      </c>
      <c r="BA323">
        <v>30</v>
      </c>
      <c r="BB323">
        <v>9</v>
      </c>
      <c r="BC323">
        <v>36</v>
      </c>
      <c r="BD323">
        <v>66</v>
      </c>
      <c r="BE323">
        <v>47</v>
      </c>
      <c r="BF323">
        <v>81</v>
      </c>
      <c r="BG323">
        <v>10.66</v>
      </c>
      <c r="BH323">
        <v>4.55</v>
      </c>
      <c r="BI323">
        <v>2.6</v>
      </c>
      <c r="BJ323">
        <v>3.25</v>
      </c>
      <c r="BK323">
        <v>2.57</v>
      </c>
      <c r="BL323">
        <f>(1/Table1[[#This Row],[odds_ft_home_team_win]]+1/Table1[[#This Row],[odds_ft_draw]]+1/Table1[[#This Row],[odds_ft_away_team_win]]-1)/3</f>
        <v>2.7137583557816997E-2</v>
      </c>
      <c r="BM323">
        <v>1.3</v>
      </c>
      <c r="BN323">
        <v>1.98</v>
      </c>
      <c r="BO323">
        <v>3.27</v>
      </c>
      <c r="BP323">
        <v>6.25</v>
      </c>
      <c r="BQ323">
        <v>1.7</v>
      </c>
      <c r="BR323">
        <v>2.0299999999999998</v>
      </c>
      <c r="BS323" t="s">
        <v>99</v>
      </c>
      <c r="BT323">
        <f>VLOOKUP(Table1[[#This Row],[Reference]],metron,8,FALSE)</f>
        <v>1.4023864615972674</v>
      </c>
      <c r="BU323">
        <f>VLOOKUP(Table1[[#This Row],[Reference]],metron,9,FALSE)</f>
        <v>1.3093265904245279</v>
      </c>
      <c r="BV323">
        <f>VLOOKUP(Table1[[#This Row],[Reference]],metron,10,FALSE)</f>
        <v>2.5110350525197691</v>
      </c>
      <c r="BW323">
        <f>VLOOKUP(Table1[[#This Row],[Reference]],metron,11,FALSE)</f>
        <v>1.269326094653606</v>
      </c>
      <c r="BX323">
        <f>VLOOKUP(Table1[[#This Row],[Reference]],metron,12,FALSE)</f>
        <v>1.2417089578661631</v>
      </c>
      <c r="BY323" s="6">
        <f>VLOOKUP(Table1[[#This Row],[Reference]],metron,13,FALSE)</f>
        <v>0.56586402266288949</v>
      </c>
      <c r="BZ323" s="6">
        <f>VLOOKUP(Table1[[#This Row],[Reference]],metron,14,FALSE)</f>
        <v>0.55158168083097259</v>
      </c>
      <c r="CA323" s="6">
        <f>VLOOKUP(Table1[[#This Row],[Reference]],metron,15,FALSE)</f>
        <v>11.49400826446281</v>
      </c>
      <c r="CB323" s="6">
        <f>VLOOKUP(Table1[[#This Row],[Reference]],metron,16,FALSE)</f>
        <v>10.507231404958681</v>
      </c>
      <c r="CC323" s="6">
        <f>VLOOKUP(Table1[[#This Row],[Reference]],metron,17,FALSE)</f>
        <v>4.9238790406673623</v>
      </c>
      <c r="CD323" s="6">
        <f>VLOOKUP(Table1[[#This Row],[Reference]],metron,18,FALSE)</f>
        <v>4.6296141814389991</v>
      </c>
      <c r="CE323" s="6">
        <f>VLOOKUP(Table1[[#This Row],[Reference]],metron,19,FALSE)</f>
        <v>6.5701292237954476</v>
      </c>
      <c r="CF323" s="6">
        <f>VLOOKUP(Table1[[#This Row],[Reference]],metron,20,FALSE)</f>
        <v>5.8776172235196817</v>
      </c>
      <c r="CG323" s="6">
        <f>VLOOKUP(Table1[[#This Row],[Reference]],metron,21,FALSE)</f>
        <v>12.798739495798319</v>
      </c>
      <c r="CH323" s="6">
        <f>VLOOKUP(Table1[[#This Row],[Reference]],metron,22,FALSE)</f>
        <v>12.98844537815126</v>
      </c>
      <c r="CI323" s="6">
        <f>VLOOKUP(Table1[[#This Row],[Reference]],metron,23,FALSE)</f>
        <v>1.604928297313674</v>
      </c>
      <c r="CJ323" s="6">
        <f>VLOOKUP(Table1[[#This Row],[Reference]],metron,24,FALSE)</f>
        <v>1.791961219955565</v>
      </c>
      <c r="CK323" s="6">
        <f>VLOOKUP(Table1[[#This Row],[Reference]],metron,25,FALSE)</f>
        <v>8.887093516461321E-2</v>
      </c>
      <c r="CL323" s="6">
        <f>VLOOKUP(Table1[[#This Row],[Reference]],metron,26,FALSE)</f>
        <v>0.11694607150070691</v>
      </c>
    </row>
    <row r="324" spans="1:90" hidden="1" x14ac:dyDescent="0.45">
      <c r="A324" t="s">
        <v>695</v>
      </c>
      <c r="B324">
        <v>1651438800</v>
      </c>
      <c r="C324" s="23" t="s">
        <v>656</v>
      </c>
      <c r="D324" t="s">
        <v>65</v>
      </c>
      <c r="E324" t="s">
        <v>66</v>
      </c>
      <c r="F324" t="s">
        <v>91</v>
      </c>
      <c r="G324" t="s">
        <v>73</v>
      </c>
      <c r="H324" t="s">
        <v>66</v>
      </c>
      <c r="I324">
        <f>MROUND(Table1[[#This Row],[ProbH]]*100,2)/100</f>
        <v>0.38</v>
      </c>
      <c r="J324">
        <f>1/Table1[[#This Row],[odds_ft_home_team_win]]-Table1[[#This Row],[Margin]]</f>
        <v>0.37551405395208454</v>
      </c>
      <c r="K324">
        <f>1/Table1[[#This Row],[odds_ft_draw]]-Table1[[#This Row],[Margin]]</f>
        <v>0.29809469911337483</v>
      </c>
      <c r="L324">
        <f>1/Table1[[#This Row],[odds_ft_away_team_win]]-Table1[[#This Row],[Margin]]</f>
        <v>0.32639124693454064</v>
      </c>
      <c r="M324">
        <v>17</v>
      </c>
      <c r="N324">
        <v>1.19</v>
      </c>
      <c r="O324">
        <v>1</v>
      </c>
      <c r="P324">
        <v>1.1100000000000001</v>
      </c>
      <c r="Q324">
        <v>1.1100000000000001</v>
      </c>
      <c r="R324" t="str" cm="1">
        <f t="array" ref="R3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24">
        <v>1</v>
      </c>
      <c r="T324">
        <v>3</v>
      </c>
      <c r="U324">
        <v>4</v>
      </c>
      <c r="V324">
        <v>0</v>
      </c>
      <c r="W324">
        <v>0</v>
      </c>
      <c r="X324">
        <v>0</v>
      </c>
      <c r="Y324">
        <v>48</v>
      </c>
      <c r="Z324" t="s">
        <v>657</v>
      </c>
      <c r="AA324">
        <v>1</v>
      </c>
      <c r="AB324">
        <v>3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21</v>
      </c>
      <c r="AL324">
        <v>14</v>
      </c>
      <c r="AM324">
        <v>10</v>
      </c>
      <c r="AN324">
        <v>9</v>
      </c>
      <c r="AO324">
        <v>11</v>
      </c>
      <c r="AP324">
        <v>5</v>
      </c>
      <c r="AQ324">
        <v>13</v>
      </c>
      <c r="AR324">
        <v>10</v>
      </c>
      <c r="AS324">
        <v>63</v>
      </c>
      <c r="AT324">
        <v>37</v>
      </c>
      <c r="AU324">
        <v>2.34</v>
      </c>
      <c r="AV324">
        <v>1.89</v>
      </c>
      <c r="AW324">
        <v>2.4300000000000002</v>
      </c>
      <c r="AX324">
        <v>49</v>
      </c>
      <c r="AY324">
        <v>70</v>
      </c>
      <c r="AZ324">
        <v>42</v>
      </c>
      <c r="BA324">
        <v>19</v>
      </c>
      <c r="BB324">
        <v>10</v>
      </c>
      <c r="BC324">
        <v>22</v>
      </c>
      <c r="BD324">
        <v>64</v>
      </c>
      <c r="BE324">
        <v>39</v>
      </c>
      <c r="BF324">
        <v>88</v>
      </c>
      <c r="BG324">
        <v>10.85</v>
      </c>
      <c r="BH324">
        <v>5.44</v>
      </c>
      <c r="BI324">
        <v>2.5</v>
      </c>
      <c r="BJ324">
        <v>3.1</v>
      </c>
      <c r="BK324">
        <v>2.85</v>
      </c>
      <c r="BL324">
        <f>(1/Table1[[#This Row],[odds_ft_home_team_win]]+1/Table1[[#This Row],[odds_ft_draw]]+1/Table1[[#This Row],[odds_ft_away_team_win]]-1)/3</f>
        <v>2.4485946047915503E-2</v>
      </c>
      <c r="BM324">
        <v>1.35</v>
      </c>
      <c r="BN324">
        <v>2.06</v>
      </c>
      <c r="BO324">
        <v>3.68</v>
      </c>
      <c r="BP324">
        <v>7.2</v>
      </c>
      <c r="BQ324">
        <v>1.81</v>
      </c>
      <c r="BR324">
        <v>1.89</v>
      </c>
      <c r="BS324" t="s">
        <v>144</v>
      </c>
      <c r="BT324">
        <f>VLOOKUP(Table1[[#This Row],[Reference]],metron,8,FALSE)</f>
        <v>1.464160929441638</v>
      </c>
      <c r="BU324">
        <f>VLOOKUP(Table1[[#This Row],[Reference]],metron,9,FALSE)</f>
        <v>1.2477119808919459</v>
      </c>
      <c r="BV324">
        <f>VLOOKUP(Table1[[#This Row],[Reference]],metron,10,FALSE)</f>
        <v>2.4900895140664963</v>
      </c>
      <c r="BW324">
        <f>VLOOKUP(Table1[[#This Row],[Reference]],metron,11,FALSE)</f>
        <v>1.330562659846547</v>
      </c>
      <c r="BX324">
        <f>VLOOKUP(Table1[[#This Row],[Reference]],metron,12,FALSE)</f>
        <v>1.1595268542199491</v>
      </c>
      <c r="BY324" s="6">
        <f>VLOOKUP(Table1[[#This Row],[Reference]],metron,13,FALSE)</f>
        <v>0.59053607588191415</v>
      </c>
      <c r="BZ324" s="6">
        <f>VLOOKUP(Table1[[#This Row],[Reference]],metron,14,FALSE)</f>
        <v>0.50069274219332838</v>
      </c>
      <c r="CA324" s="6">
        <f>VLOOKUP(Table1[[#This Row],[Reference]],metron,15,FALSE)</f>
        <v>11.79715236686391</v>
      </c>
      <c r="CB324" s="6">
        <f>VLOOKUP(Table1[[#This Row],[Reference]],metron,16,FALSE)</f>
        <v>10.317122781065089</v>
      </c>
      <c r="CC324" s="6">
        <f>VLOOKUP(Table1[[#This Row],[Reference]],metron,17,FALSE)</f>
        <v>5.0637025966747622</v>
      </c>
      <c r="CD324" s="6">
        <f>VLOOKUP(Table1[[#This Row],[Reference]],metron,18,FALSE)</f>
        <v>4.4674014571268454</v>
      </c>
      <c r="CE324" s="6">
        <f>VLOOKUP(Table1[[#This Row],[Reference]],metron,19,FALSE)</f>
        <v>6.7334497701891483</v>
      </c>
      <c r="CF324" s="6">
        <f>VLOOKUP(Table1[[#This Row],[Reference]],metron,20,FALSE)</f>
        <v>5.849721323938244</v>
      </c>
      <c r="CG324" s="6">
        <f>VLOOKUP(Table1[[#This Row],[Reference]],metron,21,FALSE)</f>
        <v>12.89644194756554</v>
      </c>
      <c r="CH324" s="6">
        <f>VLOOKUP(Table1[[#This Row],[Reference]],metron,22,FALSE)</f>
        <v>13.3434456928839</v>
      </c>
      <c r="CI324" s="6">
        <f>VLOOKUP(Table1[[#This Row],[Reference]],metron,23,FALSE)</f>
        <v>1.6144382124117971</v>
      </c>
      <c r="CJ324" s="6">
        <f>VLOOKUP(Table1[[#This Row],[Reference]],metron,24,FALSE)</f>
        <v>1.9032024606477289</v>
      </c>
      <c r="CK324" s="6">
        <f>VLOOKUP(Table1[[#This Row],[Reference]],metron,25,FALSE)</f>
        <v>9.372172969060974E-2</v>
      </c>
      <c r="CL324" s="6">
        <f>VLOOKUP(Table1[[#This Row],[Reference]],metron,26,FALSE)</f>
        <v>0.11669983716301791</v>
      </c>
    </row>
    <row r="325" spans="1:90" hidden="1" x14ac:dyDescent="0.45">
      <c r="A325" t="s">
        <v>695</v>
      </c>
      <c r="B325">
        <v>1651453560</v>
      </c>
      <c r="C325" s="23" t="s">
        <v>658</v>
      </c>
      <c r="D325" t="s">
        <v>65</v>
      </c>
      <c r="E325" t="s">
        <v>66</v>
      </c>
      <c r="F325" t="s">
        <v>85</v>
      </c>
      <c r="G325" t="s">
        <v>79</v>
      </c>
      <c r="H325" t="s">
        <v>98</v>
      </c>
      <c r="I325">
        <f>MROUND(Table1[[#This Row],[ProbH]]*100,2)/100</f>
        <v>0.6</v>
      </c>
      <c r="J325">
        <f>1/Table1[[#This Row],[odds_ft_home_team_win]]-Table1[[#This Row],[Margin]]</f>
        <v>0.60987088449268134</v>
      </c>
      <c r="K325">
        <f>1/Table1[[#This Row],[odds_ft_draw]]-Table1[[#This Row],[Margin]]</f>
        <v>0.22086193111200839</v>
      </c>
      <c r="L325">
        <f>1/Table1[[#This Row],[odds_ft_away_team_win]]-Table1[[#This Row],[Margin]]</f>
        <v>0.16926718439531041</v>
      </c>
      <c r="M325">
        <v>17</v>
      </c>
      <c r="N325">
        <v>1.58</v>
      </c>
      <c r="O325">
        <v>1.31</v>
      </c>
      <c r="P325">
        <v>1.55</v>
      </c>
      <c r="Q325">
        <v>1.29</v>
      </c>
      <c r="R325" t="str" cm="1">
        <f t="array" ref="R3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5">
        <v>4</v>
      </c>
      <c r="T325">
        <v>4</v>
      </c>
      <c r="U325">
        <v>8</v>
      </c>
      <c r="V325">
        <v>6</v>
      </c>
      <c r="W325">
        <v>3</v>
      </c>
      <c r="X325">
        <v>3</v>
      </c>
      <c r="Y325" t="s">
        <v>659</v>
      </c>
      <c r="Z325" t="s">
        <v>660</v>
      </c>
      <c r="AA325">
        <v>6</v>
      </c>
      <c r="AB325">
        <v>6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25</v>
      </c>
      <c r="AL325">
        <v>13</v>
      </c>
      <c r="AM325">
        <v>11</v>
      </c>
      <c r="AN325">
        <v>6</v>
      </c>
      <c r="AO325">
        <v>14</v>
      </c>
      <c r="AP325">
        <v>7</v>
      </c>
      <c r="AQ325">
        <v>11</v>
      </c>
      <c r="AR325">
        <v>20</v>
      </c>
      <c r="AS325">
        <v>63</v>
      </c>
      <c r="AT325">
        <v>37</v>
      </c>
      <c r="AU325">
        <v>2.76</v>
      </c>
      <c r="AV325">
        <v>1.46</v>
      </c>
      <c r="AW325">
        <v>2.36</v>
      </c>
      <c r="AX325">
        <v>42</v>
      </c>
      <c r="AY325">
        <v>75</v>
      </c>
      <c r="AZ325">
        <v>49</v>
      </c>
      <c r="BA325">
        <v>15</v>
      </c>
      <c r="BB325">
        <v>6</v>
      </c>
      <c r="BC325">
        <v>26</v>
      </c>
      <c r="BD325">
        <v>83</v>
      </c>
      <c r="BE325">
        <v>32</v>
      </c>
      <c r="BF325">
        <v>75</v>
      </c>
      <c r="BG325">
        <v>8.5500000000000007</v>
      </c>
      <c r="BH325">
        <v>5.0599999999999996</v>
      </c>
      <c r="BI325">
        <v>1.58</v>
      </c>
      <c r="BJ325">
        <v>4.0999999999999996</v>
      </c>
      <c r="BK325">
        <v>5.2</v>
      </c>
      <c r="BL325">
        <f>(1/Table1[[#This Row],[odds_ft_home_team_win]]+1/Table1[[#This Row],[odds_ft_draw]]+1/Table1[[#This Row],[odds_ft_away_team_win]]-1)/3</f>
        <v>2.304050791238188E-2</v>
      </c>
      <c r="BM325">
        <v>1.22</v>
      </c>
      <c r="BN325">
        <v>1.71</v>
      </c>
      <c r="BO325">
        <v>2.85</v>
      </c>
      <c r="BP325">
        <v>4.75</v>
      </c>
      <c r="BQ325">
        <v>1.8</v>
      </c>
      <c r="BR325">
        <v>1.95</v>
      </c>
      <c r="BS325" t="s">
        <v>128</v>
      </c>
      <c r="BT325">
        <f>VLOOKUP(Table1[[#This Row],[Reference]],metron,8,FALSE)</f>
        <v>2.0749792289385525</v>
      </c>
      <c r="BU325">
        <f>VLOOKUP(Table1[[#This Row],[Reference]],metron,9,FALSE)</f>
        <v>0.68220664089703831</v>
      </c>
      <c r="BV325">
        <f>VLOOKUP(Table1[[#This Row],[Reference]],metron,10,FALSE)</f>
        <v>2.7310090702947849</v>
      </c>
      <c r="BW325">
        <f>VLOOKUP(Table1[[#This Row],[Reference]],metron,11,FALSE)</f>
        <v>1.841836734693878</v>
      </c>
      <c r="BX325">
        <f>VLOOKUP(Table1[[#This Row],[Reference]],metron,12,FALSE)</f>
        <v>0.88917233560090703</v>
      </c>
      <c r="BY325" s="6">
        <f>VLOOKUP(Table1[[#This Row],[Reference]],metron,13,FALSE)</f>
        <v>0.804822695035461</v>
      </c>
      <c r="BZ325" s="6">
        <f>VLOOKUP(Table1[[#This Row],[Reference]],metron,14,FALSE)</f>
        <v>0.38099290780141842</v>
      </c>
      <c r="CA325" s="6">
        <f>VLOOKUP(Table1[[#This Row],[Reference]],metron,15,FALSE)</f>
        <v>14.25174825174825</v>
      </c>
      <c r="CB325" s="6">
        <f>VLOOKUP(Table1[[#This Row],[Reference]],metron,16,FALSE)</f>
        <v>8.8316683316683324</v>
      </c>
      <c r="CC325" s="6">
        <f>VLOOKUP(Table1[[#This Row],[Reference]],metron,17,FALSE)</f>
        <v>6.2901265822784813</v>
      </c>
      <c r="CD325" s="6">
        <f>VLOOKUP(Table1[[#This Row],[Reference]],metron,18,FALSE)</f>
        <v>3.6162025316455702</v>
      </c>
      <c r="CE325" s="6">
        <f>VLOOKUP(Table1[[#This Row],[Reference]],metron,19,FALSE)</f>
        <v>7.9616216694697686</v>
      </c>
      <c r="CF325" s="6">
        <f>VLOOKUP(Table1[[#This Row],[Reference]],metron,20,FALSE)</f>
        <v>5.2154658000227627</v>
      </c>
      <c r="CG325" s="6">
        <f>VLOOKUP(Table1[[#This Row],[Reference]],metron,21,FALSE)</f>
        <v>12.444895886236671</v>
      </c>
      <c r="CH325" s="6">
        <f>VLOOKUP(Table1[[#This Row],[Reference]],metron,22,FALSE)</f>
        <v>13.620619603859829</v>
      </c>
      <c r="CI325" s="6">
        <f>VLOOKUP(Table1[[#This Row],[Reference]],metron,23,FALSE)</f>
        <v>1.406084017382907</v>
      </c>
      <c r="CJ325" s="6">
        <f>VLOOKUP(Table1[[#This Row],[Reference]],metron,24,FALSE)</f>
        <v>2.070980202800579</v>
      </c>
      <c r="CK325" s="6">
        <f>VLOOKUP(Table1[[#This Row],[Reference]],metron,25,FALSE)</f>
        <v>6.1323032351521013E-2</v>
      </c>
      <c r="CL325" s="6">
        <f>VLOOKUP(Table1[[#This Row],[Reference]],metron,26,FALSE)</f>
        <v>0.1313375181071946</v>
      </c>
    </row>
    <row r="326" spans="1:90" hidden="1" x14ac:dyDescent="0.45">
      <c r="A326" t="s">
        <v>695</v>
      </c>
      <c r="B326">
        <v>1651963500</v>
      </c>
      <c r="C326" s="1" t="s">
        <v>661</v>
      </c>
      <c r="D326" t="s">
        <v>65</v>
      </c>
      <c r="E326" t="s">
        <v>66</v>
      </c>
      <c r="F326" t="s">
        <v>112</v>
      </c>
      <c r="G326" t="s">
        <v>72</v>
      </c>
      <c r="H326" t="s">
        <v>122</v>
      </c>
      <c r="I326">
        <f>MROUND(Table1[[#This Row],[ProbH]]*100,2)/100</f>
        <v>0.57999999999999996</v>
      </c>
      <c r="J326">
        <f>1/Table1[[#This Row],[odds_ft_home_team_win]]-Table1[[#This Row],[Margin]]</f>
        <v>0.58817387043926939</v>
      </c>
      <c r="K326">
        <f>1/Table1[[#This Row],[odds_ft_draw]]-Table1[[#This Row],[Margin]]</f>
        <v>0.24508443954496043</v>
      </c>
      <c r="L326">
        <f>1/Table1[[#This Row],[odds_ft_away_team_win]]-Table1[[#This Row],[Margin]]</f>
        <v>0.16674169001577024</v>
      </c>
      <c r="M326" t="s">
        <v>66</v>
      </c>
      <c r="N326">
        <v>1.37</v>
      </c>
      <c r="O326">
        <v>1.26</v>
      </c>
      <c r="P326">
        <v>1.37</v>
      </c>
      <c r="Q326">
        <v>1.26</v>
      </c>
      <c r="R326" t="str" cm="1">
        <f t="array" ref="R3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6">
        <v>1</v>
      </c>
      <c r="T326">
        <v>1</v>
      </c>
      <c r="U326">
        <v>2</v>
      </c>
      <c r="V326">
        <v>0</v>
      </c>
      <c r="W326">
        <v>0</v>
      </c>
      <c r="X326">
        <v>0</v>
      </c>
      <c r="Y326">
        <v>56</v>
      </c>
      <c r="Z326">
        <v>88</v>
      </c>
      <c r="AA326">
        <v>4</v>
      </c>
      <c r="AB326">
        <v>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8</v>
      </c>
      <c r="AL326">
        <v>13</v>
      </c>
      <c r="AM326">
        <v>2</v>
      </c>
      <c r="AN326">
        <v>10</v>
      </c>
      <c r="AO326">
        <v>6</v>
      </c>
      <c r="AP326">
        <v>3</v>
      </c>
      <c r="AQ326">
        <v>3</v>
      </c>
      <c r="AR326">
        <v>12</v>
      </c>
      <c r="AS326">
        <v>50</v>
      </c>
      <c r="AT326">
        <v>50</v>
      </c>
      <c r="AU326">
        <v>0.91</v>
      </c>
      <c r="AV326">
        <v>1.84</v>
      </c>
      <c r="AW326">
        <v>2.3199999999999998</v>
      </c>
      <c r="AX326">
        <v>46</v>
      </c>
      <c r="AY326">
        <v>66</v>
      </c>
      <c r="AZ326">
        <v>45</v>
      </c>
      <c r="BA326">
        <v>18</v>
      </c>
      <c r="BB326">
        <v>8</v>
      </c>
      <c r="BC326">
        <v>30</v>
      </c>
      <c r="BD326">
        <v>74</v>
      </c>
      <c r="BE326">
        <v>35</v>
      </c>
      <c r="BF326">
        <v>71</v>
      </c>
      <c r="BG326">
        <v>9.31</v>
      </c>
      <c r="BH326">
        <v>5.07</v>
      </c>
      <c r="BI326">
        <v>1.64</v>
      </c>
      <c r="BJ326">
        <v>3.75</v>
      </c>
      <c r="BK326">
        <v>5.31</v>
      </c>
      <c r="BL326">
        <f>(1/Table1[[#This Row],[odds_ft_home_team_win]]+1/Table1[[#This Row],[odds_ft_draw]]+1/Table1[[#This Row],[odds_ft_away_team_win]]-1)/3</f>
        <v>2.1582227121706248E-2</v>
      </c>
      <c r="BM326">
        <v>1.5</v>
      </c>
      <c r="BN326">
        <v>1.97</v>
      </c>
      <c r="BO326">
        <v>4.75</v>
      </c>
      <c r="BP326">
        <v>10.5</v>
      </c>
      <c r="BQ326">
        <v>2.1</v>
      </c>
      <c r="BR326">
        <v>1.68</v>
      </c>
      <c r="BS326" t="s">
        <v>116</v>
      </c>
      <c r="BT326">
        <f>VLOOKUP(Table1[[#This Row],[Reference]],metron,8,FALSE)</f>
        <v>2.0230889143600308</v>
      </c>
      <c r="BU326">
        <f>VLOOKUP(Table1[[#This Row],[Reference]],metron,9,FALSE)</f>
        <v>0.72731480520165426</v>
      </c>
      <c r="BV326">
        <f>VLOOKUP(Table1[[#This Row],[Reference]],metron,10,FALSE)</f>
        <v>2.6362999299229148</v>
      </c>
      <c r="BW326">
        <f>VLOOKUP(Table1[[#This Row],[Reference]],metron,11,FALSE)</f>
        <v>1.7619715019855171</v>
      </c>
      <c r="BX326">
        <f>VLOOKUP(Table1[[#This Row],[Reference]],metron,12,FALSE)</f>
        <v>0.87432842793739785</v>
      </c>
      <c r="BY326" s="6">
        <f>VLOOKUP(Table1[[#This Row],[Reference]],metron,13,FALSE)</f>
        <v>0.78411214953271025</v>
      </c>
      <c r="BZ326" s="6">
        <f>VLOOKUP(Table1[[#This Row],[Reference]],metron,14,FALSE)</f>
        <v>0.38060747663551397</v>
      </c>
      <c r="CA326" s="6">
        <f>VLOOKUP(Table1[[#This Row],[Reference]],metron,15,FALSE)</f>
        <v>14.215499378367181</v>
      </c>
      <c r="CB326" s="6">
        <f>VLOOKUP(Table1[[#This Row],[Reference]],metron,16,FALSE)</f>
        <v>8.9523612261806136</v>
      </c>
      <c r="CC326" s="6">
        <f>VLOOKUP(Table1[[#This Row],[Reference]],metron,17,FALSE)</f>
        <v>6.3083121289228163</v>
      </c>
      <c r="CD326" s="6">
        <f>VLOOKUP(Table1[[#This Row],[Reference]],metron,18,FALSE)</f>
        <v>3.7757524374735061</v>
      </c>
      <c r="CE326" s="6">
        <f>VLOOKUP(Table1[[#This Row],[Reference]],metron,19,FALSE)</f>
        <v>7.9071872494443642</v>
      </c>
      <c r="CF326" s="6">
        <f>VLOOKUP(Table1[[#This Row],[Reference]],metron,20,FALSE)</f>
        <v>5.1766087887071075</v>
      </c>
      <c r="CG326" s="6">
        <f>VLOOKUP(Table1[[#This Row],[Reference]],metron,21,FALSE)</f>
        <v>12.634239592183521</v>
      </c>
      <c r="CH326" s="6">
        <f>VLOOKUP(Table1[[#This Row],[Reference]],metron,22,FALSE)</f>
        <v>13.597706032285471</v>
      </c>
      <c r="CI326" s="6">
        <f>VLOOKUP(Table1[[#This Row],[Reference]],metron,23,FALSE)</f>
        <v>1.365400161681487</v>
      </c>
      <c r="CJ326" s="6">
        <f>VLOOKUP(Table1[[#This Row],[Reference]],metron,24,FALSE)</f>
        <v>1.963621665319321</v>
      </c>
      <c r="CK326" s="6">
        <f>VLOOKUP(Table1[[#This Row],[Reference]],metron,25,FALSE)</f>
        <v>7.1544058205335492E-2</v>
      </c>
      <c r="CL326" s="6">
        <f>VLOOKUP(Table1[[#This Row],[Reference]],metron,26,FALSE)</f>
        <v>0.1216653193209378</v>
      </c>
    </row>
    <row r="327" spans="1:90" hidden="1" x14ac:dyDescent="0.45">
      <c r="A327" t="s">
        <v>695</v>
      </c>
      <c r="B327">
        <v>1651971960</v>
      </c>
      <c r="C327" s="1" t="s">
        <v>662</v>
      </c>
      <c r="D327" t="s">
        <v>65</v>
      </c>
      <c r="E327" t="s">
        <v>66</v>
      </c>
      <c r="F327" t="s">
        <v>101</v>
      </c>
      <c r="G327" t="s">
        <v>91</v>
      </c>
      <c r="H327" t="s">
        <v>74</v>
      </c>
      <c r="I327">
        <f>MROUND(Table1[[#This Row],[ProbH]]*100,2)/100</f>
        <v>0.64</v>
      </c>
      <c r="J327">
        <f>1/Table1[[#This Row],[odds_ft_home_team_win]]-Table1[[#This Row],[Margin]]</f>
        <v>0.6431623931623931</v>
      </c>
      <c r="K327">
        <f>1/Table1[[#This Row],[odds_ft_draw]]-Table1[[#This Row],[Margin]]</f>
        <v>0.2264957264957265</v>
      </c>
      <c r="L327">
        <f>1/Table1[[#This Row],[odds_ft_away_team_win]]-Table1[[#This Row],[Margin]]</f>
        <v>0.13034188034188035</v>
      </c>
      <c r="M327" t="s">
        <v>66</v>
      </c>
      <c r="N327">
        <v>1.43</v>
      </c>
      <c r="O327">
        <v>1.23</v>
      </c>
      <c r="P327">
        <v>1.42</v>
      </c>
      <c r="Q327">
        <v>1.18</v>
      </c>
      <c r="R327" t="str" cm="1">
        <f t="array" ref="R3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7">
        <v>2</v>
      </c>
      <c r="T327">
        <v>2</v>
      </c>
      <c r="U327">
        <v>4</v>
      </c>
      <c r="V327">
        <v>1</v>
      </c>
      <c r="W327">
        <v>1</v>
      </c>
      <c r="X327">
        <v>0</v>
      </c>
      <c r="Y327" t="s">
        <v>663</v>
      </c>
      <c r="Z327" t="s">
        <v>664</v>
      </c>
      <c r="AA327">
        <v>8</v>
      </c>
      <c r="AB327">
        <v>3</v>
      </c>
      <c r="AC327">
        <v>2</v>
      </c>
      <c r="AD327">
        <v>0</v>
      </c>
      <c r="AE327">
        <v>2</v>
      </c>
      <c r="AF327">
        <v>0</v>
      </c>
      <c r="AG327">
        <v>0</v>
      </c>
      <c r="AH327">
        <v>2</v>
      </c>
      <c r="AI327">
        <v>1</v>
      </c>
      <c r="AJ327">
        <v>1</v>
      </c>
      <c r="AK327">
        <v>20</v>
      </c>
      <c r="AL327">
        <v>9</v>
      </c>
      <c r="AM327">
        <v>6</v>
      </c>
      <c r="AN327">
        <v>3</v>
      </c>
      <c r="AO327">
        <v>14</v>
      </c>
      <c r="AP327">
        <v>6</v>
      </c>
      <c r="AQ327">
        <v>11</v>
      </c>
      <c r="AR327">
        <v>10</v>
      </c>
      <c r="AS327">
        <v>59</v>
      </c>
      <c r="AT327">
        <v>41</v>
      </c>
      <c r="AU327">
        <v>2.2000000000000002</v>
      </c>
      <c r="AV327">
        <v>0.89</v>
      </c>
      <c r="AW327">
        <v>2.33</v>
      </c>
      <c r="AX327">
        <v>46</v>
      </c>
      <c r="AY327">
        <v>70</v>
      </c>
      <c r="AZ327">
        <v>41</v>
      </c>
      <c r="BA327">
        <v>24</v>
      </c>
      <c r="BB327">
        <v>7</v>
      </c>
      <c r="BC327">
        <v>22</v>
      </c>
      <c r="BD327">
        <v>61</v>
      </c>
      <c r="BE327">
        <v>38</v>
      </c>
      <c r="BF327">
        <v>75</v>
      </c>
      <c r="BG327">
        <v>9.01</v>
      </c>
      <c r="BH327">
        <v>5.03</v>
      </c>
      <c r="BI327">
        <v>1.5</v>
      </c>
      <c r="BJ327">
        <v>4</v>
      </c>
      <c r="BK327">
        <v>6.5</v>
      </c>
      <c r="BL327">
        <f>(1/Table1[[#This Row],[odds_ft_home_team_win]]+1/Table1[[#This Row],[odds_ft_draw]]+1/Table1[[#This Row],[odds_ft_away_team_win]]-1)/3</f>
        <v>2.3504273504273494E-2</v>
      </c>
      <c r="BM327">
        <v>1.28</v>
      </c>
      <c r="BN327">
        <v>1.91</v>
      </c>
      <c r="BO327">
        <v>3.3</v>
      </c>
      <c r="BP327">
        <v>6.25</v>
      </c>
      <c r="BQ327">
        <v>1.95</v>
      </c>
      <c r="BR327">
        <v>1.8</v>
      </c>
      <c r="BS327" t="s">
        <v>104</v>
      </c>
      <c r="BT327">
        <f>VLOOKUP(Table1[[#This Row],[Reference]],metron,8,FALSE)</f>
        <v>2.1745910991837163</v>
      </c>
      <c r="BU327">
        <f>VLOOKUP(Table1[[#This Row],[Reference]],metron,9,FALSE)</f>
        <v>0.59796358565236019</v>
      </c>
      <c r="BV327">
        <f>VLOOKUP(Table1[[#This Row],[Reference]],metron,10,FALSE)</f>
        <v>2.8343749999999996</v>
      </c>
      <c r="BW327">
        <f>VLOOKUP(Table1[[#This Row],[Reference]],metron,11,FALSE)</f>
        <v>1.980803571428571</v>
      </c>
      <c r="BX327">
        <f>VLOOKUP(Table1[[#This Row],[Reference]],metron,12,FALSE)</f>
        <v>0.85357142857142854</v>
      </c>
      <c r="BY327" s="6">
        <f>VLOOKUP(Table1[[#This Row],[Reference]],metron,13,FALSE)</f>
        <v>0.8683035714285714</v>
      </c>
      <c r="BZ327" s="6">
        <f>VLOOKUP(Table1[[#This Row],[Reference]],metron,14,FALSE)</f>
        <v>0.36607142857142849</v>
      </c>
      <c r="CA327" s="6">
        <f>VLOOKUP(Table1[[#This Row],[Reference]],metron,15,FALSE)</f>
        <v>15.03980099502488</v>
      </c>
      <c r="CB327" s="6">
        <f>VLOOKUP(Table1[[#This Row],[Reference]],metron,16,FALSE)</f>
        <v>8.6326699834162515</v>
      </c>
      <c r="CC327" s="6">
        <f>VLOOKUP(Table1[[#This Row],[Reference]],metron,17,FALSE)</f>
        <v>6.5189234650967203</v>
      </c>
      <c r="CD327" s="6">
        <f>VLOOKUP(Table1[[#This Row],[Reference]],metron,18,FALSE)</f>
        <v>3.4507989907485279</v>
      </c>
      <c r="CE327" s="6">
        <f>VLOOKUP(Table1[[#This Row],[Reference]],metron,19,FALSE)</f>
        <v>8.5208775299281605</v>
      </c>
      <c r="CF327" s="6">
        <f>VLOOKUP(Table1[[#This Row],[Reference]],metron,20,FALSE)</f>
        <v>5.181870992667724</v>
      </c>
      <c r="CG327" s="6">
        <f>VLOOKUP(Table1[[#This Row],[Reference]],metron,21,FALSE)</f>
        <v>12.48566610455312</v>
      </c>
      <c r="CH327" s="6">
        <f>VLOOKUP(Table1[[#This Row],[Reference]],metron,22,FALSE)</f>
        <v>13.573355817875211</v>
      </c>
      <c r="CI327" s="6">
        <f>VLOOKUP(Table1[[#This Row],[Reference]],metron,23,FALSE)</f>
        <v>1.395273023634882</v>
      </c>
      <c r="CJ327" s="6">
        <f>VLOOKUP(Table1[[#This Row],[Reference]],metron,24,FALSE)</f>
        <v>2.0586797066014668</v>
      </c>
      <c r="CK327" s="6">
        <f>VLOOKUP(Table1[[#This Row],[Reference]],metron,25,FALSE)</f>
        <v>6.8459657701711488E-2</v>
      </c>
      <c r="CL327" s="6">
        <f>VLOOKUP(Table1[[#This Row],[Reference]],metron,26,FALSE)</f>
        <v>0.12713936430317849</v>
      </c>
    </row>
    <row r="328" spans="1:90" hidden="1" x14ac:dyDescent="0.45">
      <c r="A328" t="s">
        <v>695</v>
      </c>
      <c r="B328">
        <v>1652047200</v>
      </c>
      <c r="C328" s="1" t="s">
        <v>665</v>
      </c>
      <c r="D328" t="s">
        <v>65</v>
      </c>
      <c r="E328" t="s">
        <v>66</v>
      </c>
      <c r="F328" t="s">
        <v>102</v>
      </c>
      <c r="G328" t="s">
        <v>113</v>
      </c>
      <c r="H328" t="s">
        <v>158</v>
      </c>
      <c r="I328">
        <f>MROUND(Table1[[#This Row],[ProbH]]*100,2)/100</f>
        <v>0.46</v>
      </c>
      <c r="J328">
        <f>1/Table1[[#This Row],[odds_ft_home_team_win]]-Table1[[#This Row],[Margin]]</f>
        <v>0.45795295367821093</v>
      </c>
      <c r="K328">
        <f>1/Table1[[#This Row],[odds_ft_draw]]-Table1[[#This Row],[Margin]]</f>
        <v>0.27102352316089456</v>
      </c>
      <c r="L328">
        <f>1/Table1[[#This Row],[odds_ft_away_team_win]]-Table1[[#This Row],[Margin]]</f>
        <v>0.27102352316089456</v>
      </c>
      <c r="M328" t="s">
        <v>66</v>
      </c>
      <c r="N328">
        <v>1.46</v>
      </c>
      <c r="O328">
        <v>1.21</v>
      </c>
      <c r="P328">
        <v>1.4</v>
      </c>
      <c r="Q328">
        <v>1.2</v>
      </c>
      <c r="R328" s="9" t="str" cm="1">
        <f t="array" ref="R3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8">
        <v>2</v>
      </c>
      <c r="T328">
        <v>2</v>
      </c>
      <c r="U328">
        <v>4</v>
      </c>
      <c r="V328">
        <v>3</v>
      </c>
      <c r="W328">
        <v>2</v>
      </c>
      <c r="X328">
        <v>1</v>
      </c>
      <c r="Y328" t="s">
        <v>666</v>
      </c>
      <c r="Z328" t="s">
        <v>667</v>
      </c>
      <c r="AA328">
        <v>3</v>
      </c>
      <c r="AB328">
        <v>8</v>
      </c>
      <c r="AC328">
        <v>5</v>
      </c>
      <c r="AD328">
        <v>1</v>
      </c>
      <c r="AE328">
        <v>1</v>
      </c>
      <c r="AF328">
        <v>0</v>
      </c>
      <c r="AG328">
        <v>1</v>
      </c>
      <c r="AH328">
        <v>5</v>
      </c>
      <c r="AI328">
        <v>1</v>
      </c>
      <c r="AJ328">
        <v>0</v>
      </c>
      <c r="AK328">
        <v>13</v>
      </c>
      <c r="AL328">
        <v>24</v>
      </c>
      <c r="AM328">
        <v>5</v>
      </c>
      <c r="AN328">
        <v>7</v>
      </c>
      <c r="AO328">
        <v>8</v>
      </c>
      <c r="AP328">
        <v>17</v>
      </c>
      <c r="AQ328">
        <v>12</v>
      </c>
      <c r="AR328">
        <v>8</v>
      </c>
      <c r="AS328">
        <v>47</v>
      </c>
      <c r="AT328">
        <v>53</v>
      </c>
      <c r="AU328">
        <v>1.31</v>
      </c>
      <c r="AV328">
        <v>2.33</v>
      </c>
      <c r="AW328">
        <v>2.42</v>
      </c>
      <c r="AX328">
        <v>54</v>
      </c>
      <c r="AY328">
        <v>78</v>
      </c>
      <c r="AZ328">
        <v>43</v>
      </c>
      <c r="BA328">
        <v>19</v>
      </c>
      <c r="BB328">
        <v>3</v>
      </c>
      <c r="BC328">
        <v>33</v>
      </c>
      <c r="BD328">
        <v>67</v>
      </c>
      <c r="BE328">
        <v>40</v>
      </c>
      <c r="BF328">
        <v>76</v>
      </c>
      <c r="BG328">
        <v>7.44</v>
      </c>
      <c r="BH328">
        <v>6.08</v>
      </c>
      <c r="BI328">
        <v>2.06</v>
      </c>
      <c r="BJ328">
        <v>3.35</v>
      </c>
      <c r="BK328">
        <v>3.35</v>
      </c>
      <c r="BL328">
        <f>(1/Table1[[#This Row],[odds_ft_home_team_win]]+1/Table1[[#This Row],[odds_ft_draw]]+1/Table1[[#This Row],[odds_ft_away_team_win]]-1)/3</f>
        <v>2.7483939525672591E-2</v>
      </c>
      <c r="BM328">
        <v>0</v>
      </c>
      <c r="BN328">
        <v>2.0699999999999998</v>
      </c>
      <c r="BO328">
        <v>0</v>
      </c>
      <c r="BP328">
        <v>0</v>
      </c>
      <c r="BQ328">
        <v>0</v>
      </c>
      <c r="BR328">
        <v>0</v>
      </c>
      <c r="BS328" t="s">
        <v>124</v>
      </c>
      <c r="BT328">
        <f>VLOOKUP(Table1[[#This Row],[Reference]],metron,8,FALSE)</f>
        <v>1.6955772349985931</v>
      </c>
      <c r="BU328">
        <f>VLOOKUP(Table1[[#This Row],[Reference]],metron,9,FALSE)</f>
        <v>1.0239029519551039</v>
      </c>
      <c r="BV328">
        <f>VLOOKUP(Table1[[#This Row],[Reference]],metron,10,FALSE)</f>
        <v>2.5405629139072849</v>
      </c>
      <c r="BW328">
        <f>VLOOKUP(Table1[[#This Row],[Reference]],metron,11,FALSE)</f>
        <v>1.4888836329233679</v>
      </c>
      <c r="BX328">
        <f>VLOOKUP(Table1[[#This Row],[Reference]],metron,12,FALSE)</f>
        <v>1.0516792809839171</v>
      </c>
      <c r="BY328" s="6">
        <f>VLOOKUP(Table1[[#This Row],[Reference]],metron,13,FALSE)</f>
        <v>0.64581362346263005</v>
      </c>
      <c r="BZ328" s="6">
        <f>VLOOKUP(Table1[[#This Row],[Reference]],metron,14,FALSE)</f>
        <v>0.45364238410596031</v>
      </c>
      <c r="CA328" s="6">
        <f>VLOOKUP(Table1[[#This Row],[Reference]],metron,15,FALSE)</f>
        <v>12.686892177589851</v>
      </c>
      <c r="CB328" s="6">
        <f>VLOOKUP(Table1[[#This Row],[Reference]],metron,16,FALSE)</f>
        <v>9.8059196617336148</v>
      </c>
      <c r="CC328" s="6">
        <f>VLOOKUP(Table1[[#This Row],[Reference]],metron,17,FALSE)</f>
        <v>5.3198121263877027</v>
      </c>
      <c r="CD328" s="6">
        <f>VLOOKUP(Table1[[#This Row],[Reference]],metron,18,FALSE)</f>
        <v>4.0954312553373189</v>
      </c>
      <c r="CE328" s="6">
        <f>VLOOKUP(Table1[[#This Row],[Reference]],metron,19,FALSE)</f>
        <v>7.3670800512021479</v>
      </c>
      <c r="CF328" s="6">
        <f>VLOOKUP(Table1[[#This Row],[Reference]],metron,20,FALSE)</f>
        <v>5.710488406396296</v>
      </c>
      <c r="CG328" s="6">
        <f>VLOOKUP(Table1[[#This Row],[Reference]],metron,21,FALSE)</f>
        <v>13.0488908033599</v>
      </c>
      <c r="CH328" s="6">
        <f>VLOOKUP(Table1[[#This Row],[Reference]],metron,22,FALSE)</f>
        <v>13.714839543398661</v>
      </c>
      <c r="CI328" s="6">
        <f>VLOOKUP(Table1[[#This Row],[Reference]],metron,23,FALSE)</f>
        <v>1.567523459812322</v>
      </c>
      <c r="CJ328" s="6">
        <f>VLOOKUP(Table1[[#This Row],[Reference]],metron,24,FALSE)</f>
        <v>1.951040391676867</v>
      </c>
      <c r="CK328" s="6">
        <f>VLOOKUP(Table1[[#This Row],[Reference]],metron,25,FALSE)</f>
        <v>8.3027335781313744E-2</v>
      </c>
      <c r="CL328" s="6">
        <f>VLOOKUP(Table1[[#This Row],[Reference]],metron,26,FALSE)</f>
        <v>0.13117095063239501</v>
      </c>
    </row>
    <row r="329" spans="1:90" hidden="1" x14ac:dyDescent="0.45">
      <c r="A329" t="s">
        <v>695</v>
      </c>
      <c r="B329">
        <v>1652055300</v>
      </c>
      <c r="C329" s="1" t="s">
        <v>668</v>
      </c>
      <c r="D329" t="s">
        <v>65</v>
      </c>
      <c r="E329" t="s">
        <v>66</v>
      </c>
      <c r="F329" t="s">
        <v>90</v>
      </c>
      <c r="G329" t="s">
        <v>96</v>
      </c>
      <c r="H329" t="s">
        <v>69</v>
      </c>
      <c r="I329">
        <f>MROUND(Table1[[#This Row],[ProbH]]*100,2)/100</f>
        <v>0.46</v>
      </c>
      <c r="J329">
        <f>1/Table1[[#This Row],[odds_ft_home_team_win]]-Table1[[#This Row],[Margin]]</f>
        <v>0.45987179508455628</v>
      </c>
      <c r="K329">
        <f>1/Table1[[#This Row],[odds_ft_draw]]-Table1[[#This Row],[Margin]]</f>
        <v>0.28165805642543051</v>
      </c>
      <c r="L329">
        <f>1/Table1[[#This Row],[odds_ft_away_team_win]]-Table1[[#This Row],[Margin]]</f>
        <v>0.25847014849001315</v>
      </c>
      <c r="M329" t="s">
        <v>66</v>
      </c>
      <c r="N329">
        <v>1.4</v>
      </c>
      <c r="O329">
        <v>1.36</v>
      </c>
      <c r="P329">
        <v>1.39</v>
      </c>
      <c r="Q329">
        <v>1.33</v>
      </c>
      <c r="R329" t="str" cm="1">
        <f t="array" ref="R3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29">
        <v>4</v>
      </c>
      <c r="T329">
        <v>1</v>
      </c>
      <c r="U329">
        <v>5</v>
      </c>
      <c r="V329">
        <v>2</v>
      </c>
      <c r="W329">
        <v>1</v>
      </c>
      <c r="X329">
        <v>1</v>
      </c>
      <c r="Y329" t="s">
        <v>669</v>
      </c>
      <c r="Z329">
        <v>19</v>
      </c>
      <c r="AA329">
        <v>2</v>
      </c>
      <c r="AB329">
        <v>5</v>
      </c>
      <c r="AC329">
        <v>3</v>
      </c>
      <c r="AD329">
        <v>0</v>
      </c>
      <c r="AE329">
        <v>3</v>
      </c>
      <c r="AF329">
        <v>0</v>
      </c>
      <c r="AG329">
        <v>1</v>
      </c>
      <c r="AH329">
        <v>2</v>
      </c>
      <c r="AI329">
        <v>1</v>
      </c>
      <c r="AJ329">
        <v>2</v>
      </c>
      <c r="AK329">
        <v>11</v>
      </c>
      <c r="AL329">
        <v>6</v>
      </c>
      <c r="AM329">
        <v>9</v>
      </c>
      <c r="AN329">
        <v>2</v>
      </c>
      <c r="AO329">
        <v>2</v>
      </c>
      <c r="AP329">
        <v>4</v>
      </c>
      <c r="AQ329">
        <v>10</v>
      </c>
      <c r="AR329">
        <v>15</v>
      </c>
      <c r="AS329">
        <v>48</v>
      </c>
      <c r="AT329">
        <v>52</v>
      </c>
      <c r="AU329">
        <v>1.57</v>
      </c>
      <c r="AV329">
        <v>0.72</v>
      </c>
      <c r="AW329">
        <v>2.29</v>
      </c>
      <c r="AX329">
        <v>49</v>
      </c>
      <c r="AY329">
        <v>66</v>
      </c>
      <c r="AZ329">
        <v>48</v>
      </c>
      <c r="BA329">
        <v>26</v>
      </c>
      <c r="BB329">
        <v>6</v>
      </c>
      <c r="BC329">
        <v>31</v>
      </c>
      <c r="BD329">
        <v>60</v>
      </c>
      <c r="BE329">
        <v>44</v>
      </c>
      <c r="BF329">
        <v>76</v>
      </c>
      <c r="BG329">
        <v>9.0299999999999994</v>
      </c>
      <c r="BH329">
        <v>5.08</v>
      </c>
      <c r="BI329">
        <v>2.0699999999999998</v>
      </c>
      <c r="BJ329">
        <v>3.28</v>
      </c>
      <c r="BK329">
        <v>3.55</v>
      </c>
      <c r="BL329">
        <f>(1/Table1[[#This Row],[odds_ft_home_team_win]]+1/Table1[[#This Row],[odds_ft_draw]]+1/Table1[[#This Row],[odds_ft_away_team_win]]-1)/3</f>
        <v>2.3219992355057267E-2</v>
      </c>
      <c r="BM329">
        <v>1.32</v>
      </c>
      <c r="BN329">
        <v>2</v>
      </c>
      <c r="BO329">
        <v>3.42</v>
      </c>
      <c r="BP329">
        <v>6.6</v>
      </c>
      <c r="BQ329">
        <v>1.75</v>
      </c>
      <c r="BR329">
        <v>2</v>
      </c>
      <c r="BS329" t="s">
        <v>94</v>
      </c>
      <c r="BT329">
        <f>VLOOKUP(Table1[[#This Row],[Reference]],metron,8,FALSE)</f>
        <v>1.6955772349985931</v>
      </c>
      <c r="BU329">
        <f>VLOOKUP(Table1[[#This Row],[Reference]],metron,9,FALSE)</f>
        <v>1.0239029519551039</v>
      </c>
      <c r="BV329">
        <f>VLOOKUP(Table1[[#This Row],[Reference]],metron,10,FALSE)</f>
        <v>2.5405629139072849</v>
      </c>
      <c r="BW329">
        <f>VLOOKUP(Table1[[#This Row],[Reference]],metron,11,FALSE)</f>
        <v>1.4888836329233679</v>
      </c>
      <c r="BX329">
        <f>VLOOKUP(Table1[[#This Row],[Reference]],metron,12,FALSE)</f>
        <v>1.0516792809839171</v>
      </c>
      <c r="BY329" s="6">
        <f>VLOOKUP(Table1[[#This Row],[Reference]],metron,13,FALSE)</f>
        <v>0.64581362346263005</v>
      </c>
      <c r="BZ329" s="6">
        <f>VLOOKUP(Table1[[#This Row],[Reference]],metron,14,FALSE)</f>
        <v>0.45364238410596031</v>
      </c>
      <c r="CA329" s="6">
        <f>VLOOKUP(Table1[[#This Row],[Reference]],metron,15,FALSE)</f>
        <v>12.686892177589851</v>
      </c>
      <c r="CB329" s="6">
        <f>VLOOKUP(Table1[[#This Row],[Reference]],metron,16,FALSE)</f>
        <v>9.8059196617336148</v>
      </c>
      <c r="CC329" s="6">
        <f>VLOOKUP(Table1[[#This Row],[Reference]],metron,17,FALSE)</f>
        <v>5.3198121263877027</v>
      </c>
      <c r="CD329" s="6">
        <f>VLOOKUP(Table1[[#This Row],[Reference]],metron,18,FALSE)</f>
        <v>4.0954312553373189</v>
      </c>
      <c r="CE329" s="6">
        <f>VLOOKUP(Table1[[#This Row],[Reference]],metron,19,FALSE)</f>
        <v>7.3670800512021479</v>
      </c>
      <c r="CF329" s="6">
        <f>VLOOKUP(Table1[[#This Row],[Reference]],metron,20,FALSE)</f>
        <v>5.710488406396296</v>
      </c>
      <c r="CG329" s="6">
        <f>VLOOKUP(Table1[[#This Row],[Reference]],metron,21,FALSE)</f>
        <v>13.0488908033599</v>
      </c>
      <c r="CH329" s="6">
        <f>VLOOKUP(Table1[[#This Row],[Reference]],metron,22,FALSE)</f>
        <v>13.714839543398661</v>
      </c>
      <c r="CI329" s="6">
        <f>VLOOKUP(Table1[[#This Row],[Reference]],metron,23,FALSE)</f>
        <v>1.567523459812322</v>
      </c>
      <c r="CJ329" s="6">
        <f>VLOOKUP(Table1[[#This Row],[Reference]],metron,24,FALSE)</f>
        <v>1.951040391676867</v>
      </c>
      <c r="CK329" s="6">
        <f>VLOOKUP(Table1[[#This Row],[Reference]],metron,25,FALSE)</f>
        <v>8.3027335781313744E-2</v>
      </c>
      <c r="CL329" s="6">
        <f>VLOOKUP(Table1[[#This Row],[Reference]],metron,26,FALSE)</f>
        <v>0.13117095063239501</v>
      </c>
    </row>
    <row r="330" spans="1:90" hidden="1" x14ac:dyDescent="0.45">
      <c r="A330" t="s">
        <v>695</v>
      </c>
      <c r="B330">
        <v>1652313600</v>
      </c>
      <c r="C330" s="1" t="s">
        <v>670</v>
      </c>
      <c r="D330" t="s">
        <v>65</v>
      </c>
      <c r="E330" t="s">
        <v>66</v>
      </c>
      <c r="F330" t="s">
        <v>91</v>
      </c>
      <c r="G330" t="s">
        <v>84</v>
      </c>
      <c r="H330" t="s">
        <v>103</v>
      </c>
      <c r="I330">
        <f>MROUND(Table1[[#This Row],[ProbH]]*100,2)/100</f>
        <v>0.3</v>
      </c>
      <c r="J330">
        <f>1/Table1[[#This Row],[odds_ft_home_team_win]]-Table1[[#This Row],[Margin]]</f>
        <v>0.3080639167595689</v>
      </c>
      <c r="K330">
        <f>1/Table1[[#This Row],[odds_ft_draw]]-Table1[[#This Row],[Margin]]</f>
        <v>0.2824228911185433</v>
      </c>
      <c r="L330">
        <f>1/Table1[[#This Row],[odds_ft_away_team_win]]-Table1[[#This Row],[Margin]]</f>
        <v>0.4095131921218878</v>
      </c>
      <c r="M330" t="s">
        <v>66</v>
      </c>
      <c r="N330">
        <v>1.22</v>
      </c>
      <c r="O330">
        <v>1.65</v>
      </c>
      <c r="P330">
        <v>1.18</v>
      </c>
      <c r="Q330">
        <v>1.65</v>
      </c>
      <c r="R330" t="str" cm="1">
        <f t="array" ref="R3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0">
        <v>2</v>
      </c>
      <c r="T330">
        <v>2</v>
      </c>
      <c r="U330">
        <v>4</v>
      </c>
      <c r="V330">
        <v>2</v>
      </c>
      <c r="W330">
        <v>1</v>
      </c>
      <c r="X330">
        <v>1</v>
      </c>
      <c r="Y330" t="s">
        <v>671</v>
      </c>
      <c r="Z330" t="s">
        <v>672</v>
      </c>
      <c r="AA330">
        <v>7</v>
      </c>
      <c r="AB330">
        <v>5</v>
      </c>
      <c r="AC330">
        <v>2</v>
      </c>
      <c r="AD330">
        <v>0</v>
      </c>
      <c r="AE330">
        <v>3</v>
      </c>
      <c r="AF330">
        <v>0</v>
      </c>
      <c r="AG330">
        <v>1</v>
      </c>
      <c r="AH330">
        <v>1</v>
      </c>
      <c r="AI330">
        <v>2</v>
      </c>
      <c r="AJ330">
        <v>1</v>
      </c>
      <c r="AK330">
        <v>14</v>
      </c>
      <c r="AL330">
        <v>8</v>
      </c>
      <c r="AM330">
        <v>8</v>
      </c>
      <c r="AN330">
        <v>6</v>
      </c>
      <c r="AO330">
        <v>6</v>
      </c>
      <c r="AP330">
        <v>2</v>
      </c>
      <c r="AQ330">
        <v>10</v>
      </c>
      <c r="AR330">
        <v>7</v>
      </c>
      <c r="AS330">
        <v>41</v>
      </c>
      <c r="AT330">
        <v>59</v>
      </c>
      <c r="AU330">
        <v>1.92</v>
      </c>
      <c r="AV330">
        <v>1.38</v>
      </c>
      <c r="AW330">
        <v>2.52</v>
      </c>
      <c r="AX330">
        <v>53</v>
      </c>
      <c r="AY330">
        <v>73</v>
      </c>
      <c r="AZ330">
        <v>49</v>
      </c>
      <c r="BA330">
        <v>26</v>
      </c>
      <c r="BB330">
        <v>7</v>
      </c>
      <c r="BC330">
        <v>29</v>
      </c>
      <c r="BD330">
        <v>68</v>
      </c>
      <c r="BE330">
        <v>40</v>
      </c>
      <c r="BF330">
        <v>79</v>
      </c>
      <c r="BG330">
        <v>9.31</v>
      </c>
      <c r="BH330">
        <v>4.6500000000000004</v>
      </c>
      <c r="BI330">
        <v>3</v>
      </c>
      <c r="BJ330">
        <v>3.25</v>
      </c>
      <c r="BK330">
        <v>2.2999999999999998</v>
      </c>
      <c r="BL330">
        <f>(1/Table1[[#This Row],[odds_ft_home_team_win]]+1/Table1[[#This Row],[odds_ft_draw]]+1/Table1[[#This Row],[odds_ft_away_team_win]]-1)/3</f>
        <v>2.5269416573764431E-2</v>
      </c>
      <c r="BM330">
        <v>1.32</v>
      </c>
      <c r="BN330">
        <v>2.2999999999999998</v>
      </c>
      <c r="BO330">
        <v>3.7</v>
      </c>
      <c r="BP330">
        <v>7</v>
      </c>
      <c r="BQ330">
        <v>1.74</v>
      </c>
      <c r="BR330">
        <v>1.95</v>
      </c>
      <c r="BS330" t="s">
        <v>144</v>
      </c>
      <c r="BT330">
        <f>VLOOKUP(Table1[[#This Row],[Reference]],metron,8,FALSE)</f>
        <v>1.2142445227270171</v>
      </c>
      <c r="BU330">
        <f>VLOOKUP(Table1[[#This Row],[Reference]],metron,9,FALSE)</f>
        <v>1.4993969533036628</v>
      </c>
      <c r="BV330">
        <f>VLOOKUP(Table1[[#This Row],[Reference]],metron,10,FALSE)</f>
        <v>2.5726407816919519</v>
      </c>
      <c r="BW330">
        <f>VLOOKUP(Table1[[#This Row],[Reference]],metron,11,FALSE)</f>
        <v>1.1805091283106199</v>
      </c>
      <c r="BX330">
        <f>VLOOKUP(Table1[[#This Row],[Reference]],metron,12,FALSE)</f>
        <v>1.3921316533813319</v>
      </c>
      <c r="BY330" s="6">
        <f>VLOOKUP(Table1[[#This Row],[Reference]],metron,13,FALSE)</f>
        <v>0.5209673269873939</v>
      </c>
      <c r="BZ330" s="6">
        <f>VLOOKUP(Table1[[#This Row],[Reference]],metron,14,FALSE)</f>
        <v>0.61847182917417032</v>
      </c>
      <c r="CA330" s="6">
        <f>VLOOKUP(Table1[[#This Row],[Reference]],metron,15,FALSE)</f>
        <v>11.149200710479571</v>
      </c>
      <c r="CB330" s="6">
        <f>VLOOKUP(Table1[[#This Row],[Reference]],metron,16,FALSE)</f>
        <v>11.444049733570161</v>
      </c>
      <c r="CC330" s="6">
        <f>VLOOKUP(Table1[[#This Row],[Reference]],metron,17,FALSE)</f>
        <v>4.5257270693512304</v>
      </c>
      <c r="CD330" s="6">
        <f>VLOOKUP(Table1[[#This Row],[Reference]],metron,18,FALSE)</f>
        <v>4.8465324384787474</v>
      </c>
      <c r="CE330" s="6">
        <f>VLOOKUP(Table1[[#This Row],[Reference]],metron,19,FALSE)</f>
        <v>6.6234736411283404</v>
      </c>
      <c r="CF330" s="6">
        <f>VLOOKUP(Table1[[#This Row],[Reference]],metron,20,FALSE)</f>
        <v>6.5975172950914134</v>
      </c>
      <c r="CG330" s="6">
        <f>VLOOKUP(Table1[[#This Row],[Reference]],metron,21,FALSE)</f>
        <v>12.90081154192967</v>
      </c>
      <c r="CH330" s="6">
        <f>VLOOKUP(Table1[[#This Row],[Reference]],metron,22,FALSE)</f>
        <v>13.00360685302074</v>
      </c>
      <c r="CI330" s="6">
        <f>VLOOKUP(Table1[[#This Row],[Reference]],metron,23,FALSE)</f>
        <v>1.7502145922746779</v>
      </c>
      <c r="CJ330" s="6">
        <f>VLOOKUP(Table1[[#This Row],[Reference]],metron,24,FALSE)</f>
        <v>1.831402831402831</v>
      </c>
      <c r="CK330" s="6">
        <f>VLOOKUP(Table1[[#This Row],[Reference]],metron,25,FALSE)</f>
        <v>9.6525096525096526E-2</v>
      </c>
      <c r="CL330" s="6">
        <f>VLOOKUP(Table1[[#This Row],[Reference]],metron,26,FALSE)</f>
        <v>0.1244101244101244</v>
      </c>
    </row>
    <row r="331" spans="1:90" hidden="1" x14ac:dyDescent="0.45">
      <c r="A331" t="s">
        <v>695</v>
      </c>
      <c r="B331">
        <v>1652321100</v>
      </c>
      <c r="C331" s="1" t="s">
        <v>673</v>
      </c>
      <c r="D331" t="s">
        <v>65</v>
      </c>
      <c r="E331" t="s">
        <v>66</v>
      </c>
      <c r="F331" t="s">
        <v>102</v>
      </c>
      <c r="G331" t="s">
        <v>68</v>
      </c>
      <c r="H331" t="s">
        <v>98</v>
      </c>
      <c r="I331">
        <f>MROUND(Table1[[#This Row],[ProbH]]*100,2)/100</f>
        <v>0.34</v>
      </c>
      <c r="J331">
        <f>1/Table1[[#This Row],[odds_ft_home_team_win]]-Table1[[#This Row],[Margin]]</f>
        <v>0.34318214004223835</v>
      </c>
      <c r="K331">
        <f>1/Table1[[#This Row],[odds_ft_draw]]-Table1[[#This Row],[Margin]]</f>
        <v>0.29233918699108341</v>
      </c>
      <c r="L331">
        <f>1/Table1[[#This Row],[odds_ft_away_team_win]]-Table1[[#This Row],[Margin]]</f>
        <v>0.36447867296667824</v>
      </c>
      <c r="M331" t="s">
        <v>66</v>
      </c>
      <c r="N331">
        <v>1.45</v>
      </c>
      <c r="O331">
        <v>1.72</v>
      </c>
      <c r="P331">
        <v>1.4</v>
      </c>
      <c r="Q331">
        <v>1.72</v>
      </c>
      <c r="R331" t="str" cm="1">
        <f t="array" ref="R3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1">
        <v>1</v>
      </c>
      <c r="T331">
        <v>1</v>
      </c>
      <c r="U331">
        <v>2</v>
      </c>
      <c r="V331">
        <v>0</v>
      </c>
      <c r="W331">
        <v>0</v>
      </c>
      <c r="X331">
        <v>0</v>
      </c>
      <c r="Y331">
        <v>55</v>
      </c>
      <c r="Z331">
        <v>80</v>
      </c>
      <c r="AA331">
        <v>7</v>
      </c>
      <c r="AB331">
        <v>4</v>
      </c>
      <c r="AC331">
        <v>7</v>
      </c>
      <c r="AD331">
        <v>0</v>
      </c>
      <c r="AE331">
        <v>2</v>
      </c>
      <c r="AF331">
        <v>0</v>
      </c>
      <c r="AG331">
        <v>2</v>
      </c>
      <c r="AH331">
        <v>5</v>
      </c>
      <c r="AI331">
        <v>1</v>
      </c>
      <c r="AJ331">
        <v>1</v>
      </c>
      <c r="AK331">
        <v>7</v>
      </c>
      <c r="AL331">
        <v>12</v>
      </c>
      <c r="AM331">
        <v>4</v>
      </c>
      <c r="AN331">
        <v>4</v>
      </c>
      <c r="AO331">
        <v>3</v>
      </c>
      <c r="AP331">
        <v>8</v>
      </c>
      <c r="AQ331">
        <v>16</v>
      </c>
      <c r="AR331">
        <v>13</v>
      </c>
      <c r="AS331">
        <v>51</v>
      </c>
      <c r="AT331">
        <v>49</v>
      </c>
      <c r="AU331">
        <v>1.22</v>
      </c>
      <c r="AV331">
        <v>1.49</v>
      </c>
      <c r="AW331">
        <v>2.23</v>
      </c>
      <c r="AX331">
        <v>50</v>
      </c>
      <c r="AY331">
        <v>73</v>
      </c>
      <c r="AZ331">
        <v>37</v>
      </c>
      <c r="BA331">
        <v>19</v>
      </c>
      <c r="BB331">
        <v>5</v>
      </c>
      <c r="BC331">
        <v>34</v>
      </c>
      <c r="BD331">
        <v>61</v>
      </c>
      <c r="BE331">
        <v>29</v>
      </c>
      <c r="BF331">
        <v>73</v>
      </c>
      <c r="BG331">
        <v>9.57</v>
      </c>
      <c r="BH331">
        <v>5.4</v>
      </c>
      <c r="BI331">
        <v>2.73</v>
      </c>
      <c r="BJ331">
        <v>3.17</v>
      </c>
      <c r="BK331">
        <v>2.58</v>
      </c>
      <c r="BL331">
        <f>(1/Table1[[#This Row],[odds_ft_home_team_win]]+1/Table1[[#This Row],[odds_ft_draw]]+1/Table1[[#This Row],[odds_ft_away_team_win]]-1)/3</f>
        <v>2.311822625812791E-2</v>
      </c>
      <c r="BM331">
        <v>1.32</v>
      </c>
      <c r="BN331">
        <v>2.0699999999999998</v>
      </c>
      <c r="BO331">
        <v>3.75</v>
      </c>
      <c r="BP331">
        <v>7.25</v>
      </c>
      <c r="BQ331">
        <v>1.76</v>
      </c>
      <c r="BR331">
        <v>1.95</v>
      </c>
      <c r="BS331" t="s">
        <v>124</v>
      </c>
      <c r="BT331">
        <f>VLOOKUP(Table1[[#This Row],[Reference]],metron,8,FALSE)</f>
        <v>1.3382439854569812</v>
      </c>
      <c r="BU331">
        <f>VLOOKUP(Table1[[#This Row],[Reference]],metron,9,FALSE)</f>
        <v>1.3740319615582339</v>
      </c>
      <c r="BV331">
        <f>VLOOKUP(Table1[[#This Row],[Reference]],metron,10,FALSE)</f>
        <v>2.5229727551184897</v>
      </c>
      <c r="BW331">
        <f>VLOOKUP(Table1[[#This Row],[Reference]],metron,11,FALSE)</f>
        <v>1.228921489601805</v>
      </c>
      <c r="BX331">
        <f>VLOOKUP(Table1[[#This Row],[Reference]],metron,12,FALSE)</f>
        <v>1.2940512655166849</v>
      </c>
      <c r="BY331" s="6">
        <f>VLOOKUP(Table1[[#This Row],[Reference]],metron,13,FALSE)</f>
        <v>0.53240890035472432</v>
      </c>
      <c r="BZ331" s="6">
        <f>VLOOKUP(Table1[[#This Row],[Reference]],metron,14,FALSE)</f>
        <v>0.56514027732989358</v>
      </c>
      <c r="CA331" s="6">
        <f>VLOOKUP(Table1[[#This Row],[Reference]],metron,15,FALSE)</f>
        <v>11.417888124439131</v>
      </c>
      <c r="CB331" s="6">
        <f>VLOOKUP(Table1[[#This Row],[Reference]],metron,16,FALSE)</f>
        <v>10.76308704756207</v>
      </c>
      <c r="CC331" s="6">
        <f>VLOOKUP(Table1[[#This Row],[Reference]],metron,17,FALSE)</f>
        <v>4.8317672021824798</v>
      </c>
      <c r="CD331" s="6">
        <f>VLOOKUP(Table1[[#This Row],[Reference]],metron,18,FALSE)</f>
        <v>4.6698999696877843</v>
      </c>
      <c r="CE331" s="6">
        <f>VLOOKUP(Table1[[#This Row],[Reference]],metron,19,FALSE)</f>
        <v>6.5861209222566508</v>
      </c>
      <c r="CF331" s="6">
        <f>VLOOKUP(Table1[[#This Row],[Reference]],metron,20,FALSE)</f>
        <v>6.093187077874286</v>
      </c>
      <c r="CG331" s="6">
        <f>VLOOKUP(Table1[[#This Row],[Reference]],metron,21,FALSE)</f>
        <v>12.685679611650491</v>
      </c>
      <c r="CH331" s="6">
        <f>VLOOKUP(Table1[[#This Row],[Reference]],metron,22,FALSE)</f>
        <v>13.02639563106796</v>
      </c>
      <c r="CI331" s="6">
        <f>VLOOKUP(Table1[[#This Row],[Reference]],metron,23,FALSE)</f>
        <v>1.6481211768132831</v>
      </c>
      <c r="CJ331" s="6">
        <f>VLOOKUP(Table1[[#This Row],[Reference]],metron,24,FALSE)</f>
        <v>1.8572676958928049</v>
      </c>
      <c r="CK331" s="6">
        <f>VLOOKUP(Table1[[#This Row],[Reference]],metron,25,FALSE)</f>
        <v>9.641712787649287E-2</v>
      </c>
      <c r="CL331" s="6">
        <f>VLOOKUP(Table1[[#This Row],[Reference]],metron,26,FALSE)</f>
        <v>0.11302068161957469</v>
      </c>
    </row>
    <row r="332" spans="1:90" hidden="1" x14ac:dyDescent="0.45">
      <c r="A332" t="s">
        <v>695</v>
      </c>
      <c r="B332">
        <v>1652400000</v>
      </c>
      <c r="C332" s="1" t="s">
        <v>674</v>
      </c>
      <c r="D332" t="s">
        <v>65</v>
      </c>
      <c r="E332" t="s">
        <v>66</v>
      </c>
      <c r="F332" t="s">
        <v>112</v>
      </c>
      <c r="G332" t="s">
        <v>107</v>
      </c>
      <c r="H332" t="s">
        <v>130</v>
      </c>
      <c r="I332">
        <f>MROUND(Table1[[#This Row],[ProbH]]*100,2)/100</f>
        <v>0.36</v>
      </c>
      <c r="J332">
        <f>1/Table1[[#This Row],[odds_ft_home_team_win]]-Table1[[#This Row],[Margin]]</f>
        <v>0.35809538516192374</v>
      </c>
      <c r="K332">
        <f>1/Table1[[#This Row],[odds_ft_draw]]-Table1[[#This Row],[Margin]]</f>
        <v>0.28659385298623424</v>
      </c>
      <c r="L332">
        <f>1/Table1[[#This Row],[odds_ft_away_team_win]]-Table1[[#This Row],[Margin]]</f>
        <v>0.35531076185184202</v>
      </c>
      <c r="M332" t="s">
        <v>66</v>
      </c>
      <c r="N332">
        <v>1.36</v>
      </c>
      <c r="O332">
        <v>1.76</v>
      </c>
      <c r="P332">
        <v>1.37</v>
      </c>
      <c r="Q332">
        <v>1.74</v>
      </c>
      <c r="R332" t="str" cm="1">
        <f t="array" ref="R3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32">
        <v>0</v>
      </c>
      <c r="T332">
        <v>1</v>
      </c>
      <c r="U332">
        <v>1</v>
      </c>
      <c r="V332">
        <v>1</v>
      </c>
      <c r="W332">
        <v>0</v>
      </c>
      <c r="X332">
        <v>1</v>
      </c>
      <c r="Z332">
        <v>44</v>
      </c>
      <c r="AA332">
        <v>1</v>
      </c>
      <c r="AB332">
        <v>3</v>
      </c>
      <c r="AC332">
        <v>5</v>
      </c>
      <c r="AD332">
        <v>0</v>
      </c>
      <c r="AE332">
        <v>2</v>
      </c>
      <c r="AF332">
        <v>1</v>
      </c>
      <c r="AG332">
        <v>1</v>
      </c>
      <c r="AH332">
        <v>4</v>
      </c>
      <c r="AI332">
        <v>0</v>
      </c>
      <c r="AJ332">
        <v>3</v>
      </c>
      <c r="AK332">
        <v>11</v>
      </c>
      <c r="AL332">
        <v>11</v>
      </c>
      <c r="AM332">
        <v>3</v>
      </c>
      <c r="AN332">
        <v>6</v>
      </c>
      <c r="AO332">
        <v>8</v>
      </c>
      <c r="AP332">
        <v>5</v>
      </c>
      <c r="AQ332">
        <v>1</v>
      </c>
      <c r="AR332">
        <v>0</v>
      </c>
      <c r="AS332">
        <v>54</v>
      </c>
      <c r="AT332">
        <v>46</v>
      </c>
      <c r="AU332">
        <v>1.18</v>
      </c>
      <c r="AV332">
        <v>1.34</v>
      </c>
      <c r="AW332">
        <v>2.46</v>
      </c>
      <c r="AX332">
        <v>55</v>
      </c>
      <c r="AY332">
        <v>77</v>
      </c>
      <c r="AZ332">
        <v>46</v>
      </c>
      <c r="BA332">
        <v>18</v>
      </c>
      <c r="BB332">
        <v>7</v>
      </c>
      <c r="BC332">
        <v>33</v>
      </c>
      <c r="BD332">
        <v>71</v>
      </c>
      <c r="BE332">
        <v>39</v>
      </c>
      <c r="BF332">
        <v>76</v>
      </c>
      <c r="BG332">
        <v>9.81</v>
      </c>
      <c r="BH332">
        <v>4.8499999999999996</v>
      </c>
      <c r="BI332">
        <v>2.67</v>
      </c>
      <c r="BJ332">
        <v>3.3</v>
      </c>
      <c r="BK332">
        <v>2.69</v>
      </c>
      <c r="BL332">
        <f>(1/Table1[[#This Row],[odds_ft_home_team_win]]+1/Table1[[#This Row],[odds_ft_draw]]+1/Table1[[#This Row],[odds_ft_away_team_win]]-1)/3</f>
        <v>1.6436450044068796E-2</v>
      </c>
      <c r="BM332">
        <v>1.53</v>
      </c>
      <c r="BN332">
        <v>2.17</v>
      </c>
      <c r="BO332">
        <v>4.0999999999999996</v>
      </c>
      <c r="BP332">
        <v>9</v>
      </c>
      <c r="BQ332">
        <v>1.8</v>
      </c>
      <c r="BR332">
        <v>1.9</v>
      </c>
      <c r="BS332" t="s">
        <v>116</v>
      </c>
      <c r="BT332">
        <f>VLOOKUP(Table1[[#This Row],[Reference]],metron,8,FALSE)</f>
        <v>1.4023864615972674</v>
      </c>
      <c r="BU332">
        <f>VLOOKUP(Table1[[#This Row],[Reference]],metron,9,FALSE)</f>
        <v>1.3093265904245279</v>
      </c>
      <c r="BV332">
        <f>VLOOKUP(Table1[[#This Row],[Reference]],metron,10,FALSE)</f>
        <v>2.5110350525197691</v>
      </c>
      <c r="BW332">
        <f>VLOOKUP(Table1[[#This Row],[Reference]],metron,11,FALSE)</f>
        <v>1.269326094653606</v>
      </c>
      <c r="BX332">
        <f>VLOOKUP(Table1[[#This Row],[Reference]],metron,12,FALSE)</f>
        <v>1.2417089578661631</v>
      </c>
      <c r="BY332" s="6">
        <f>VLOOKUP(Table1[[#This Row],[Reference]],metron,13,FALSE)</f>
        <v>0.56586402266288949</v>
      </c>
      <c r="BZ332" s="6">
        <f>VLOOKUP(Table1[[#This Row],[Reference]],metron,14,FALSE)</f>
        <v>0.55158168083097259</v>
      </c>
      <c r="CA332" s="6">
        <f>VLOOKUP(Table1[[#This Row],[Reference]],metron,15,FALSE)</f>
        <v>11.49400826446281</v>
      </c>
      <c r="CB332" s="6">
        <f>VLOOKUP(Table1[[#This Row],[Reference]],metron,16,FALSE)</f>
        <v>10.507231404958681</v>
      </c>
      <c r="CC332" s="6">
        <f>VLOOKUP(Table1[[#This Row],[Reference]],metron,17,FALSE)</f>
        <v>4.9238790406673623</v>
      </c>
      <c r="CD332" s="6">
        <f>VLOOKUP(Table1[[#This Row],[Reference]],metron,18,FALSE)</f>
        <v>4.6296141814389991</v>
      </c>
      <c r="CE332" s="6">
        <f>VLOOKUP(Table1[[#This Row],[Reference]],metron,19,FALSE)</f>
        <v>6.5701292237954476</v>
      </c>
      <c r="CF332" s="6">
        <f>VLOOKUP(Table1[[#This Row],[Reference]],metron,20,FALSE)</f>
        <v>5.8776172235196817</v>
      </c>
      <c r="CG332" s="6">
        <f>VLOOKUP(Table1[[#This Row],[Reference]],metron,21,FALSE)</f>
        <v>12.798739495798319</v>
      </c>
      <c r="CH332" s="6">
        <f>VLOOKUP(Table1[[#This Row],[Reference]],metron,22,FALSE)</f>
        <v>12.98844537815126</v>
      </c>
      <c r="CI332" s="6">
        <f>VLOOKUP(Table1[[#This Row],[Reference]],metron,23,FALSE)</f>
        <v>1.604928297313674</v>
      </c>
      <c r="CJ332" s="6">
        <f>VLOOKUP(Table1[[#This Row],[Reference]],metron,24,FALSE)</f>
        <v>1.791961219955565</v>
      </c>
      <c r="CK332" s="6">
        <f>VLOOKUP(Table1[[#This Row],[Reference]],metron,25,FALSE)</f>
        <v>8.887093516461321E-2</v>
      </c>
      <c r="CL332" s="6">
        <f>VLOOKUP(Table1[[#This Row],[Reference]],metron,26,FALSE)</f>
        <v>0.11694607150070691</v>
      </c>
    </row>
    <row r="333" spans="1:90" hidden="1" x14ac:dyDescent="0.45">
      <c r="A333" t="s">
        <v>695</v>
      </c>
      <c r="B333">
        <v>1652407500</v>
      </c>
      <c r="C333" s="1" t="s">
        <v>675</v>
      </c>
      <c r="D333" t="s">
        <v>65</v>
      </c>
      <c r="E333" t="s">
        <v>66</v>
      </c>
      <c r="F333" t="s">
        <v>90</v>
      </c>
      <c r="G333" t="s">
        <v>97</v>
      </c>
      <c r="H333" t="s">
        <v>74</v>
      </c>
      <c r="I333">
        <f>MROUND(Table1[[#This Row],[ProbH]]*100,2)/100</f>
        <v>0.44</v>
      </c>
      <c r="J333">
        <f>1/Table1[[#This Row],[odds_ft_home_team_win]]-Table1[[#This Row],[Margin]]</f>
        <v>0.43699844637064</v>
      </c>
      <c r="K333">
        <f>1/Table1[[#This Row],[odds_ft_draw]]-Table1[[#This Row],[Margin]]</f>
        <v>0.25980070212605083</v>
      </c>
      <c r="L333">
        <f>1/Table1[[#This Row],[odds_ft_away_team_win]]-Table1[[#This Row],[Margin]]</f>
        <v>0.30320085150330917</v>
      </c>
      <c r="M333" t="s">
        <v>66</v>
      </c>
      <c r="N333">
        <v>1.44</v>
      </c>
      <c r="O333">
        <v>1.6</v>
      </c>
      <c r="P333">
        <v>1.39</v>
      </c>
      <c r="Q333">
        <v>1.61</v>
      </c>
      <c r="R333" t="str" cm="1">
        <f t="array" ref="R3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33">
        <v>1</v>
      </c>
      <c r="T333">
        <v>2</v>
      </c>
      <c r="U333">
        <v>3</v>
      </c>
      <c r="V333">
        <v>2</v>
      </c>
      <c r="W333">
        <v>0</v>
      </c>
      <c r="X333">
        <v>2</v>
      </c>
      <c r="Y333">
        <v>54</v>
      </c>
      <c r="Z333" t="s">
        <v>676</v>
      </c>
      <c r="AA333">
        <v>5</v>
      </c>
      <c r="AB333">
        <v>3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12</v>
      </c>
      <c r="AL333">
        <v>9</v>
      </c>
      <c r="AM333">
        <v>6</v>
      </c>
      <c r="AN333">
        <v>6</v>
      </c>
      <c r="AO333">
        <v>6</v>
      </c>
      <c r="AP333">
        <v>3</v>
      </c>
      <c r="AQ333">
        <v>8</v>
      </c>
      <c r="AR333">
        <v>16</v>
      </c>
      <c r="AS333">
        <v>60</v>
      </c>
      <c r="AT333">
        <v>40</v>
      </c>
      <c r="AU333">
        <v>1.38</v>
      </c>
      <c r="AV333">
        <v>1.26</v>
      </c>
      <c r="AW333">
        <v>2.0699999999999998</v>
      </c>
      <c r="AX333">
        <v>46</v>
      </c>
      <c r="AY333">
        <v>60</v>
      </c>
      <c r="AZ333">
        <v>35</v>
      </c>
      <c r="BA333">
        <v>17</v>
      </c>
      <c r="BB333">
        <v>7</v>
      </c>
      <c r="BC333">
        <v>27</v>
      </c>
      <c r="BD333">
        <v>58</v>
      </c>
      <c r="BE333">
        <v>39</v>
      </c>
      <c r="BF333">
        <v>70</v>
      </c>
      <c r="BG333">
        <v>8.9600000000000009</v>
      </c>
      <c r="BH333">
        <v>5.01</v>
      </c>
      <c r="BI333">
        <v>2.11</v>
      </c>
      <c r="BJ333">
        <v>3.37</v>
      </c>
      <c r="BK333">
        <v>2.94</v>
      </c>
      <c r="BL333">
        <f>(1/Table1[[#This Row],[odds_ft_home_team_win]]+1/Table1[[#This Row],[odds_ft_draw]]+1/Table1[[#This Row],[odds_ft_away_team_win]]-1)/3</f>
        <v>3.6935202918459531E-2</v>
      </c>
      <c r="BM333">
        <v>1.53</v>
      </c>
      <c r="BN333">
        <v>1.88</v>
      </c>
      <c r="BO333">
        <v>3.25</v>
      </c>
      <c r="BP333">
        <v>6.25</v>
      </c>
      <c r="BQ333">
        <v>1.8</v>
      </c>
      <c r="BR333">
        <v>1.95</v>
      </c>
      <c r="BS333" t="s">
        <v>94</v>
      </c>
      <c r="BT333">
        <f>VLOOKUP(Table1[[#This Row],[Reference]],metron,8,FALSE)</f>
        <v>1.6395459745305552</v>
      </c>
      <c r="BU333">
        <f>VLOOKUP(Table1[[#This Row],[Reference]],metron,9,FALSE)</f>
        <v>1.0758429359324786</v>
      </c>
      <c r="BV333">
        <f>VLOOKUP(Table1[[#This Row],[Reference]],metron,10,FALSE)</f>
        <v>2.4807646356033461</v>
      </c>
      <c r="BW333">
        <f>VLOOKUP(Table1[[#This Row],[Reference]],metron,11,FALSE)</f>
        <v>1.4140979689366791</v>
      </c>
      <c r="BX333">
        <f>VLOOKUP(Table1[[#This Row],[Reference]],metron,12,FALSE)</f>
        <v>1.0666666666666671</v>
      </c>
      <c r="BY333" s="6">
        <f>VLOOKUP(Table1[[#This Row],[Reference]],metron,13,FALSE)</f>
        <v>0.62712066905615294</v>
      </c>
      <c r="BZ333" s="6">
        <f>VLOOKUP(Table1[[#This Row],[Reference]],metron,14,FALSE)</f>
        <v>0.46009557945041818</v>
      </c>
      <c r="CA333" s="6">
        <f>VLOOKUP(Table1[[#This Row],[Reference]],metron,15,FALSE)</f>
        <v>12.56969280146722</v>
      </c>
      <c r="CB333" s="6">
        <f>VLOOKUP(Table1[[#This Row],[Reference]],metron,16,FALSE)</f>
        <v>9.8695552498853729</v>
      </c>
      <c r="CC333" s="6">
        <f>VLOOKUP(Table1[[#This Row],[Reference]],metron,17,FALSE)</f>
        <v>5.2754256787850897</v>
      </c>
      <c r="CD333" s="6">
        <f>VLOOKUP(Table1[[#This Row],[Reference]],metron,18,FALSE)</f>
        <v>4.1279337321675103</v>
      </c>
      <c r="CE333" s="6">
        <f>VLOOKUP(Table1[[#This Row],[Reference]],metron,19,FALSE)</f>
        <v>7.2942671226821298</v>
      </c>
      <c r="CF333" s="6">
        <f>VLOOKUP(Table1[[#This Row],[Reference]],metron,20,FALSE)</f>
        <v>5.7416215177178627</v>
      </c>
      <c r="CG333" s="6">
        <f>VLOOKUP(Table1[[#This Row],[Reference]],metron,21,FALSE)</f>
        <v>12.897246007868549</v>
      </c>
      <c r="CH333" s="6">
        <f>VLOOKUP(Table1[[#This Row],[Reference]],metron,22,FALSE)</f>
        <v>13.507058551261281</v>
      </c>
      <c r="CI333" s="6">
        <f>VLOOKUP(Table1[[#This Row],[Reference]],metron,23,FALSE)</f>
        <v>1.576522702104098</v>
      </c>
      <c r="CJ333" s="6">
        <f>VLOOKUP(Table1[[#This Row],[Reference]],metron,24,FALSE)</f>
        <v>1.917165005537099</v>
      </c>
      <c r="CK333" s="6">
        <f>VLOOKUP(Table1[[#This Row],[Reference]],metron,25,FALSE)</f>
        <v>8.4385382059800659E-2</v>
      </c>
      <c r="CL333" s="6">
        <f>VLOOKUP(Table1[[#This Row],[Reference]],metron,26,FALSE)</f>
        <v>0.1233665559246955</v>
      </c>
    </row>
    <row r="334" spans="1:90" hidden="1" x14ac:dyDescent="0.45">
      <c r="A334" t="s">
        <v>695</v>
      </c>
      <c r="B334">
        <v>1652569200</v>
      </c>
      <c r="C334" s="1" t="s">
        <v>677</v>
      </c>
      <c r="D334" t="s">
        <v>65</v>
      </c>
      <c r="E334" t="s">
        <v>66</v>
      </c>
      <c r="F334" t="s">
        <v>68</v>
      </c>
      <c r="G334" t="s">
        <v>102</v>
      </c>
      <c r="H334" t="s">
        <v>122</v>
      </c>
      <c r="I334">
        <f>MROUND(Table1[[#This Row],[ProbH]]*100,2)/100</f>
        <v>0.6</v>
      </c>
      <c r="J334">
        <f>1/Table1[[#This Row],[odds_ft_home_team_win]]-Table1[[#This Row],[Margin]]</f>
        <v>0.6098587066329002</v>
      </c>
      <c r="K334">
        <f>1/Table1[[#This Row],[odds_ft_draw]]-Table1[[#This Row],[Margin]]</f>
        <v>0.23496768658058978</v>
      </c>
      <c r="L334">
        <f>1/Table1[[#This Row],[odds_ft_away_team_win]]-Table1[[#This Row],[Margin]]</f>
        <v>0.15517360678651002</v>
      </c>
      <c r="M334" t="s">
        <v>66</v>
      </c>
      <c r="N334">
        <v>1.7</v>
      </c>
      <c r="O334">
        <v>1.44</v>
      </c>
      <c r="P334">
        <v>1.72</v>
      </c>
      <c r="Q334">
        <v>1.4</v>
      </c>
      <c r="R334" t="str" cm="1">
        <f t="array" ref="R3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4">
        <v>3</v>
      </c>
      <c r="T334">
        <v>2</v>
      </c>
      <c r="U334">
        <v>5</v>
      </c>
      <c r="V334">
        <v>2</v>
      </c>
      <c r="W334">
        <v>1</v>
      </c>
      <c r="X334">
        <v>1</v>
      </c>
      <c r="Y334" t="s">
        <v>678</v>
      </c>
      <c r="Z334" t="s">
        <v>679</v>
      </c>
      <c r="AA334">
        <v>8</v>
      </c>
      <c r="AB334">
        <v>7</v>
      </c>
      <c r="AC334">
        <v>1</v>
      </c>
      <c r="AD334">
        <v>0</v>
      </c>
      <c r="AE334">
        <v>4</v>
      </c>
      <c r="AF334">
        <v>0</v>
      </c>
      <c r="AG334">
        <v>1</v>
      </c>
      <c r="AH334">
        <v>0</v>
      </c>
      <c r="AI334">
        <v>2</v>
      </c>
      <c r="AJ334">
        <v>2</v>
      </c>
      <c r="AK334">
        <v>19</v>
      </c>
      <c r="AL334">
        <v>15</v>
      </c>
      <c r="AM334">
        <v>7</v>
      </c>
      <c r="AN334">
        <v>7</v>
      </c>
      <c r="AO334">
        <v>12</v>
      </c>
      <c r="AP334">
        <v>8</v>
      </c>
      <c r="AQ334">
        <v>10</v>
      </c>
      <c r="AR334">
        <v>16</v>
      </c>
      <c r="AS334">
        <v>43</v>
      </c>
      <c r="AT334">
        <v>57</v>
      </c>
      <c r="AU334">
        <v>1.99</v>
      </c>
      <c r="AV334">
        <v>1.74</v>
      </c>
      <c r="AW334">
        <v>2.2200000000000002</v>
      </c>
      <c r="AX334">
        <v>51</v>
      </c>
      <c r="AY334">
        <v>74</v>
      </c>
      <c r="AZ334">
        <v>36</v>
      </c>
      <c r="BA334">
        <v>19</v>
      </c>
      <c r="BB334">
        <v>4</v>
      </c>
      <c r="BC334">
        <v>33</v>
      </c>
      <c r="BD334">
        <v>59</v>
      </c>
      <c r="BE334">
        <v>32</v>
      </c>
      <c r="BF334">
        <v>74</v>
      </c>
      <c r="BG334">
        <v>9.61</v>
      </c>
      <c r="BH334">
        <v>5.5</v>
      </c>
      <c r="BI334">
        <v>1.55</v>
      </c>
      <c r="BJ334">
        <v>3.7</v>
      </c>
      <c r="BK334">
        <v>5.25</v>
      </c>
      <c r="BL334">
        <f>(1/Table1[[#This Row],[odds_ft_home_team_win]]+1/Table1[[#This Row],[odds_ft_draw]]+1/Table1[[#This Row],[odds_ft_away_team_win]]-1)/3</f>
        <v>3.5302583689680457E-2</v>
      </c>
      <c r="BM334">
        <v>1.25</v>
      </c>
      <c r="BN334">
        <v>1.91</v>
      </c>
      <c r="BO334">
        <v>3.15</v>
      </c>
      <c r="BP334">
        <v>6</v>
      </c>
      <c r="BQ334">
        <v>1.83</v>
      </c>
      <c r="BR334">
        <v>1.76</v>
      </c>
      <c r="BS334" t="s">
        <v>116</v>
      </c>
      <c r="BT334">
        <f>VLOOKUP(Table1[[#This Row],[Reference]],metron,8,FALSE)</f>
        <v>2.0749792289385525</v>
      </c>
      <c r="BU334">
        <f>VLOOKUP(Table1[[#This Row],[Reference]],metron,9,FALSE)</f>
        <v>0.68220664089703831</v>
      </c>
      <c r="BV334">
        <f>VLOOKUP(Table1[[#This Row],[Reference]],metron,10,FALSE)</f>
        <v>2.7310090702947849</v>
      </c>
      <c r="BW334">
        <f>VLOOKUP(Table1[[#This Row],[Reference]],metron,11,FALSE)</f>
        <v>1.841836734693878</v>
      </c>
      <c r="BX334">
        <f>VLOOKUP(Table1[[#This Row],[Reference]],metron,12,FALSE)</f>
        <v>0.88917233560090703</v>
      </c>
      <c r="BY334" s="6">
        <f>VLOOKUP(Table1[[#This Row],[Reference]],metron,13,FALSE)</f>
        <v>0.804822695035461</v>
      </c>
      <c r="BZ334" s="6">
        <f>VLOOKUP(Table1[[#This Row],[Reference]],metron,14,FALSE)</f>
        <v>0.38099290780141842</v>
      </c>
      <c r="CA334" s="6">
        <f>VLOOKUP(Table1[[#This Row],[Reference]],metron,15,FALSE)</f>
        <v>14.25174825174825</v>
      </c>
      <c r="CB334" s="6">
        <f>VLOOKUP(Table1[[#This Row],[Reference]],metron,16,FALSE)</f>
        <v>8.8316683316683324</v>
      </c>
      <c r="CC334" s="6">
        <f>VLOOKUP(Table1[[#This Row],[Reference]],metron,17,FALSE)</f>
        <v>6.2901265822784813</v>
      </c>
      <c r="CD334" s="6">
        <f>VLOOKUP(Table1[[#This Row],[Reference]],metron,18,FALSE)</f>
        <v>3.6162025316455702</v>
      </c>
      <c r="CE334" s="6">
        <f>VLOOKUP(Table1[[#This Row],[Reference]],metron,19,FALSE)</f>
        <v>7.9616216694697686</v>
      </c>
      <c r="CF334" s="6">
        <f>VLOOKUP(Table1[[#This Row],[Reference]],metron,20,FALSE)</f>
        <v>5.2154658000227627</v>
      </c>
      <c r="CG334" s="6">
        <f>VLOOKUP(Table1[[#This Row],[Reference]],metron,21,FALSE)</f>
        <v>12.444895886236671</v>
      </c>
      <c r="CH334" s="6">
        <f>VLOOKUP(Table1[[#This Row],[Reference]],metron,22,FALSE)</f>
        <v>13.620619603859829</v>
      </c>
      <c r="CI334" s="6">
        <f>VLOOKUP(Table1[[#This Row],[Reference]],metron,23,FALSE)</f>
        <v>1.406084017382907</v>
      </c>
      <c r="CJ334" s="6">
        <f>VLOOKUP(Table1[[#This Row],[Reference]],metron,24,FALSE)</f>
        <v>2.070980202800579</v>
      </c>
      <c r="CK334" s="6">
        <f>VLOOKUP(Table1[[#This Row],[Reference]],metron,25,FALSE)</f>
        <v>6.1323032351521013E-2</v>
      </c>
      <c r="CL334" s="6">
        <f>VLOOKUP(Table1[[#This Row],[Reference]],metron,26,FALSE)</f>
        <v>0.1313375181071946</v>
      </c>
    </row>
    <row r="335" spans="1:90" hidden="1" x14ac:dyDescent="0.45">
      <c r="A335" t="s">
        <v>695</v>
      </c>
      <c r="B335">
        <v>1652576700</v>
      </c>
      <c r="C335" s="1" t="s">
        <v>680</v>
      </c>
      <c r="D335" t="s">
        <v>65</v>
      </c>
      <c r="E335" t="s">
        <v>66</v>
      </c>
      <c r="F335" t="s">
        <v>84</v>
      </c>
      <c r="G335" t="s">
        <v>91</v>
      </c>
      <c r="H335" t="s">
        <v>69</v>
      </c>
      <c r="I335">
        <f>MROUND(Table1[[#This Row],[ProbH]]*100,2)/100</f>
        <v>0.6</v>
      </c>
      <c r="J335">
        <f>1/Table1[[#This Row],[odds_ft_home_team_win]]-Table1[[#This Row],[Margin]]</f>
        <v>0.60120502668273368</v>
      </c>
      <c r="K335">
        <f>1/Table1[[#This Row],[odds_ft_draw]]-Table1[[#This Row],[Margin]]</f>
        <v>0.23453262179376827</v>
      </c>
      <c r="L335">
        <f>1/Table1[[#This Row],[odds_ft_away_team_win]]-Table1[[#This Row],[Margin]]</f>
        <v>0.16426235152349805</v>
      </c>
      <c r="M335" t="s">
        <v>66</v>
      </c>
      <c r="N335">
        <v>1.63</v>
      </c>
      <c r="O335">
        <v>1.22</v>
      </c>
      <c r="P335">
        <v>1.65</v>
      </c>
      <c r="Q335">
        <v>1.18</v>
      </c>
      <c r="R335" t="str" cm="1">
        <f t="array" ref="R3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5">
        <v>3</v>
      </c>
      <c r="T335">
        <v>2</v>
      </c>
      <c r="U335">
        <v>5</v>
      </c>
      <c r="V335">
        <v>0</v>
      </c>
      <c r="W335">
        <v>0</v>
      </c>
      <c r="X335">
        <v>0</v>
      </c>
      <c r="Y335" t="s">
        <v>681</v>
      </c>
      <c r="Z335" t="s">
        <v>682</v>
      </c>
      <c r="AA335">
        <v>5</v>
      </c>
      <c r="AB335">
        <v>6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13</v>
      </c>
      <c r="AL335">
        <v>12</v>
      </c>
      <c r="AM335">
        <v>6</v>
      </c>
      <c r="AN335">
        <v>4</v>
      </c>
      <c r="AO335">
        <v>7</v>
      </c>
      <c r="AP335">
        <v>8</v>
      </c>
      <c r="AQ335">
        <v>12</v>
      </c>
      <c r="AR335">
        <v>10</v>
      </c>
      <c r="AS335">
        <v>49</v>
      </c>
      <c r="AT335">
        <v>51</v>
      </c>
      <c r="AU335">
        <v>1.6</v>
      </c>
      <c r="AV335">
        <v>1.33</v>
      </c>
      <c r="AW335">
        <v>2.56</v>
      </c>
      <c r="AX335">
        <v>54</v>
      </c>
      <c r="AY335">
        <v>74</v>
      </c>
      <c r="AZ335">
        <v>50</v>
      </c>
      <c r="BA335">
        <v>28</v>
      </c>
      <c r="BB335">
        <v>7</v>
      </c>
      <c r="BC335">
        <v>31</v>
      </c>
      <c r="BD335">
        <v>68</v>
      </c>
      <c r="BE335">
        <v>42</v>
      </c>
      <c r="BF335">
        <v>79</v>
      </c>
      <c r="BG335">
        <v>9.3800000000000008</v>
      </c>
      <c r="BH335">
        <v>4.66</v>
      </c>
      <c r="BI335">
        <v>1.57</v>
      </c>
      <c r="BJ335">
        <v>3.7</v>
      </c>
      <c r="BK335">
        <v>5</v>
      </c>
      <c r="BL335">
        <f>(1/Table1[[#This Row],[odds_ft_home_team_win]]+1/Table1[[#This Row],[odds_ft_draw]]+1/Table1[[#This Row],[odds_ft_away_team_win]]-1)/3</f>
        <v>3.573764847650196E-2</v>
      </c>
      <c r="BM335">
        <v>1.25</v>
      </c>
      <c r="BN335">
        <v>1.88</v>
      </c>
      <c r="BO335">
        <v>3</v>
      </c>
      <c r="BP335">
        <v>5.75</v>
      </c>
      <c r="BQ335">
        <v>1.8</v>
      </c>
      <c r="BR335">
        <v>1.8</v>
      </c>
      <c r="BS335" t="s">
        <v>88</v>
      </c>
      <c r="BT335">
        <f>VLOOKUP(Table1[[#This Row],[Reference]],metron,8,FALSE)</f>
        <v>2.0749792289385525</v>
      </c>
      <c r="BU335">
        <f>VLOOKUP(Table1[[#This Row],[Reference]],metron,9,FALSE)</f>
        <v>0.68220664089703831</v>
      </c>
      <c r="BV335">
        <f>VLOOKUP(Table1[[#This Row],[Reference]],metron,10,FALSE)</f>
        <v>2.7310090702947849</v>
      </c>
      <c r="BW335">
        <f>VLOOKUP(Table1[[#This Row],[Reference]],metron,11,FALSE)</f>
        <v>1.841836734693878</v>
      </c>
      <c r="BX335">
        <f>VLOOKUP(Table1[[#This Row],[Reference]],metron,12,FALSE)</f>
        <v>0.88917233560090703</v>
      </c>
      <c r="BY335" s="6">
        <f>VLOOKUP(Table1[[#This Row],[Reference]],metron,13,FALSE)</f>
        <v>0.804822695035461</v>
      </c>
      <c r="BZ335" s="6">
        <f>VLOOKUP(Table1[[#This Row],[Reference]],metron,14,FALSE)</f>
        <v>0.38099290780141842</v>
      </c>
      <c r="CA335" s="6">
        <f>VLOOKUP(Table1[[#This Row],[Reference]],metron,15,FALSE)</f>
        <v>14.25174825174825</v>
      </c>
      <c r="CB335" s="6">
        <f>VLOOKUP(Table1[[#This Row],[Reference]],metron,16,FALSE)</f>
        <v>8.8316683316683324</v>
      </c>
      <c r="CC335" s="6">
        <f>VLOOKUP(Table1[[#This Row],[Reference]],metron,17,FALSE)</f>
        <v>6.2901265822784813</v>
      </c>
      <c r="CD335" s="6">
        <f>VLOOKUP(Table1[[#This Row],[Reference]],metron,18,FALSE)</f>
        <v>3.6162025316455702</v>
      </c>
      <c r="CE335" s="6">
        <f>VLOOKUP(Table1[[#This Row],[Reference]],metron,19,FALSE)</f>
        <v>7.9616216694697686</v>
      </c>
      <c r="CF335" s="6">
        <f>VLOOKUP(Table1[[#This Row],[Reference]],metron,20,FALSE)</f>
        <v>5.2154658000227627</v>
      </c>
      <c r="CG335" s="6">
        <f>VLOOKUP(Table1[[#This Row],[Reference]],metron,21,FALSE)</f>
        <v>12.444895886236671</v>
      </c>
      <c r="CH335" s="6">
        <f>VLOOKUP(Table1[[#This Row],[Reference]],metron,22,FALSE)</f>
        <v>13.620619603859829</v>
      </c>
      <c r="CI335" s="6">
        <f>VLOOKUP(Table1[[#This Row],[Reference]],metron,23,FALSE)</f>
        <v>1.406084017382907</v>
      </c>
      <c r="CJ335" s="6">
        <f>VLOOKUP(Table1[[#This Row],[Reference]],metron,24,FALSE)</f>
        <v>2.070980202800579</v>
      </c>
      <c r="CK335" s="6">
        <f>VLOOKUP(Table1[[#This Row],[Reference]],metron,25,FALSE)</f>
        <v>6.1323032351521013E-2</v>
      </c>
      <c r="CL335" s="6">
        <f>VLOOKUP(Table1[[#This Row],[Reference]],metron,26,FALSE)</f>
        <v>0.1313375181071946</v>
      </c>
    </row>
    <row r="336" spans="1:90" hidden="1" x14ac:dyDescent="0.45">
      <c r="A336" t="s">
        <v>695</v>
      </c>
      <c r="B336">
        <v>1652655600</v>
      </c>
      <c r="C336" s="1" t="s">
        <v>683</v>
      </c>
      <c r="D336" t="s">
        <v>65</v>
      </c>
      <c r="E336" t="s">
        <v>66</v>
      </c>
      <c r="F336" t="s">
        <v>97</v>
      </c>
      <c r="G336" t="s">
        <v>90</v>
      </c>
      <c r="H336" t="s">
        <v>130</v>
      </c>
      <c r="I336">
        <f>MROUND(Table1[[#This Row],[ProbH]]*100,2)/100</f>
        <v>0.48</v>
      </c>
      <c r="J336">
        <f>1/Table1[[#This Row],[odds_ft_home_team_win]]-Table1[[#This Row],[Margin]]</f>
        <v>0.48181447403646277</v>
      </c>
      <c r="K336">
        <f>1/Table1[[#This Row],[odds_ft_draw]]-Table1[[#This Row],[Margin]]</f>
        <v>0.26750142390251702</v>
      </c>
      <c r="L336">
        <f>1/Table1[[#This Row],[odds_ft_away_team_win]]-Table1[[#This Row],[Margin]]</f>
        <v>0.25068410206102032</v>
      </c>
      <c r="M336" t="s">
        <v>66</v>
      </c>
      <c r="N336">
        <v>1.63</v>
      </c>
      <c r="O336">
        <v>1.41</v>
      </c>
      <c r="P336">
        <v>1.61</v>
      </c>
      <c r="Q336">
        <v>1.39</v>
      </c>
      <c r="R336" t="str" cm="1">
        <f t="array" ref="R3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6">
        <v>1</v>
      </c>
      <c r="T336">
        <v>1</v>
      </c>
      <c r="U336">
        <v>2</v>
      </c>
      <c r="V336">
        <v>1</v>
      </c>
      <c r="W336">
        <v>1</v>
      </c>
      <c r="X336">
        <v>0</v>
      </c>
      <c r="Y336" t="s">
        <v>172</v>
      </c>
      <c r="Z336">
        <v>89</v>
      </c>
      <c r="AA336">
        <v>1</v>
      </c>
      <c r="AB336">
        <v>1</v>
      </c>
      <c r="AC336">
        <v>5</v>
      </c>
      <c r="AD336">
        <v>1</v>
      </c>
      <c r="AE336">
        <v>1</v>
      </c>
      <c r="AF336">
        <v>0</v>
      </c>
      <c r="AG336">
        <v>3</v>
      </c>
      <c r="AH336">
        <v>3</v>
      </c>
      <c r="AI336">
        <v>1</v>
      </c>
      <c r="AJ336">
        <v>0</v>
      </c>
      <c r="AK336">
        <v>10</v>
      </c>
      <c r="AL336">
        <v>20</v>
      </c>
      <c r="AM336">
        <v>2</v>
      </c>
      <c r="AN336">
        <v>5</v>
      </c>
      <c r="AO336">
        <v>8</v>
      </c>
      <c r="AP336">
        <v>15</v>
      </c>
      <c r="AQ336">
        <v>18</v>
      </c>
      <c r="AR336">
        <v>5</v>
      </c>
      <c r="AS336">
        <v>39</v>
      </c>
      <c r="AT336">
        <v>61</v>
      </c>
      <c r="AU336">
        <v>0.98</v>
      </c>
      <c r="AV336">
        <v>2</v>
      </c>
      <c r="AW336">
        <v>2.09</v>
      </c>
      <c r="AX336">
        <v>47</v>
      </c>
      <c r="AY336">
        <v>61</v>
      </c>
      <c r="AZ336">
        <v>37</v>
      </c>
      <c r="BA336">
        <v>16</v>
      </c>
      <c r="BB336">
        <v>6</v>
      </c>
      <c r="BC336">
        <v>29</v>
      </c>
      <c r="BD336">
        <v>59</v>
      </c>
      <c r="BE336">
        <v>38</v>
      </c>
      <c r="BF336">
        <v>71</v>
      </c>
      <c r="BG336">
        <v>8.93</v>
      </c>
      <c r="BH336">
        <v>4.9000000000000004</v>
      </c>
      <c r="BI336">
        <v>1.95</v>
      </c>
      <c r="BJ336">
        <v>3.35</v>
      </c>
      <c r="BK336">
        <v>3.55</v>
      </c>
      <c r="BL336">
        <f>(1/Table1[[#This Row],[odds_ft_home_team_win]]+1/Table1[[#This Row],[odds_ft_draw]]+1/Table1[[#This Row],[odds_ft_away_team_win]]-1)/3</f>
        <v>3.1006038784050133E-2</v>
      </c>
      <c r="BM336">
        <v>1.43</v>
      </c>
      <c r="BN336">
        <v>2.27</v>
      </c>
      <c r="BO336">
        <v>4.28</v>
      </c>
      <c r="BP336">
        <v>8.35</v>
      </c>
      <c r="BQ336">
        <v>2.0499999999999998</v>
      </c>
      <c r="BR336">
        <v>1.7</v>
      </c>
      <c r="BS336" t="s">
        <v>136</v>
      </c>
      <c r="BT336">
        <f>VLOOKUP(Table1[[#This Row],[Reference]],metron,8,FALSE)</f>
        <v>1.743992017160418</v>
      </c>
      <c r="BU336">
        <f>VLOOKUP(Table1[[#This Row],[Reference]],metron,9,FALSE)</f>
        <v>0.97803937284245479</v>
      </c>
      <c r="BV336">
        <f>VLOOKUP(Table1[[#This Row],[Reference]],metron,10,FALSE)</f>
        <v>2.5271929824561399</v>
      </c>
      <c r="BW336">
        <f>VLOOKUP(Table1[[#This Row],[Reference]],metron,11,FALSE)</f>
        <v>1.510877192982456</v>
      </c>
      <c r="BX336">
        <f>VLOOKUP(Table1[[#This Row],[Reference]],metron,12,FALSE)</f>
        <v>1.0163157894736841</v>
      </c>
      <c r="BY336" s="6">
        <f>VLOOKUP(Table1[[#This Row],[Reference]],metron,13,FALSE)</f>
        <v>0.67350877192982461</v>
      </c>
      <c r="BZ336" s="6">
        <f>VLOOKUP(Table1[[#This Row],[Reference]],metron,14,FALSE)</f>
        <v>0.4442105263157895</v>
      </c>
      <c r="CA336" s="6">
        <f>VLOOKUP(Table1[[#This Row],[Reference]],metron,15,FALSE)</f>
        <v>12.80980392156863</v>
      </c>
      <c r="CB336" s="6">
        <f>VLOOKUP(Table1[[#This Row],[Reference]],metron,16,FALSE)</f>
        <v>9.6872549019607845</v>
      </c>
      <c r="CC336" s="6">
        <f>VLOOKUP(Table1[[#This Row],[Reference]],metron,17,FALSE)</f>
        <v>5.6491169610129957</v>
      </c>
      <c r="CD336" s="6">
        <f>VLOOKUP(Table1[[#This Row],[Reference]],metron,18,FALSE)</f>
        <v>4.1379540153282237</v>
      </c>
      <c r="CE336" s="6">
        <f>VLOOKUP(Table1[[#This Row],[Reference]],metron,19,FALSE)</f>
        <v>7.1606869605556343</v>
      </c>
      <c r="CF336" s="6">
        <f>VLOOKUP(Table1[[#This Row],[Reference]],metron,20,FALSE)</f>
        <v>5.5493008866325608</v>
      </c>
      <c r="CG336" s="6">
        <f>VLOOKUP(Table1[[#This Row],[Reference]],metron,21,FALSE)</f>
        <v>12.9029029029029</v>
      </c>
      <c r="CH336" s="6">
        <f>VLOOKUP(Table1[[#This Row],[Reference]],metron,22,FALSE)</f>
        <v>13.75508842175509</v>
      </c>
      <c r="CI336" s="6">
        <f>VLOOKUP(Table1[[#This Row],[Reference]],metron,23,FALSE)</f>
        <v>1.5287356321839081</v>
      </c>
      <c r="CJ336" s="6">
        <f>VLOOKUP(Table1[[#This Row],[Reference]],metron,24,FALSE)</f>
        <v>1.9664750957854411</v>
      </c>
      <c r="CK336" s="6">
        <f>VLOOKUP(Table1[[#This Row],[Reference]],metron,25,FALSE)</f>
        <v>8.8441890166028103E-2</v>
      </c>
      <c r="CL336" s="6">
        <f>VLOOKUP(Table1[[#This Row],[Reference]],metron,26,FALSE)</f>
        <v>0.13409961685823751</v>
      </c>
    </row>
    <row r="337" spans="1:90" hidden="1" x14ac:dyDescent="0.45">
      <c r="A337" t="s">
        <v>695</v>
      </c>
      <c r="B337">
        <v>1652663100</v>
      </c>
      <c r="C337" s="1" t="s">
        <v>684</v>
      </c>
      <c r="D337" t="s">
        <v>65</v>
      </c>
      <c r="E337" t="s">
        <v>66</v>
      </c>
      <c r="F337" t="s">
        <v>107</v>
      </c>
      <c r="G337" t="s">
        <v>112</v>
      </c>
      <c r="H337" t="s">
        <v>158</v>
      </c>
      <c r="I337">
        <f>MROUND(Table1[[#This Row],[ProbH]]*100,2)/100</f>
        <v>0.46</v>
      </c>
      <c r="J337">
        <f>1/Table1[[#This Row],[odds_ft_home_team_win]]-Table1[[#This Row],[Margin]]</f>
        <v>0.45950898424661546</v>
      </c>
      <c r="K337">
        <f>1/Table1[[#This Row],[odds_ft_draw]]-Table1[[#This Row],[Margin]]</f>
        <v>0.2767174971073022</v>
      </c>
      <c r="L337">
        <f>1/Table1[[#This Row],[odds_ft_away_team_win]]-Table1[[#This Row],[Margin]]</f>
        <v>0.26377351864608234</v>
      </c>
      <c r="M337" t="s">
        <v>66</v>
      </c>
      <c r="N337">
        <v>1.79</v>
      </c>
      <c r="O337">
        <v>1.32</v>
      </c>
      <c r="P337">
        <v>1.74</v>
      </c>
      <c r="Q337">
        <v>1.37</v>
      </c>
      <c r="R337" s="9" t="str" cm="1">
        <f t="array" ref="R3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1</v>
      </c>
      <c r="Z337">
        <v>19</v>
      </c>
      <c r="AA337">
        <v>6</v>
      </c>
      <c r="AB337">
        <v>1</v>
      </c>
      <c r="AC337">
        <v>3</v>
      </c>
      <c r="AD337">
        <v>1</v>
      </c>
      <c r="AE337">
        <v>6</v>
      </c>
      <c r="AF337">
        <v>0</v>
      </c>
      <c r="AG337">
        <v>3</v>
      </c>
      <c r="AH337">
        <v>1</v>
      </c>
      <c r="AI337">
        <v>0</v>
      </c>
      <c r="AJ337">
        <v>6</v>
      </c>
      <c r="AK337">
        <v>21</v>
      </c>
      <c r="AL337">
        <v>11</v>
      </c>
      <c r="AM337">
        <v>7</v>
      </c>
      <c r="AN337">
        <v>3</v>
      </c>
      <c r="AO337">
        <v>14</v>
      </c>
      <c r="AP337">
        <v>8</v>
      </c>
      <c r="AQ337">
        <v>10</v>
      </c>
      <c r="AR337">
        <v>16</v>
      </c>
      <c r="AS337">
        <v>41</v>
      </c>
      <c r="AT337">
        <v>59</v>
      </c>
      <c r="AU337">
        <v>2.12</v>
      </c>
      <c r="AV337">
        <v>1.1599999999999999</v>
      </c>
      <c r="AW337">
        <v>2.42</v>
      </c>
      <c r="AX337">
        <v>53</v>
      </c>
      <c r="AY337">
        <v>75</v>
      </c>
      <c r="AZ337">
        <v>45</v>
      </c>
      <c r="BA337">
        <v>17</v>
      </c>
      <c r="BB337">
        <v>7</v>
      </c>
      <c r="BC337">
        <v>32</v>
      </c>
      <c r="BD337">
        <v>71</v>
      </c>
      <c r="BE337">
        <v>38</v>
      </c>
      <c r="BF337">
        <v>74</v>
      </c>
      <c r="BG337">
        <v>9.66</v>
      </c>
      <c r="BH337">
        <v>4.95</v>
      </c>
      <c r="BI337">
        <v>2.0699999999999998</v>
      </c>
      <c r="BJ337">
        <v>3.33</v>
      </c>
      <c r="BK337">
        <v>3.48</v>
      </c>
      <c r="BL337">
        <f>(1/Table1[[#This Row],[odds_ft_home_team_win]]+1/Table1[[#This Row],[odds_ft_draw]]+1/Table1[[#This Row],[odds_ft_away_team_win]]-1)/3</f>
        <v>2.3582803192998103E-2</v>
      </c>
      <c r="BM337">
        <v>1.32</v>
      </c>
      <c r="BN337">
        <v>1.92</v>
      </c>
      <c r="BO337">
        <v>3.43</v>
      </c>
      <c r="BP337">
        <v>6.55</v>
      </c>
      <c r="BQ337">
        <v>2.02</v>
      </c>
      <c r="BR337">
        <v>1.76</v>
      </c>
      <c r="BS337" t="s">
        <v>161</v>
      </c>
      <c r="BT337">
        <f>VLOOKUP(Table1[[#This Row],[Reference]],metron,8,FALSE)</f>
        <v>1.6955772349985931</v>
      </c>
      <c r="BU337">
        <f>VLOOKUP(Table1[[#This Row],[Reference]],metron,9,FALSE)</f>
        <v>1.0239029519551039</v>
      </c>
      <c r="BV337">
        <f>VLOOKUP(Table1[[#This Row],[Reference]],metron,10,FALSE)</f>
        <v>2.5405629139072849</v>
      </c>
      <c r="BW337">
        <f>VLOOKUP(Table1[[#This Row],[Reference]],metron,11,FALSE)</f>
        <v>1.4888836329233679</v>
      </c>
      <c r="BX337">
        <f>VLOOKUP(Table1[[#This Row],[Reference]],metron,12,FALSE)</f>
        <v>1.0516792809839171</v>
      </c>
      <c r="BY337" s="6">
        <f>VLOOKUP(Table1[[#This Row],[Reference]],metron,13,FALSE)</f>
        <v>0.64581362346263005</v>
      </c>
      <c r="BZ337" s="6">
        <f>VLOOKUP(Table1[[#This Row],[Reference]],metron,14,FALSE)</f>
        <v>0.45364238410596031</v>
      </c>
      <c r="CA337" s="6">
        <f>VLOOKUP(Table1[[#This Row],[Reference]],metron,15,FALSE)</f>
        <v>12.686892177589851</v>
      </c>
      <c r="CB337" s="6">
        <f>VLOOKUP(Table1[[#This Row],[Reference]],metron,16,FALSE)</f>
        <v>9.8059196617336148</v>
      </c>
      <c r="CC337" s="6">
        <f>VLOOKUP(Table1[[#This Row],[Reference]],metron,17,FALSE)</f>
        <v>5.3198121263877027</v>
      </c>
      <c r="CD337" s="6">
        <f>VLOOKUP(Table1[[#This Row],[Reference]],metron,18,FALSE)</f>
        <v>4.0954312553373189</v>
      </c>
      <c r="CE337" s="6">
        <f>VLOOKUP(Table1[[#This Row],[Reference]],metron,19,FALSE)</f>
        <v>7.3670800512021479</v>
      </c>
      <c r="CF337" s="6">
        <f>VLOOKUP(Table1[[#This Row],[Reference]],metron,20,FALSE)</f>
        <v>5.710488406396296</v>
      </c>
      <c r="CG337" s="6">
        <f>VLOOKUP(Table1[[#This Row],[Reference]],metron,21,FALSE)</f>
        <v>13.0488908033599</v>
      </c>
      <c r="CH337" s="6">
        <f>VLOOKUP(Table1[[#This Row],[Reference]],metron,22,FALSE)</f>
        <v>13.714839543398661</v>
      </c>
      <c r="CI337" s="6">
        <f>VLOOKUP(Table1[[#This Row],[Reference]],metron,23,FALSE)</f>
        <v>1.567523459812322</v>
      </c>
      <c r="CJ337" s="6">
        <f>VLOOKUP(Table1[[#This Row],[Reference]],metron,24,FALSE)</f>
        <v>1.951040391676867</v>
      </c>
      <c r="CK337" s="6">
        <f>VLOOKUP(Table1[[#This Row],[Reference]],metron,25,FALSE)</f>
        <v>8.3027335781313744E-2</v>
      </c>
      <c r="CL337" s="6">
        <f>VLOOKUP(Table1[[#This Row],[Reference]],metron,26,FALSE)</f>
        <v>0.13117095063239501</v>
      </c>
    </row>
    <row r="338" spans="1:90" hidden="1" x14ac:dyDescent="0.45">
      <c r="A338" t="s">
        <v>695</v>
      </c>
      <c r="B338">
        <v>1652925600</v>
      </c>
      <c r="C338" s="1" t="s">
        <v>685</v>
      </c>
      <c r="D338" t="s">
        <v>65</v>
      </c>
      <c r="E338" t="s">
        <v>66</v>
      </c>
      <c r="F338" t="s">
        <v>97</v>
      </c>
      <c r="G338" t="s">
        <v>107</v>
      </c>
      <c r="H338" t="s">
        <v>69</v>
      </c>
      <c r="I338">
        <f>MROUND(Table1[[#This Row],[ProbH]]*100,2)/100</f>
        <v>0.44</v>
      </c>
      <c r="J338">
        <f>1/Table1[[#This Row],[odds_ft_home_team_win]]-Table1[[#This Row],[Margin]]</f>
        <v>0.44247614875606989</v>
      </c>
      <c r="K338">
        <f>1/Table1[[#This Row],[odds_ft_draw]]-Table1[[#This Row],[Margin]]</f>
        <v>0.2692854982350899</v>
      </c>
      <c r="L338">
        <f>1/Table1[[#This Row],[odds_ft_away_team_win]]-Table1[[#This Row],[Margin]]</f>
        <v>0.28823835300884021</v>
      </c>
      <c r="M338" t="s">
        <v>66</v>
      </c>
      <c r="N338">
        <v>1.62</v>
      </c>
      <c r="O338">
        <v>1.75</v>
      </c>
      <c r="P338">
        <v>1.61</v>
      </c>
      <c r="Q338">
        <v>1.74</v>
      </c>
      <c r="R338" t="str" cm="1">
        <f t="array" ref="R3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8">
        <v>3</v>
      </c>
      <c r="T338">
        <v>0</v>
      </c>
      <c r="U338">
        <v>3</v>
      </c>
      <c r="V338">
        <v>1</v>
      </c>
      <c r="W338">
        <v>1</v>
      </c>
      <c r="X338">
        <v>0</v>
      </c>
      <c r="Y338" t="s">
        <v>686</v>
      </c>
      <c r="AA338">
        <v>1</v>
      </c>
      <c r="AB338">
        <v>3</v>
      </c>
      <c r="AC338">
        <v>3</v>
      </c>
      <c r="AD338">
        <v>0</v>
      </c>
      <c r="AE338">
        <v>1</v>
      </c>
      <c r="AF338">
        <v>0</v>
      </c>
      <c r="AG338">
        <v>0</v>
      </c>
      <c r="AH338">
        <v>3</v>
      </c>
      <c r="AI338">
        <v>1</v>
      </c>
      <c r="AJ338">
        <v>0</v>
      </c>
      <c r="AK338">
        <v>11</v>
      </c>
      <c r="AL338">
        <v>12</v>
      </c>
      <c r="AM338">
        <v>8</v>
      </c>
      <c r="AN338">
        <v>4</v>
      </c>
      <c r="AO338">
        <v>3</v>
      </c>
      <c r="AP338">
        <v>8</v>
      </c>
      <c r="AQ338">
        <v>19</v>
      </c>
      <c r="AR338">
        <v>12</v>
      </c>
      <c r="AS338">
        <v>46</v>
      </c>
      <c r="AT338">
        <v>54</v>
      </c>
      <c r="AU338">
        <v>1.75</v>
      </c>
      <c r="AV338">
        <v>1.7</v>
      </c>
      <c r="AW338">
        <v>2.23</v>
      </c>
      <c r="AX338">
        <v>45</v>
      </c>
      <c r="AY338">
        <v>70</v>
      </c>
      <c r="AZ338">
        <v>39</v>
      </c>
      <c r="BA338">
        <v>11</v>
      </c>
      <c r="BB338">
        <v>6</v>
      </c>
      <c r="BC338">
        <v>26</v>
      </c>
      <c r="BD338">
        <v>63</v>
      </c>
      <c r="BE338">
        <v>39</v>
      </c>
      <c r="BF338">
        <v>75</v>
      </c>
      <c r="BG338">
        <v>9.85</v>
      </c>
      <c r="BH338">
        <v>4.93</v>
      </c>
      <c r="BI338">
        <v>2.12</v>
      </c>
      <c r="BJ338">
        <v>3.35</v>
      </c>
      <c r="BK338">
        <v>3.15</v>
      </c>
      <c r="BL338">
        <f>(1/Table1[[#This Row],[odds_ft_home_team_win]]+1/Table1[[#This Row],[odds_ft_draw]]+1/Table1[[#This Row],[odds_ft_away_team_win]]-1)/3</f>
        <v>2.9221964451477216E-2</v>
      </c>
      <c r="BM338">
        <v>1.53</v>
      </c>
      <c r="BN338">
        <v>2.36</v>
      </c>
      <c r="BO338">
        <v>4.25</v>
      </c>
      <c r="BP338">
        <v>9</v>
      </c>
      <c r="BQ338">
        <v>1.95</v>
      </c>
      <c r="BR338">
        <v>1.8</v>
      </c>
      <c r="BS338" t="s">
        <v>136</v>
      </c>
      <c r="BT338">
        <f>VLOOKUP(Table1[[#This Row],[Reference]],metron,8,FALSE)</f>
        <v>1.6395459745305552</v>
      </c>
      <c r="BU338">
        <f>VLOOKUP(Table1[[#This Row],[Reference]],metron,9,FALSE)</f>
        <v>1.0758429359324786</v>
      </c>
      <c r="BV338">
        <f>VLOOKUP(Table1[[#This Row],[Reference]],metron,10,FALSE)</f>
        <v>2.4807646356033461</v>
      </c>
      <c r="BW338">
        <f>VLOOKUP(Table1[[#This Row],[Reference]],metron,11,FALSE)</f>
        <v>1.4140979689366791</v>
      </c>
      <c r="BX338">
        <f>VLOOKUP(Table1[[#This Row],[Reference]],metron,12,FALSE)</f>
        <v>1.0666666666666671</v>
      </c>
      <c r="BY338" s="6">
        <f>VLOOKUP(Table1[[#This Row],[Reference]],metron,13,FALSE)</f>
        <v>0.62712066905615294</v>
      </c>
      <c r="BZ338" s="6">
        <f>VLOOKUP(Table1[[#This Row],[Reference]],metron,14,FALSE)</f>
        <v>0.46009557945041818</v>
      </c>
      <c r="CA338" s="6">
        <f>VLOOKUP(Table1[[#This Row],[Reference]],metron,15,FALSE)</f>
        <v>12.56969280146722</v>
      </c>
      <c r="CB338" s="6">
        <f>VLOOKUP(Table1[[#This Row],[Reference]],metron,16,FALSE)</f>
        <v>9.8695552498853729</v>
      </c>
      <c r="CC338" s="6">
        <f>VLOOKUP(Table1[[#This Row],[Reference]],metron,17,FALSE)</f>
        <v>5.2754256787850897</v>
      </c>
      <c r="CD338" s="6">
        <f>VLOOKUP(Table1[[#This Row],[Reference]],metron,18,FALSE)</f>
        <v>4.1279337321675103</v>
      </c>
      <c r="CE338" s="6">
        <f>VLOOKUP(Table1[[#This Row],[Reference]],metron,19,FALSE)</f>
        <v>7.2942671226821298</v>
      </c>
      <c r="CF338" s="6">
        <f>VLOOKUP(Table1[[#This Row],[Reference]],metron,20,FALSE)</f>
        <v>5.7416215177178627</v>
      </c>
      <c r="CG338" s="6">
        <f>VLOOKUP(Table1[[#This Row],[Reference]],metron,21,FALSE)</f>
        <v>12.897246007868549</v>
      </c>
      <c r="CH338" s="6">
        <f>VLOOKUP(Table1[[#This Row],[Reference]],metron,22,FALSE)</f>
        <v>13.507058551261281</v>
      </c>
      <c r="CI338" s="6">
        <f>VLOOKUP(Table1[[#This Row],[Reference]],metron,23,FALSE)</f>
        <v>1.576522702104098</v>
      </c>
      <c r="CJ338" s="6">
        <f>VLOOKUP(Table1[[#This Row],[Reference]],metron,24,FALSE)</f>
        <v>1.917165005537099</v>
      </c>
      <c r="CK338" s="6">
        <f>VLOOKUP(Table1[[#This Row],[Reference]],metron,25,FALSE)</f>
        <v>8.4385382059800659E-2</v>
      </c>
      <c r="CL338" s="6">
        <f>VLOOKUP(Table1[[#This Row],[Reference]],metron,26,FALSE)</f>
        <v>0.1233665559246955</v>
      </c>
    </row>
    <row r="339" spans="1:90" hidden="1" x14ac:dyDescent="0.45">
      <c r="A339" t="s">
        <v>695</v>
      </c>
      <c r="B339">
        <v>1653008400</v>
      </c>
      <c r="C339" s="1" t="s">
        <v>687</v>
      </c>
      <c r="D339" t="s">
        <v>65</v>
      </c>
      <c r="E339" t="s">
        <v>66</v>
      </c>
      <c r="F339" t="s">
        <v>68</v>
      </c>
      <c r="G339" t="s">
        <v>84</v>
      </c>
      <c r="H339" t="s">
        <v>74</v>
      </c>
      <c r="I339">
        <f>MROUND(Table1[[#This Row],[ProbH]]*100,2)/100</f>
        <v>0.48</v>
      </c>
      <c r="J339">
        <f>1/Table1[[#This Row],[odds_ft_home_team_win]]-Table1[[#This Row],[Margin]]</f>
        <v>0.48587575391699106</v>
      </c>
      <c r="K339">
        <f>1/Table1[[#This Row],[odds_ft_draw]]-Table1[[#This Row],[Margin]]</f>
        <v>0.27344213942152085</v>
      </c>
      <c r="L339">
        <f>1/Table1[[#This Row],[odds_ft_away_team_win]]-Table1[[#This Row],[Margin]]</f>
        <v>0.24068210666148807</v>
      </c>
      <c r="M339" t="s">
        <v>66</v>
      </c>
      <c r="N339">
        <v>1.74</v>
      </c>
      <c r="O339">
        <v>1.67</v>
      </c>
      <c r="P339">
        <v>1.72</v>
      </c>
      <c r="Q339">
        <v>1.65</v>
      </c>
      <c r="R339" t="str" cm="1">
        <f t="array" ref="R3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9">
        <v>1</v>
      </c>
      <c r="T339">
        <v>1</v>
      </c>
      <c r="U339">
        <v>2</v>
      </c>
      <c r="V339">
        <v>0</v>
      </c>
      <c r="W339">
        <v>0</v>
      </c>
      <c r="X339">
        <v>0</v>
      </c>
      <c r="Y339">
        <v>54</v>
      </c>
      <c r="Z339">
        <v>82</v>
      </c>
      <c r="AA339">
        <v>4</v>
      </c>
      <c r="AB339">
        <v>4</v>
      </c>
      <c r="AC339">
        <v>2</v>
      </c>
      <c r="AD339">
        <v>0</v>
      </c>
      <c r="AE339">
        <v>1</v>
      </c>
      <c r="AF339">
        <v>0</v>
      </c>
      <c r="AG339">
        <v>0</v>
      </c>
      <c r="AH339">
        <v>2</v>
      </c>
      <c r="AI339">
        <v>0</v>
      </c>
      <c r="AJ339">
        <v>1</v>
      </c>
      <c r="AK339">
        <v>9</v>
      </c>
      <c r="AL339">
        <v>8</v>
      </c>
      <c r="AM339">
        <v>4</v>
      </c>
      <c r="AN339">
        <v>5</v>
      </c>
      <c r="AO339">
        <v>5</v>
      </c>
      <c r="AP339">
        <v>3</v>
      </c>
      <c r="AQ339">
        <v>16</v>
      </c>
      <c r="AR339">
        <v>14</v>
      </c>
      <c r="AS339">
        <v>47</v>
      </c>
      <c r="AT339">
        <v>53</v>
      </c>
      <c r="AU339">
        <v>1.49</v>
      </c>
      <c r="AV339">
        <v>1.39</v>
      </c>
      <c r="AW339">
        <v>2.4</v>
      </c>
      <c r="AX339">
        <v>53</v>
      </c>
      <c r="AY339">
        <v>75</v>
      </c>
      <c r="AZ339">
        <v>48</v>
      </c>
      <c r="BA339">
        <v>23</v>
      </c>
      <c r="BB339">
        <v>7</v>
      </c>
      <c r="BC339">
        <v>38</v>
      </c>
      <c r="BD339">
        <v>67</v>
      </c>
      <c r="BE339">
        <v>32</v>
      </c>
      <c r="BF339">
        <v>76</v>
      </c>
      <c r="BG339">
        <v>10.53</v>
      </c>
      <c r="BH339">
        <v>4.3499999999999996</v>
      </c>
      <c r="BI339">
        <v>1.94</v>
      </c>
      <c r="BJ339">
        <v>3.3</v>
      </c>
      <c r="BK339">
        <v>3.7</v>
      </c>
      <c r="BL339">
        <f>(1/Table1[[#This Row],[odds_ft_home_team_win]]+1/Table1[[#This Row],[odds_ft_draw]]+1/Table1[[#This Row],[odds_ft_away_team_win]]-1)/3</f>
        <v>2.9588163608782175E-2</v>
      </c>
      <c r="BM339">
        <v>1.3</v>
      </c>
      <c r="BN339">
        <v>1.88</v>
      </c>
      <c r="BO339">
        <v>3.4</v>
      </c>
      <c r="BP339">
        <v>6.75</v>
      </c>
      <c r="BQ339">
        <v>1.82</v>
      </c>
      <c r="BR339">
        <v>1.88</v>
      </c>
      <c r="BS339" t="s">
        <v>116</v>
      </c>
      <c r="BT339">
        <f>VLOOKUP(Table1[[#This Row],[Reference]],metron,8,FALSE)</f>
        <v>1.743992017160418</v>
      </c>
      <c r="BU339">
        <f>VLOOKUP(Table1[[#This Row],[Reference]],metron,9,FALSE)</f>
        <v>0.97803937284245479</v>
      </c>
      <c r="BV339">
        <f>VLOOKUP(Table1[[#This Row],[Reference]],metron,10,FALSE)</f>
        <v>2.5271929824561399</v>
      </c>
      <c r="BW339">
        <f>VLOOKUP(Table1[[#This Row],[Reference]],metron,11,FALSE)</f>
        <v>1.510877192982456</v>
      </c>
      <c r="BX339">
        <f>VLOOKUP(Table1[[#This Row],[Reference]],metron,12,FALSE)</f>
        <v>1.0163157894736841</v>
      </c>
      <c r="BY339" s="6">
        <f>VLOOKUP(Table1[[#This Row],[Reference]],metron,13,FALSE)</f>
        <v>0.67350877192982461</v>
      </c>
      <c r="BZ339" s="6">
        <f>VLOOKUP(Table1[[#This Row],[Reference]],metron,14,FALSE)</f>
        <v>0.4442105263157895</v>
      </c>
      <c r="CA339" s="6">
        <f>VLOOKUP(Table1[[#This Row],[Reference]],metron,15,FALSE)</f>
        <v>12.80980392156863</v>
      </c>
      <c r="CB339" s="6">
        <f>VLOOKUP(Table1[[#This Row],[Reference]],metron,16,FALSE)</f>
        <v>9.6872549019607845</v>
      </c>
      <c r="CC339" s="6">
        <f>VLOOKUP(Table1[[#This Row],[Reference]],metron,17,FALSE)</f>
        <v>5.6491169610129957</v>
      </c>
      <c r="CD339" s="6">
        <f>VLOOKUP(Table1[[#This Row],[Reference]],metron,18,FALSE)</f>
        <v>4.1379540153282237</v>
      </c>
      <c r="CE339" s="6">
        <f>VLOOKUP(Table1[[#This Row],[Reference]],metron,19,FALSE)</f>
        <v>7.1606869605556343</v>
      </c>
      <c r="CF339" s="6">
        <f>VLOOKUP(Table1[[#This Row],[Reference]],metron,20,FALSE)</f>
        <v>5.5493008866325608</v>
      </c>
      <c r="CG339" s="6">
        <f>VLOOKUP(Table1[[#This Row],[Reference]],metron,21,FALSE)</f>
        <v>12.9029029029029</v>
      </c>
      <c r="CH339" s="6">
        <f>VLOOKUP(Table1[[#This Row],[Reference]],metron,22,FALSE)</f>
        <v>13.75508842175509</v>
      </c>
      <c r="CI339" s="6">
        <f>VLOOKUP(Table1[[#This Row],[Reference]],metron,23,FALSE)</f>
        <v>1.5287356321839081</v>
      </c>
      <c r="CJ339" s="6">
        <f>VLOOKUP(Table1[[#This Row],[Reference]],metron,24,FALSE)</f>
        <v>1.9664750957854411</v>
      </c>
      <c r="CK339" s="6">
        <f>VLOOKUP(Table1[[#This Row],[Reference]],metron,25,FALSE)</f>
        <v>8.8441890166028103E-2</v>
      </c>
      <c r="CL339" s="6">
        <f>VLOOKUP(Table1[[#This Row],[Reference]],metron,26,FALSE)</f>
        <v>0.13409961685823751</v>
      </c>
    </row>
    <row r="340" spans="1:90" hidden="1" x14ac:dyDescent="0.45">
      <c r="A340" t="s">
        <v>695</v>
      </c>
      <c r="B340">
        <v>1653181200</v>
      </c>
      <c r="C340" s="1" t="s">
        <v>688</v>
      </c>
      <c r="D340" t="s">
        <v>65</v>
      </c>
      <c r="E340" t="s">
        <v>66</v>
      </c>
      <c r="F340" t="s">
        <v>107</v>
      </c>
      <c r="G340" t="s">
        <v>97</v>
      </c>
      <c r="H340" t="s">
        <v>158</v>
      </c>
      <c r="I340">
        <f>MROUND(Table1[[#This Row],[ProbH]]*100,2)/100</f>
        <v>0.52</v>
      </c>
      <c r="J340">
        <f>1/Table1[[#This Row],[odds_ft_home_team_win]]-Table1[[#This Row],[Margin]]</f>
        <v>0.52579941621037507</v>
      </c>
      <c r="K340">
        <f>1/Table1[[#This Row],[odds_ft_draw]]-Table1[[#This Row],[Margin]]</f>
        <v>0.24421646339454553</v>
      </c>
      <c r="L340">
        <f>1/Table1[[#This Row],[odds_ft_away_team_win]]-Table1[[#This Row],[Margin]]</f>
        <v>0.22998412039507923</v>
      </c>
      <c r="M340" t="s">
        <v>66</v>
      </c>
      <c r="N340">
        <v>1.71</v>
      </c>
      <c r="O340">
        <v>1.65</v>
      </c>
      <c r="P340">
        <v>1.74</v>
      </c>
      <c r="Q340">
        <v>1.61</v>
      </c>
      <c r="R340" s="9" t="str" cm="1">
        <f t="array" ref="R3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0">
        <v>4</v>
      </c>
      <c r="T340">
        <v>2</v>
      </c>
      <c r="U340">
        <v>6</v>
      </c>
      <c r="V340">
        <v>1</v>
      </c>
      <c r="W340">
        <v>0</v>
      </c>
      <c r="X340">
        <v>1</v>
      </c>
      <c r="Y340" t="s">
        <v>689</v>
      </c>
      <c r="Z340" t="s">
        <v>690</v>
      </c>
      <c r="AA340">
        <v>5</v>
      </c>
      <c r="AB340">
        <v>2</v>
      </c>
      <c r="AC340">
        <v>3</v>
      </c>
      <c r="AD340">
        <v>1</v>
      </c>
      <c r="AE340">
        <v>3</v>
      </c>
      <c r="AF340">
        <v>0</v>
      </c>
      <c r="AG340">
        <v>1</v>
      </c>
      <c r="AH340">
        <v>3</v>
      </c>
      <c r="AI340">
        <v>2</v>
      </c>
      <c r="AJ340">
        <v>1</v>
      </c>
      <c r="AK340">
        <v>21</v>
      </c>
      <c r="AL340">
        <v>10</v>
      </c>
      <c r="AM340">
        <v>8</v>
      </c>
      <c r="AN340">
        <v>3</v>
      </c>
      <c r="AO340">
        <v>13</v>
      </c>
      <c r="AP340">
        <v>7</v>
      </c>
      <c r="AQ340">
        <v>11</v>
      </c>
      <c r="AR340">
        <v>15</v>
      </c>
      <c r="AS340">
        <v>62</v>
      </c>
      <c r="AT340">
        <v>38</v>
      </c>
      <c r="AU340">
        <v>2.29</v>
      </c>
      <c r="AV340">
        <v>0.99</v>
      </c>
      <c r="AW340">
        <v>2.25</v>
      </c>
      <c r="AX340">
        <v>45</v>
      </c>
      <c r="AY340">
        <v>71</v>
      </c>
      <c r="AZ340">
        <v>40</v>
      </c>
      <c r="BA340">
        <v>11</v>
      </c>
      <c r="BB340">
        <v>6</v>
      </c>
      <c r="BC340">
        <v>26</v>
      </c>
      <c r="BD340">
        <v>63</v>
      </c>
      <c r="BE340">
        <v>40</v>
      </c>
      <c r="BF340">
        <v>75</v>
      </c>
      <c r="BG340">
        <v>9.7100000000000009</v>
      </c>
      <c r="BH340">
        <v>4.9000000000000004</v>
      </c>
      <c r="BI340">
        <v>1.8</v>
      </c>
      <c r="BJ340">
        <v>3.65</v>
      </c>
      <c r="BK340">
        <v>3.85</v>
      </c>
      <c r="BL340">
        <f>(1/Table1[[#This Row],[odds_ft_home_team_win]]+1/Table1[[#This Row],[odds_ft_draw]]+1/Table1[[#This Row],[odds_ft_away_team_win]]-1)/3</f>
        <v>2.9756139345180472E-2</v>
      </c>
      <c r="BM340">
        <v>1.33</v>
      </c>
      <c r="BN340">
        <v>1.95</v>
      </c>
      <c r="BO340">
        <v>3.5</v>
      </c>
      <c r="BP340">
        <v>6.65</v>
      </c>
      <c r="BQ340">
        <v>1.92</v>
      </c>
      <c r="BR340">
        <v>1.84</v>
      </c>
      <c r="BS340" t="s">
        <v>161</v>
      </c>
      <c r="BT340">
        <f>VLOOKUP(Table1[[#This Row],[Reference]],metron,8,FALSE)</f>
        <v>1.8614830167843088</v>
      </c>
      <c r="BU340">
        <f>VLOOKUP(Table1[[#This Row],[Reference]],metron,9,FALSE)</f>
        <v>0.87079851622593896</v>
      </c>
      <c r="BV340">
        <f>VLOOKUP(Table1[[#This Row],[Reference]],metron,10,FALSE)</f>
        <v>2.5967403582378576</v>
      </c>
      <c r="BW340">
        <f>VLOOKUP(Table1[[#This Row],[Reference]],metron,11,FALSE)</f>
        <v>1.625948039373891</v>
      </c>
      <c r="BX340">
        <f>VLOOKUP(Table1[[#This Row],[Reference]],metron,12,FALSE)</f>
        <v>0.97079231886396644</v>
      </c>
      <c r="BY340" s="6">
        <f>VLOOKUP(Table1[[#This Row],[Reference]],metron,13,FALSE)</f>
        <v>0.71433182698515174</v>
      </c>
      <c r="BZ340" s="6">
        <f>VLOOKUP(Table1[[#This Row],[Reference]],metron,14,FALSE)</f>
        <v>0.43011620400258233</v>
      </c>
      <c r="CA340" s="6">
        <f>VLOOKUP(Table1[[#This Row],[Reference]],metron,15,FALSE)</f>
        <v>13.39951055368614</v>
      </c>
      <c r="CB340" s="6">
        <f>VLOOKUP(Table1[[#This Row],[Reference]],metron,16,FALSE)</f>
        <v>9.4252064851636579</v>
      </c>
      <c r="CC340" s="6">
        <f>VLOOKUP(Table1[[#This Row],[Reference]],metron,17,FALSE)</f>
        <v>5.7628422023992618</v>
      </c>
      <c r="CD340" s="6">
        <f>VLOOKUP(Table1[[#This Row],[Reference]],metron,18,FALSE)</f>
        <v>3.9375576745616732</v>
      </c>
      <c r="CE340" s="6">
        <f>VLOOKUP(Table1[[#This Row],[Reference]],metron,19,FALSE)</f>
        <v>7.636668351286878</v>
      </c>
      <c r="CF340" s="6">
        <f>VLOOKUP(Table1[[#This Row],[Reference]],metron,20,FALSE)</f>
        <v>5.4876488106019847</v>
      </c>
      <c r="CG340" s="6">
        <f>VLOOKUP(Table1[[#This Row],[Reference]],metron,21,FALSE)</f>
        <v>12.460420531849101</v>
      </c>
      <c r="CH340" s="6">
        <f>VLOOKUP(Table1[[#This Row],[Reference]],metron,22,FALSE)</f>
        <v>13.44897959183673</v>
      </c>
      <c r="CI340" s="6">
        <f>VLOOKUP(Table1[[#This Row],[Reference]],metron,23,FALSE)</f>
        <v>1.462202380952381</v>
      </c>
      <c r="CJ340" s="6">
        <f>VLOOKUP(Table1[[#This Row],[Reference]],metron,24,FALSE)</f>
        <v>2.01547619047619</v>
      </c>
      <c r="CK340" s="6">
        <f>VLOOKUP(Table1[[#This Row],[Reference]],metron,25,FALSE)</f>
        <v>7.7380952380952384E-2</v>
      </c>
      <c r="CL340" s="6">
        <f>VLOOKUP(Table1[[#This Row],[Reference]],metron,26,FALSE)</f>
        <v>0.13754093480202439</v>
      </c>
    </row>
    <row r="341" spans="1:90" hidden="1" x14ac:dyDescent="0.45">
      <c r="A341" t="s">
        <v>695</v>
      </c>
      <c r="B341">
        <v>1653516000</v>
      </c>
      <c r="C341" s="1" t="s">
        <v>691</v>
      </c>
      <c r="D341" t="s">
        <v>692</v>
      </c>
      <c r="E341">
        <v>-1</v>
      </c>
      <c r="F341" t="s">
        <v>97</v>
      </c>
      <c r="G341" t="s">
        <v>84</v>
      </c>
      <c r="H341" t="s">
        <v>66</v>
      </c>
      <c r="I341" t="e">
        <f>MROUND(Table1[[#This Row],[ProbH]]*100,2)/100</f>
        <v>#DIV/0!</v>
      </c>
      <c r="J341" t="e">
        <f>1/Table1[[#This Row],[odds_ft_home_team_win]]-Table1[[#This Row],[Margin]]</f>
        <v>#DIV/0!</v>
      </c>
      <c r="K341" t="e">
        <f>1/Table1[[#This Row],[odds_ft_draw]]-Table1[[#This Row],[Margin]]</f>
        <v>#DIV/0!</v>
      </c>
      <c r="L341" t="e">
        <f>1/Table1[[#This Row],[odds_ft_away_team_win]]-Table1[[#This Row],[Margin]]</f>
        <v>#DIV/0!</v>
      </c>
      <c r="M341" t="s">
        <v>66</v>
      </c>
      <c r="N341">
        <v>1.61</v>
      </c>
      <c r="O341">
        <v>1.65</v>
      </c>
      <c r="P341">
        <v>1.61</v>
      </c>
      <c r="Q341">
        <v>1.65</v>
      </c>
      <c r="R341" t="str" cm="1">
        <f t="array" ref="R3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0</v>
      </c>
      <c r="AV341">
        <v>0</v>
      </c>
      <c r="AW341">
        <v>2.31</v>
      </c>
      <c r="AX341">
        <v>50</v>
      </c>
      <c r="AY341">
        <v>69</v>
      </c>
      <c r="AZ341">
        <v>41</v>
      </c>
      <c r="BA341">
        <v>18</v>
      </c>
      <c r="BB341">
        <v>7</v>
      </c>
      <c r="BC341">
        <v>28</v>
      </c>
      <c r="BD341">
        <v>66</v>
      </c>
      <c r="BE341">
        <v>37</v>
      </c>
      <c r="BF341">
        <v>75</v>
      </c>
      <c r="BG341">
        <v>9.9</v>
      </c>
      <c r="BH341">
        <v>4.68</v>
      </c>
      <c r="BI341">
        <v>0</v>
      </c>
      <c r="BJ341">
        <v>0</v>
      </c>
      <c r="BK341">
        <v>0</v>
      </c>
      <c r="BL341" t="e">
        <f>(1/Table1[[#This Row],[odds_ft_home_team_win]]+1/Table1[[#This Row],[odds_ft_draw]]+1/Table1[[#This Row],[odds_ft_away_team_win]]-1)/3</f>
        <v>#DIV/0!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 t="s">
        <v>136</v>
      </c>
      <c r="BT341" t="e">
        <f>VLOOKUP(Table1[[#This Row],[Reference]],metron,8,FALSE)</f>
        <v>#DIV/0!</v>
      </c>
      <c r="BU341" t="e">
        <f>VLOOKUP(Table1[[#This Row],[Reference]],metron,9,FALSE)</f>
        <v>#DIV/0!</v>
      </c>
      <c r="BV341" t="e">
        <f>VLOOKUP(Table1[[#This Row],[Reference]],metron,10,FALSE)</f>
        <v>#DIV/0!</v>
      </c>
      <c r="BW341" t="e">
        <f>VLOOKUP(Table1[[#This Row],[Reference]],metron,11,FALSE)</f>
        <v>#DIV/0!</v>
      </c>
      <c r="BX341" t="e">
        <f>VLOOKUP(Table1[[#This Row],[Reference]],metron,12,FALSE)</f>
        <v>#DIV/0!</v>
      </c>
      <c r="BY341" s="6" t="e">
        <f>VLOOKUP(Table1[[#This Row],[Reference]],metron,13,FALSE)</f>
        <v>#DIV/0!</v>
      </c>
      <c r="BZ341" s="6" t="e">
        <f>VLOOKUP(Table1[[#This Row],[Reference]],metron,14,FALSE)</f>
        <v>#DIV/0!</v>
      </c>
      <c r="CA341" s="6" t="e">
        <f>VLOOKUP(Table1[[#This Row],[Reference]],metron,15,FALSE)</f>
        <v>#DIV/0!</v>
      </c>
      <c r="CB341" s="6" t="e">
        <f>VLOOKUP(Table1[[#This Row],[Reference]],metron,16,FALSE)</f>
        <v>#DIV/0!</v>
      </c>
      <c r="CC341" s="6" t="e">
        <f>VLOOKUP(Table1[[#This Row],[Reference]],metron,17,FALSE)</f>
        <v>#DIV/0!</v>
      </c>
      <c r="CD341" s="6" t="e">
        <f>VLOOKUP(Table1[[#This Row],[Reference]],metron,18,FALSE)</f>
        <v>#DIV/0!</v>
      </c>
      <c r="CE341" s="6" t="e">
        <f>VLOOKUP(Table1[[#This Row],[Reference]],metron,19,FALSE)</f>
        <v>#DIV/0!</v>
      </c>
      <c r="CF341" s="6" t="e">
        <f>VLOOKUP(Table1[[#This Row],[Reference]],metron,20,FALSE)</f>
        <v>#DIV/0!</v>
      </c>
      <c r="CG341" s="6" t="e">
        <f>VLOOKUP(Table1[[#This Row],[Reference]],metron,21,FALSE)</f>
        <v>#DIV/0!</v>
      </c>
      <c r="CH341" s="6" t="e">
        <f>VLOOKUP(Table1[[#This Row],[Reference]],metron,22,FALSE)</f>
        <v>#DIV/0!</v>
      </c>
      <c r="CI341" s="6" t="e">
        <f>VLOOKUP(Table1[[#This Row],[Reference]],metron,23,FALSE)</f>
        <v>#DIV/0!</v>
      </c>
      <c r="CJ341" s="6" t="e">
        <f>VLOOKUP(Table1[[#This Row],[Reference]],metron,24,FALSE)</f>
        <v>#DIV/0!</v>
      </c>
      <c r="CK341" s="6" t="e">
        <f>VLOOKUP(Table1[[#This Row],[Reference]],metron,25,FALSE)</f>
        <v>#DIV/0!</v>
      </c>
      <c r="CL341" s="6" t="e">
        <f>VLOOKUP(Table1[[#This Row],[Reference]],metron,26,FALSE)</f>
        <v>#DIV/0!</v>
      </c>
    </row>
    <row r="342" spans="1:90" hidden="1" x14ac:dyDescent="0.45">
      <c r="A342" t="s">
        <v>695</v>
      </c>
      <c r="B342">
        <v>1653775200</v>
      </c>
      <c r="C342" s="1" t="s">
        <v>693</v>
      </c>
      <c r="D342" t="s">
        <v>692</v>
      </c>
      <c r="E342" t="s">
        <v>66</v>
      </c>
      <c r="F342" t="s">
        <v>84</v>
      </c>
      <c r="G342" t="s">
        <v>97</v>
      </c>
      <c r="H342" t="s">
        <v>130</v>
      </c>
      <c r="I342">
        <f>MROUND(Table1[[#This Row],[ProbH]]*100,2)/100</f>
        <v>0.38</v>
      </c>
      <c r="J342">
        <f>1/Table1[[#This Row],[odds_ft_home_team_win]]-Table1[[#This Row],[Margin]]</f>
        <v>0.38364361366947458</v>
      </c>
      <c r="K342">
        <f>1/Table1[[#This Row],[odds_ft_draw]]-Table1[[#This Row],[Margin]]</f>
        <v>0.28428333056072275</v>
      </c>
      <c r="L342">
        <f>1/Table1[[#This Row],[odds_ft_away_team_win]]-Table1[[#This Row],[Margin]]</f>
        <v>0.33207305576980278</v>
      </c>
      <c r="M342" t="s">
        <v>66</v>
      </c>
      <c r="N342">
        <v>1.65</v>
      </c>
      <c r="O342">
        <v>1.61</v>
      </c>
      <c r="P342">
        <v>1.65</v>
      </c>
      <c r="Q342">
        <v>1.61</v>
      </c>
      <c r="R342" t="str" cm="1">
        <f t="array" ref="R3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0</v>
      </c>
      <c r="AV342">
        <v>0</v>
      </c>
      <c r="AW342">
        <v>2.31</v>
      </c>
      <c r="AX342">
        <v>50</v>
      </c>
      <c r="AY342">
        <v>69</v>
      </c>
      <c r="AZ342">
        <v>41</v>
      </c>
      <c r="BA342">
        <v>18</v>
      </c>
      <c r="BB342">
        <v>7</v>
      </c>
      <c r="BC342">
        <v>28</v>
      </c>
      <c r="BD342">
        <v>66</v>
      </c>
      <c r="BE342">
        <v>37</v>
      </c>
      <c r="BF342">
        <v>75</v>
      </c>
      <c r="BG342">
        <v>9.9</v>
      </c>
      <c r="BH342">
        <v>4.68</v>
      </c>
      <c r="BI342">
        <v>2.37</v>
      </c>
      <c r="BJ342">
        <v>3.1</v>
      </c>
      <c r="BK342">
        <v>2.7</v>
      </c>
      <c r="BL342">
        <f>(1/Table1[[#This Row],[odds_ft_home_team_win]]+1/Table1[[#This Row],[odds_ft_draw]]+1/Table1[[#This Row],[odds_ft_away_team_win]]-1)/3</f>
        <v>3.8297314600567546E-2</v>
      </c>
      <c r="BM342">
        <v>1.31</v>
      </c>
      <c r="BN342">
        <v>1.95</v>
      </c>
      <c r="BO342">
        <v>3.33</v>
      </c>
      <c r="BP342">
        <v>6.35</v>
      </c>
      <c r="BQ342">
        <v>1.8</v>
      </c>
      <c r="BR342">
        <v>1.91</v>
      </c>
      <c r="BS342" t="s">
        <v>88</v>
      </c>
      <c r="BT342">
        <f>VLOOKUP(Table1[[#This Row],[Reference]],metron,8,FALSE)</f>
        <v>1.464160929441638</v>
      </c>
      <c r="BU342">
        <f>VLOOKUP(Table1[[#This Row],[Reference]],metron,9,FALSE)</f>
        <v>1.2477119808919459</v>
      </c>
      <c r="BV342">
        <f>VLOOKUP(Table1[[#This Row],[Reference]],metron,10,FALSE)</f>
        <v>2.4900895140664963</v>
      </c>
      <c r="BW342">
        <f>VLOOKUP(Table1[[#This Row],[Reference]],metron,11,FALSE)</f>
        <v>1.330562659846547</v>
      </c>
      <c r="BX342">
        <f>VLOOKUP(Table1[[#This Row],[Reference]],metron,12,FALSE)</f>
        <v>1.1595268542199491</v>
      </c>
      <c r="BY342" s="6">
        <f>VLOOKUP(Table1[[#This Row],[Reference]],metron,13,FALSE)</f>
        <v>0.59053607588191415</v>
      </c>
      <c r="BZ342" s="6">
        <f>VLOOKUP(Table1[[#This Row],[Reference]],metron,14,FALSE)</f>
        <v>0.50069274219332838</v>
      </c>
      <c r="CA342" s="6">
        <f>VLOOKUP(Table1[[#This Row],[Reference]],metron,15,FALSE)</f>
        <v>11.79715236686391</v>
      </c>
      <c r="CB342" s="6">
        <f>VLOOKUP(Table1[[#This Row],[Reference]],metron,16,FALSE)</f>
        <v>10.317122781065089</v>
      </c>
      <c r="CC342" s="6">
        <f>VLOOKUP(Table1[[#This Row],[Reference]],metron,17,FALSE)</f>
        <v>5.0637025966747622</v>
      </c>
      <c r="CD342" s="6">
        <f>VLOOKUP(Table1[[#This Row],[Reference]],metron,18,FALSE)</f>
        <v>4.4674014571268454</v>
      </c>
      <c r="CE342" s="6">
        <f>VLOOKUP(Table1[[#This Row],[Reference]],metron,19,FALSE)</f>
        <v>6.7334497701891483</v>
      </c>
      <c r="CF342" s="6">
        <f>VLOOKUP(Table1[[#This Row],[Reference]],metron,20,FALSE)</f>
        <v>5.849721323938244</v>
      </c>
      <c r="CG342" s="6">
        <f>VLOOKUP(Table1[[#This Row],[Reference]],metron,21,FALSE)</f>
        <v>12.89644194756554</v>
      </c>
      <c r="CH342" s="6">
        <f>VLOOKUP(Table1[[#This Row],[Reference]],metron,22,FALSE)</f>
        <v>13.3434456928839</v>
      </c>
      <c r="CI342" s="6">
        <f>VLOOKUP(Table1[[#This Row],[Reference]],metron,23,FALSE)</f>
        <v>1.6144382124117971</v>
      </c>
      <c r="CJ342" s="6">
        <f>VLOOKUP(Table1[[#This Row],[Reference]],metron,24,FALSE)</f>
        <v>1.9032024606477289</v>
      </c>
      <c r="CK342" s="6">
        <f>VLOOKUP(Table1[[#This Row],[Reference]],metron,25,FALSE)</f>
        <v>9.372172969060974E-2</v>
      </c>
      <c r="CL342" s="6">
        <f>VLOOKUP(Table1[[#This Row],[Reference]],metron,26,FALSE)</f>
        <v>0.11669983716301791</v>
      </c>
    </row>
    <row r="343" spans="1:90" hidden="1" x14ac:dyDescent="0.45">
      <c r="A343" t="s">
        <v>695</v>
      </c>
      <c r="B343">
        <v>1653775200</v>
      </c>
      <c r="C343" s="1" t="s">
        <v>693</v>
      </c>
      <c r="D343" t="s">
        <v>692</v>
      </c>
      <c r="E343">
        <v>-1</v>
      </c>
      <c r="F343" t="s">
        <v>84</v>
      </c>
      <c r="G343" t="s">
        <v>97</v>
      </c>
      <c r="H343" t="s">
        <v>66</v>
      </c>
      <c r="I343" t="e">
        <f>MROUND(Table1[[#This Row],[ProbH]]*100,2)/100</f>
        <v>#DIV/0!</v>
      </c>
      <c r="J343" t="e">
        <f>1/Table1[[#This Row],[odds_ft_home_team_win]]-Table1[[#This Row],[Margin]]</f>
        <v>#DIV/0!</v>
      </c>
      <c r="K343" t="e">
        <f>1/Table1[[#This Row],[odds_ft_draw]]-Table1[[#This Row],[Margin]]</f>
        <v>#DIV/0!</v>
      </c>
      <c r="L343" t="e">
        <f>1/Table1[[#This Row],[odds_ft_away_team_win]]-Table1[[#This Row],[Margin]]</f>
        <v>#DIV/0!</v>
      </c>
      <c r="M343" t="s">
        <v>66</v>
      </c>
      <c r="N343">
        <v>1.65</v>
      </c>
      <c r="O343">
        <v>1.61</v>
      </c>
      <c r="P343">
        <v>1.65</v>
      </c>
      <c r="Q343">
        <v>1.61</v>
      </c>
      <c r="R343" t="str" cm="1">
        <f t="array" ref="R3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0</v>
      </c>
      <c r="AV343">
        <v>0</v>
      </c>
      <c r="AW343">
        <v>2.31</v>
      </c>
      <c r="AX343">
        <v>50</v>
      </c>
      <c r="AY343">
        <v>69</v>
      </c>
      <c r="AZ343">
        <v>41</v>
      </c>
      <c r="BA343">
        <v>18</v>
      </c>
      <c r="BB343">
        <v>7</v>
      </c>
      <c r="BC343">
        <v>28</v>
      </c>
      <c r="BD343">
        <v>66</v>
      </c>
      <c r="BE343">
        <v>37</v>
      </c>
      <c r="BF343">
        <v>75</v>
      </c>
      <c r="BG343">
        <v>9.9</v>
      </c>
      <c r="BH343">
        <v>4.68</v>
      </c>
      <c r="BI343">
        <v>0</v>
      </c>
      <c r="BJ343">
        <v>0</v>
      </c>
      <c r="BK343">
        <v>0</v>
      </c>
      <c r="BL343" t="e">
        <f>(1/Table1[[#This Row],[odds_ft_home_team_win]]+1/Table1[[#This Row],[odds_ft_draw]]+1/Table1[[#This Row],[odds_ft_away_team_win]]-1)/3</f>
        <v>#DIV/0!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66</v>
      </c>
      <c r="BT343" t="e">
        <f>VLOOKUP(Table1[[#This Row],[Reference]],metron,8,FALSE)</f>
        <v>#DIV/0!</v>
      </c>
      <c r="BU343" t="e">
        <f>VLOOKUP(Table1[[#This Row],[Reference]],metron,9,FALSE)</f>
        <v>#DIV/0!</v>
      </c>
      <c r="BV343" t="e">
        <f>VLOOKUP(Table1[[#This Row],[Reference]],metron,10,FALSE)</f>
        <v>#DIV/0!</v>
      </c>
      <c r="BW343" t="e">
        <f>VLOOKUP(Table1[[#This Row],[Reference]],metron,11,FALSE)</f>
        <v>#DIV/0!</v>
      </c>
      <c r="BX343" t="e">
        <f>VLOOKUP(Table1[[#This Row],[Reference]],metron,12,FALSE)</f>
        <v>#DIV/0!</v>
      </c>
      <c r="BY343" s="6" t="e">
        <f>VLOOKUP(Table1[[#This Row],[Reference]],metron,13,FALSE)</f>
        <v>#DIV/0!</v>
      </c>
      <c r="BZ343" s="6" t="e">
        <f>VLOOKUP(Table1[[#This Row],[Reference]],metron,14,FALSE)</f>
        <v>#DIV/0!</v>
      </c>
      <c r="CA343" s="6" t="e">
        <f>VLOOKUP(Table1[[#This Row],[Reference]],metron,15,FALSE)</f>
        <v>#DIV/0!</v>
      </c>
      <c r="CB343" s="6" t="e">
        <f>VLOOKUP(Table1[[#This Row],[Reference]],metron,16,FALSE)</f>
        <v>#DIV/0!</v>
      </c>
      <c r="CC343" s="6" t="e">
        <f>VLOOKUP(Table1[[#This Row],[Reference]],metron,17,FALSE)</f>
        <v>#DIV/0!</v>
      </c>
      <c r="CD343" s="6" t="e">
        <f>VLOOKUP(Table1[[#This Row],[Reference]],metron,18,FALSE)</f>
        <v>#DIV/0!</v>
      </c>
      <c r="CE343" s="6" t="e">
        <f>VLOOKUP(Table1[[#This Row],[Reference]],metron,19,FALSE)</f>
        <v>#DIV/0!</v>
      </c>
      <c r="CF343" s="6" t="e">
        <f>VLOOKUP(Table1[[#This Row],[Reference]],metron,20,FALSE)</f>
        <v>#DIV/0!</v>
      </c>
      <c r="CG343" s="6" t="e">
        <f>VLOOKUP(Table1[[#This Row],[Reference]],metron,21,FALSE)</f>
        <v>#DIV/0!</v>
      </c>
      <c r="CH343" s="6" t="e">
        <f>VLOOKUP(Table1[[#This Row],[Reference]],metron,22,FALSE)</f>
        <v>#DIV/0!</v>
      </c>
      <c r="CI343" s="6" t="e">
        <f>VLOOKUP(Table1[[#This Row],[Reference]],metron,23,FALSE)</f>
        <v>#DIV/0!</v>
      </c>
      <c r="CJ343" s="6" t="e">
        <f>VLOOKUP(Table1[[#This Row],[Reference]],metron,24,FALSE)</f>
        <v>#DIV/0!</v>
      </c>
      <c r="CK343" s="6" t="e">
        <f>VLOOKUP(Table1[[#This Row],[Reference]],metron,25,FALSE)</f>
        <v>#DIV/0!</v>
      </c>
      <c r="CL343" s="6" t="e">
        <f>VLOOKUP(Table1[[#This Row],[Reference]],metron,26,FALSE)</f>
        <v>#DIV/0!</v>
      </c>
    </row>
    <row r="344" spans="1:90" hidden="1" x14ac:dyDescent="0.45">
      <c r="A344" t="s">
        <v>1346</v>
      </c>
      <c r="B344">
        <v>1595637000</v>
      </c>
      <c r="C344" s="23" t="s">
        <v>697</v>
      </c>
      <c r="D344" t="s">
        <v>65</v>
      </c>
      <c r="E344" t="s">
        <v>66</v>
      </c>
      <c r="F344" t="s">
        <v>72</v>
      </c>
      <c r="G344" t="s">
        <v>107</v>
      </c>
      <c r="H344" t="s">
        <v>92</v>
      </c>
      <c r="I344">
        <f>MROUND(Table1[[#This Row],[ProbH]]*100,2)/100</f>
        <v>0.22</v>
      </c>
      <c r="J344">
        <f>1/Table1[[#This Row],[odds_ft_home_team_win]]-Table1[[#This Row],[Margin]]</f>
        <v>0.22040478853146456</v>
      </c>
      <c r="K344">
        <f>1/Table1[[#This Row],[odds_ft_draw]]-Table1[[#This Row],[Margin]]</f>
        <v>0.27953265253737736</v>
      </c>
      <c r="L344">
        <f>1/Table1[[#This Row],[odds_ft_away_team_win]]-Table1[[#This Row],[Margin]]</f>
        <v>0.50006255893115803</v>
      </c>
      <c r="M344">
        <v>1</v>
      </c>
      <c r="N344">
        <v>0</v>
      </c>
      <c r="O344">
        <v>0</v>
      </c>
      <c r="P344">
        <v>1.29</v>
      </c>
      <c r="Q344">
        <v>1.47</v>
      </c>
      <c r="R344" t="str" cm="1">
        <f t="array" ref="R3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44">
        <v>0</v>
      </c>
      <c r="T344">
        <v>3</v>
      </c>
      <c r="U344">
        <v>3</v>
      </c>
      <c r="V344">
        <v>2</v>
      </c>
      <c r="W344">
        <v>0</v>
      </c>
      <c r="X344">
        <v>2</v>
      </c>
      <c r="Z344" t="s">
        <v>698</v>
      </c>
      <c r="AA344">
        <v>4</v>
      </c>
      <c r="AB344">
        <v>6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7</v>
      </c>
      <c r="AL344">
        <v>11</v>
      </c>
      <c r="AM344">
        <v>2</v>
      </c>
      <c r="AN344">
        <v>6</v>
      </c>
      <c r="AO344">
        <v>5</v>
      </c>
      <c r="AP344">
        <v>5</v>
      </c>
      <c r="AQ344">
        <v>14</v>
      </c>
      <c r="AR344">
        <v>17</v>
      </c>
      <c r="AS344">
        <v>40</v>
      </c>
      <c r="AT344">
        <v>60</v>
      </c>
      <c r="AU344">
        <v>0.79</v>
      </c>
      <c r="AV344">
        <v>1.39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4.0999999999999996</v>
      </c>
      <c r="BJ344">
        <v>3.3</v>
      </c>
      <c r="BK344">
        <v>1.91</v>
      </c>
      <c r="BL344">
        <f>(1/Table1[[#This Row],[odds_ft_home_team_win]]+1/Table1[[#This Row],[odds_ft_draw]]+1/Table1[[#This Row],[odds_ft_away_team_win]]-1)/3</f>
        <v>2.3497650492925699E-2</v>
      </c>
      <c r="BM344">
        <v>1.36</v>
      </c>
      <c r="BN344">
        <v>2.15</v>
      </c>
      <c r="BO344">
        <v>3.9</v>
      </c>
      <c r="BP344">
        <v>7.5</v>
      </c>
      <c r="BQ344">
        <v>1.95</v>
      </c>
      <c r="BR344">
        <v>1.8</v>
      </c>
      <c r="BS344" t="s">
        <v>76</v>
      </c>
      <c r="BT344">
        <f>VLOOKUP(Table1[[#This Row],[Reference]],metron,8,FALSE)</f>
        <v>0.95722909461760497</v>
      </c>
      <c r="BU344">
        <f>VLOOKUP(Table1[[#This Row],[Reference]],metron,9,FALSE)</f>
        <v>1.7723830340511415</v>
      </c>
      <c r="BV344">
        <f>VLOOKUP(Table1[[#This Row],[Reference]],metron,10,FALSE)</f>
        <v>2.7115135834411381</v>
      </c>
      <c r="BW344">
        <f>VLOOKUP(Table1[[#This Row],[Reference]],metron,11,FALSE)</f>
        <v>1.0633893919793009</v>
      </c>
      <c r="BX344">
        <f>VLOOKUP(Table1[[#This Row],[Reference]],metron,12,FALSE)</f>
        <v>1.648124191461837</v>
      </c>
      <c r="BY344" s="6">
        <f>VLOOKUP(Table1[[#This Row],[Reference]],metron,13,FALSE)</f>
        <v>0.47218628719275552</v>
      </c>
      <c r="BZ344" s="6">
        <f>VLOOKUP(Table1[[#This Row],[Reference]],metron,14,FALSE)</f>
        <v>0.70181112548512292</v>
      </c>
      <c r="CA344" s="6">
        <f>VLOOKUP(Table1[[#This Row],[Reference]],metron,15,FALSE)</f>
        <v>10.38488783943329</v>
      </c>
      <c r="CB344" s="6">
        <f>VLOOKUP(Table1[[#This Row],[Reference]],metron,16,FALSE)</f>
        <v>12.349468713105081</v>
      </c>
      <c r="CC344" s="6">
        <f>VLOOKUP(Table1[[#This Row],[Reference]],metron,17,FALSE)</f>
        <v>4.0990453460620522</v>
      </c>
      <c r="CD344" s="6">
        <f>VLOOKUP(Table1[[#This Row],[Reference]],metron,18,FALSE)</f>
        <v>5.2720763723150359</v>
      </c>
      <c r="CE344" s="6">
        <f>VLOOKUP(Table1[[#This Row],[Reference]],metron,19,FALSE)</f>
        <v>6.2858424933712378</v>
      </c>
      <c r="CF344" s="6">
        <f>VLOOKUP(Table1[[#This Row],[Reference]],metron,20,FALSE)</f>
        <v>7.0773923407900448</v>
      </c>
      <c r="CG344" s="6">
        <f>VLOOKUP(Table1[[#This Row],[Reference]],metron,21,FALSE)</f>
        <v>13.235083532219569</v>
      </c>
      <c r="CH344" s="6">
        <f>VLOOKUP(Table1[[#This Row],[Reference]],metron,22,FALSE)</f>
        <v>13.05131264916468</v>
      </c>
      <c r="CI344" s="6">
        <f>VLOOKUP(Table1[[#This Row],[Reference]],metron,23,FALSE)</f>
        <v>1.834292289988493</v>
      </c>
      <c r="CJ344" s="6">
        <f>VLOOKUP(Table1[[#This Row],[Reference]],metron,24,FALSE)</f>
        <v>1.806674338319908</v>
      </c>
      <c r="CK344" s="6">
        <f>VLOOKUP(Table1[[#This Row],[Reference]],metron,25,FALSE)</f>
        <v>0.1196777905638665</v>
      </c>
      <c r="CL344" s="6">
        <f>VLOOKUP(Table1[[#This Row],[Reference]],metron,26,FALSE)</f>
        <v>0.1185270425776755</v>
      </c>
    </row>
    <row r="345" spans="1:90" hidden="1" x14ac:dyDescent="0.45">
      <c r="A345" t="s">
        <v>1346</v>
      </c>
      <c r="B345">
        <v>1595721600</v>
      </c>
      <c r="C345" s="23" t="s">
        <v>699</v>
      </c>
      <c r="D345" t="s">
        <v>65</v>
      </c>
      <c r="E345" t="s">
        <v>66</v>
      </c>
      <c r="F345" t="s">
        <v>90</v>
      </c>
      <c r="G345" t="s">
        <v>85</v>
      </c>
      <c r="H345" t="s">
        <v>80</v>
      </c>
      <c r="I345">
        <f>MROUND(Table1[[#This Row],[ProbH]]*100,2)/100</f>
        <v>0.34</v>
      </c>
      <c r="J345">
        <f>1/Table1[[#This Row],[odds_ft_home_team_win]]-Table1[[#This Row],[Margin]]</f>
        <v>0.33008211223517669</v>
      </c>
      <c r="K345">
        <f>1/Table1[[#This Row],[odds_ft_draw]]-Table1[[#This Row],[Margin]]</f>
        <v>0.27144671777888668</v>
      </c>
      <c r="L345">
        <f>1/Table1[[#This Row],[odds_ft_away_team_win]]-Table1[[#This Row],[Margin]]</f>
        <v>0.39847116998593657</v>
      </c>
      <c r="M345">
        <v>1</v>
      </c>
      <c r="N345">
        <v>0</v>
      </c>
      <c r="O345">
        <v>0</v>
      </c>
      <c r="P345">
        <v>1.6</v>
      </c>
      <c r="Q345">
        <v>1.5</v>
      </c>
      <c r="R345" t="str" cm="1">
        <f t="array" ref="R3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AA345">
        <v>0</v>
      </c>
      <c r="AB345">
        <v>5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10</v>
      </c>
      <c r="AL345">
        <v>15</v>
      </c>
      <c r="AM345">
        <v>3</v>
      </c>
      <c r="AN345">
        <v>6</v>
      </c>
      <c r="AO345">
        <v>7</v>
      </c>
      <c r="AP345">
        <v>9</v>
      </c>
      <c r="AQ345">
        <v>14</v>
      </c>
      <c r="AR345">
        <v>13</v>
      </c>
      <c r="AS345">
        <v>42</v>
      </c>
      <c r="AT345">
        <v>58</v>
      </c>
      <c r="AU345">
        <v>1.01</v>
      </c>
      <c r="AV345">
        <v>1.66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2.8</v>
      </c>
      <c r="BJ345">
        <v>3.35</v>
      </c>
      <c r="BK345">
        <v>2.35</v>
      </c>
      <c r="BL345">
        <f>(1/Table1[[#This Row],[odds_ft_home_team_win]]+1/Table1[[#This Row],[odds_ft_draw]]+1/Table1[[#This Row],[odds_ft_away_team_win]]-1)/3</f>
        <v>2.7060744907680439E-2</v>
      </c>
      <c r="BM345">
        <v>1.22</v>
      </c>
      <c r="BN345">
        <v>1.71</v>
      </c>
      <c r="BO345">
        <v>2.8</v>
      </c>
      <c r="BP345">
        <v>5.15</v>
      </c>
      <c r="BQ345">
        <v>1.59</v>
      </c>
      <c r="BR345">
        <v>2.25</v>
      </c>
      <c r="BS345" t="s">
        <v>94</v>
      </c>
      <c r="BT345">
        <f>VLOOKUP(Table1[[#This Row],[Reference]],metron,8,FALSE)</f>
        <v>1.3382439854569812</v>
      </c>
      <c r="BU345">
        <f>VLOOKUP(Table1[[#This Row],[Reference]],metron,9,FALSE)</f>
        <v>1.3740319615582339</v>
      </c>
      <c r="BV345">
        <f>VLOOKUP(Table1[[#This Row],[Reference]],metron,10,FALSE)</f>
        <v>2.5229727551184897</v>
      </c>
      <c r="BW345">
        <f>VLOOKUP(Table1[[#This Row],[Reference]],metron,11,FALSE)</f>
        <v>1.228921489601805</v>
      </c>
      <c r="BX345">
        <f>VLOOKUP(Table1[[#This Row],[Reference]],metron,12,FALSE)</f>
        <v>1.2940512655166849</v>
      </c>
      <c r="BY345" s="6">
        <f>VLOOKUP(Table1[[#This Row],[Reference]],metron,13,FALSE)</f>
        <v>0.53240890035472432</v>
      </c>
      <c r="BZ345" s="6">
        <f>VLOOKUP(Table1[[#This Row],[Reference]],metron,14,FALSE)</f>
        <v>0.56514027732989358</v>
      </c>
      <c r="CA345" s="6">
        <f>VLOOKUP(Table1[[#This Row],[Reference]],metron,15,FALSE)</f>
        <v>11.417888124439131</v>
      </c>
      <c r="CB345" s="6">
        <f>VLOOKUP(Table1[[#This Row],[Reference]],metron,16,FALSE)</f>
        <v>10.76308704756207</v>
      </c>
      <c r="CC345" s="6">
        <f>VLOOKUP(Table1[[#This Row],[Reference]],metron,17,FALSE)</f>
        <v>4.8317672021824798</v>
      </c>
      <c r="CD345" s="6">
        <f>VLOOKUP(Table1[[#This Row],[Reference]],metron,18,FALSE)</f>
        <v>4.6698999696877843</v>
      </c>
      <c r="CE345" s="6">
        <f>VLOOKUP(Table1[[#This Row],[Reference]],metron,19,FALSE)</f>
        <v>6.5861209222566508</v>
      </c>
      <c r="CF345" s="6">
        <f>VLOOKUP(Table1[[#This Row],[Reference]],metron,20,FALSE)</f>
        <v>6.093187077874286</v>
      </c>
      <c r="CG345" s="6">
        <f>VLOOKUP(Table1[[#This Row],[Reference]],metron,21,FALSE)</f>
        <v>12.685679611650491</v>
      </c>
      <c r="CH345" s="6">
        <f>VLOOKUP(Table1[[#This Row],[Reference]],metron,22,FALSE)</f>
        <v>13.02639563106796</v>
      </c>
      <c r="CI345" s="6">
        <f>VLOOKUP(Table1[[#This Row],[Reference]],metron,23,FALSE)</f>
        <v>1.6481211768132831</v>
      </c>
      <c r="CJ345" s="6">
        <f>VLOOKUP(Table1[[#This Row],[Reference]],metron,24,FALSE)</f>
        <v>1.8572676958928049</v>
      </c>
      <c r="CK345" s="6">
        <f>VLOOKUP(Table1[[#This Row],[Reference]],metron,25,FALSE)</f>
        <v>9.641712787649287E-2</v>
      </c>
      <c r="CL345" s="6">
        <f>VLOOKUP(Table1[[#This Row],[Reference]],metron,26,FALSE)</f>
        <v>0.11302068161957469</v>
      </c>
    </row>
    <row r="346" spans="1:90" hidden="1" x14ac:dyDescent="0.45">
      <c r="A346" t="s">
        <v>1346</v>
      </c>
      <c r="B346">
        <v>1595728800</v>
      </c>
      <c r="C346" s="23" t="s">
        <v>700</v>
      </c>
      <c r="D346" t="s">
        <v>65</v>
      </c>
      <c r="E346" t="s">
        <v>66</v>
      </c>
      <c r="F346" t="s">
        <v>112</v>
      </c>
      <c r="G346" t="s">
        <v>73</v>
      </c>
      <c r="H346" t="s">
        <v>130</v>
      </c>
      <c r="I346">
        <f>MROUND(Table1[[#This Row],[ProbH]]*100,2)/100</f>
        <v>0.52</v>
      </c>
      <c r="J346">
        <f>1/Table1[[#This Row],[odds_ft_home_team_win]]-Table1[[#This Row],[Margin]]</f>
        <v>0.52315378254369749</v>
      </c>
      <c r="K346">
        <f>1/Table1[[#This Row],[odds_ft_draw]]-Table1[[#This Row],[Margin]]</f>
        <v>0.24697596538227376</v>
      </c>
      <c r="L346">
        <f>1/Table1[[#This Row],[odds_ft_away_team_win]]-Table1[[#This Row],[Margin]]</f>
        <v>0.22987025207402881</v>
      </c>
      <c r="M346">
        <v>1</v>
      </c>
      <c r="N346">
        <v>0</v>
      </c>
      <c r="O346">
        <v>0</v>
      </c>
      <c r="P346">
        <v>2.1800000000000002</v>
      </c>
      <c r="Q346">
        <v>0.8</v>
      </c>
      <c r="R346" t="str" cm="1">
        <f t="array" ref="R3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6">
        <v>2</v>
      </c>
      <c r="T346">
        <v>0</v>
      </c>
      <c r="U346">
        <v>2</v>
      </c>
      <c r="V346">
        <v>1</v>
      </c>
      <c r="W346">
        <v>1</v>
      </c>
      <c r="X346">
        <v>0</v>
      </c>
      <c r="Y346" t="s">
        <v>701</v>
      </c>
      <c r="AA346">
        <v>10</v>
      </c>
      <c r="AB346">
        <v>4</v>
      </c>
      <c r="AC346">
        <v>1</v>
      </c>
      <c r="AD346">
        <v>1</v>
      </c>
      <c r="AE346">
        <v>2</v>
      </c>
      <c r="AF346">
        <v>1</v>
      </c>
      <c r="AG346">
        <v>0</v>
      </c>
      <c r="AH346">
        <v>2</v>
      </c>
      <c r="AI346">
        <v>2</v>
      </c>
      <c r="AJ346">
        <v>1</v>
      </c>
      <c r="AK346">
        <v>18</v>
      </c>
      <c r="AL346">
        <v>7</v>
      </c>
      <c r="AM346">
        <v>4</v>
      </c>
      <c r="AN346">
        <v>0</v>
      </c>
      <c r="AO346">
        <v>14</v>
      </c>
      <c r="AP346">
        <v>7</v>
      </c>
      <c r="AQ346">
        <v>15</v>
      </c>
      <c r="AR346">
        <v>5</v>
      </c>
      <c r="AS346">
        <v>67</v>
      </c>
      <c r="AT346">
        <v>33</v>
      </c>
      <c r="AU346">
        <v>1.79</v>
      </c>
      <c r="AV346">
        <v>0.64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1.83</v>
      </c>
      <c r="BJ346">
        <v>3.7</v>
      </c>
      <c r="BK346">
        <v>3.95</v>
      </c>
      <c r="BL346">
        <f>(1/Table1[[#This Row],[odds_ft_home_team_win]]+1/Table1[[#This Row],[odds_ft_draw]]+1/Table1[[#This Row],[odds_ft_away_team_win]]-1)/3</f>
        <v>2.329430488799648E-2</v>
      </c>
      <c r="BM346">
        <v>1.21</v>
      </c>
      <c r="BN346">
        <v>1.67</v>
      </c>
      <c r="BO346">
        <v>2.7</v>
      </c>
      <c r="BP346">
        <v>4.9000000000000004</v>
      </c>
      <c r="BQ346">
        <v>1.62</v>
      </c>
      <c r="BR346">
        <v>2.2000000000000002</v>
      </c>
      <c r="BS346" t="s">
        <v>99</v>
      </c>
      <c r="BT346">
        <f>VLOOKUP(Table1[[#This Row],[Reference]],metron,8,FALSE)</f>
        <v>1.8614830167843088</v>
      </c>
      <c r="BU346">
        <f>VLOOKUP(Table1[[#This Row],[Reference]],metron,9,FALSE)</f>
        <v>0.87079851622593896</v>
      </c>
      <c r="BV346">
        <f>VLOOKUP(Table1[[#This Row],[Reference]],metron,10,FALSE)</f>
        <v>2.5967403582378576</v>
      </c>
      <c r="BW346">
        <f>VLOOKUP(Table1[[#This Row],[Reference]],metron,11,FALSE)</f>
        <v>1.625948039373891</v>
      </c>
      <c r="BX346">
        <f>VLOOKUP(Table1[[#This Row],[Reference]],metron,12,FALSE)</f>
        <v>0.97079231886396644</v>
      </c>
      <c r="BY346" s="6">
        <f>VLOOKUP(Table1[[#This Row],[Reference]],metron,13,FALSE)</f>
        <v>0.71433182698515174</v>
      </c>
      <c r="BZ346" s="6">
        <f>VLOOKUP(Table1[[#This Row],[Reference]],metron,14,FALSE)</f>
        <v>0.43011620400258233</v>
      </c>
      <c r="CA346" s="6">
        <f>VLOOKUP(Table1[[#This Row],[Reference]],metron,15,FALSE)</f>
        <v>13.39951055368614</v>
      </c>
      <c r="CB346" s="6">
        <f>VLOOKUP(Table1[[#This Row],[Reference]],metron,16,FALSE)</f>
        <v>9.4252064851636579</v>
      </c>
      <c r="CC346" s="6">
        <f>VLOOKUP(Table1[[#This Row],[Reference]],metron,17,FALSE)</f>
        <v>5.7628422023992618</v>
      </c>
      <c r="CD346" s="6">
        <f>VLOOKUP(Table1[[#This Row],[Reference]],metron,18,FALSE)</f>
        <v>3.9375576745616732</v>
      </c>
      <c r="CE346" s="6">
        <f>VLOOKUP(Table1[[#This Row],[Reference]],metron,19,FALSE)</f>
        <v>7.636668351286878</v>
      </c>
      <c r="CF346" s="6">
        <f>VLOOKUP(Table1[[#This Row],[Reference]],metron,20,FALSE)</f>
        <v>5.4876488106019847</v>
      </c>
      <c r="CG346" s="6">
        <f>VLOOKUP(Table1[[#This Row],[Reference]],metron,21,FALSE)</f>
        <v>12.460420531849101</v>
      </c>
      <c r="CH346" s="6">
        <f>VLOOKUP(Table1[[#This Row],[Reference]],metron,22,FALSE)</f>
        <v>13.44897959183673</v>
      </c>
      <c r="CI346" s="6">
        <f>VLOOKUP(Table1[[#This Row],[Reference]],metron,23,FALSE)</f>
        <v>1.462202380952381</v>
      </c>
      <c r="CJ346" s="6">
        <f>VLOOKUP(Table1[[#This Row],[Reference]],metron,24,FALSE)</f>
        <v>2.01547619047619</v>
      </c>
      <c r="CK346" s="6">
        <f>VLOOKUP(Table1[[#This Row],[Reference]],metron,25,FALSE)</f>
        <v>7.7380952380952384E-2</v>
      </c>
      <c r="CL346" s="6">
        <f>VLOOKUP(Table1[[#This Row],[Reference]],metron,26,FALSE)</f>
        <v>0.13754093480202439</v>
      </c>
    </row>
    <row r="347" spans="1:90" hidden="1" x14ac:dyDescent="0.45">
      <c r="A347" t="s">
        <v>1346</v>
      </c>
      <c r="B347">
        <v>1595728800</v>
      </c>
      <c r="C347" s="23" t="s">
        <v>700</v>
      </c>
      <c r="D347" t="s">
        <v>65</v>
      </c>
      <c r="E347" t="s">
        <v>66</v>
      </c>
      <c r="F347" t="s">
        <v>106</v>
      </c>
      <c r="G347" t="s">
        <v>97</v>
      </c>
      <c r="H347" t="s">
        <v>158</v>
      </c>
      <c r="I347">
        <f>MROUND(Table1[[#This Row],[ProbH]]*100,2)/100</f>
        <v>0.54</v>
      </c>
      <c r="J347">
        <f>1/Table1[[#This Row],[odds_ft_home_team_win]]-Table1[[#This Row],[Margin]]</f>
        <v>0.53094622862064722</v>
      </c>
      <c r="K347">
        <f>1/Table1[[#This Row],[odds_ft_draw]]-Table1[[#This Row],[Margin]]</f>
        <v>0.26110495877937734</v>
      </c>
      <c r="L347">
        <f>1/Table1[[#This Row],[odds_ft_away_team_win]]-Table1[[#This Row],[Margin]]</f>
        <v>0.20794881259997536</v>
      </c>
      <c r="M347">
        <v>1</v>
      </c>
      <c r="N347">
        <v>0</v>
      </c>
      <c r="O347">
        <v>0</v>
      </c>
      <c r="P347">
        <v>1.59</v>
      </c>
      <c r="Q347">
        <v>1.06</v>
      </c>
      <c r="R347" s="9" t="str" cm="1">
        <f t="array" ref="R3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7">
        <v>3</v>
      </c>
      <c r="T347">
        <v>1</v>
      </c>
      <c r="U347">
        <v>4</v>
      </c>
      <c r="V347">
        <v>2</v>
      </c>
      <c r="W347">
        <v>1</v>
      </c>
      <c r="X347">
        <v>1</v>
      </c>
      <c r="Y347" t="s">
        <v>702</v>
      </c>
      <c r="Z347">
        <v>21</v>
      </c>
      <c r="AA347">
        <v>1</v>
      </c>
      <c r="AB347">
        <v>6</v>
      </c>
      <c r="AC347">
        <v>2</v>
      </c>
      <c r="AD347">
        <v>0</v>
      </c>
      <c r="AE347">
        <v>3</v>
      </c>
      <c r="AF347">
        <v>1</v>
      </c>
      <c r="AG347">
        <v>0</v>
      </c>
      <c r="AH347">
        <v>2</v>
      </c>
      <c r="AI347">
        <v>1</v>
      </c>
      <c r="AJ347">
        <v>3</v>
      </c>
      <c r="AK347">
        <v>12</v>
      </c>
      <c r="AL347">
        <v>7</v>
      </c>
      <c r="AM347">
        <v>4</v>
      </c>
      <c r="AN347">
        <v>2</v>
      </c>
      <c r="AO347">
        <v>8</v>
      </c>
      <c r="AP347">
        <v>5</v>
      </c>
      <c r="AQ347">
        <v>12</v>
      </c>
      <c r="AR347">
        <v>12</v>
      </c>
      <c r="AS347">
        <v>56</v>
      </c>
      <c r="AT347">
        <v>44</v>
      </c>
      <c r="AU347">
        <v>1.38</v>
      </c>
      <c r="AV347">
        <v>0.87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1.8</v>
      </c>
      <c r="BJ347">
        <v>3.5</v>
      </c>
      <c r="BK347">
        <v>4.3</v>
      </c>
      <c r="BL347">
        <f>(1/Table1[[#This Row],[odds_ft_home_team_win]]+1/Table1[[#This Row],[odds_ft_draw]]+1/Table1[[#This Row],[odds_ft_away_team_win]]-1)/3</f>
        <v>2.460932693490836E-2</v>
      </c>
      <c r="BM347">
        <v>1.32</v>
      </c>
      <c r="BN347">
        <v>2</v>
      </c>
      <c r="BO347">
        <v>3.55</v>
      </c>
      <c r="BP347">
        <v>6.95</v>
      </c>
      <c r="BQ347">
        <v>1.87</v>
      </c>
      <c r="BR347">
        <v>1.83</v>
      </c>
      <c r="BS347" t="s">
        <v>110</v>
      </c>
      <c r="BT347">
        <f>VLOOKUP(Table1[[#This Row],[Reference]],metron,8,FALSE)</f>
        <v>1.915666026436746</v>
      </c>
      <c r="BU347">
        <f>VLOOKUP(Table1[[#This Row],[Reference]],metron,9,FALSE)</f>
        <v>0.82283834599204153</v>
      </c>
      <c r="BV347">
        <f>VLOOKUP(Table1[[#This Row],[Reference]],metron,10,FALSE)</f>
        <v>2.6359702267612941</v>
      </c>
      <c r="BW347">
        <f>VLOOKUP(Table1[[#This Row],[Reference]],metron,11,FALSE)</f>
        <v>1.684957590444867</v>
      </c>
      <c r="BX347">
        <f>VLOOKUP(Table1[[#This Row],[Reference]],metron,12,FALSE)</f>
        <v>0.95101263631642718</v>
      </c>
      <c r="BY347" s="6">
        <f>VLOOKUP(Table1[[#This Row],[Reference]],metron,13,FALSE)</f>
        <v>0.72650164445213783</v>
      </c>
      <c r="BZ347" s="6">
        <f>VLOOKUP(Table1[[#This Row],[Reference]],metron,14,FALSE)</f>
        <v>0.42097974727367138</v>
      </c>
      <c r="CA347" s="6">
        <f>VLOOKUP(Table1[[#This Row],[Reference]],metron,15,FALSE)</f>
        <v>13.338806970509379</v>
      </c>
      <c r="CB347" s="6">
        <f>VLOOKUP(Table1[[#This Row],[Reference]],metron,16,FALSE)</f>
        <v>9.2530160857908843</v>
      </c>
      <c r="CC347" s="6">
        <f>VLOOKUP(Table1[[#This Row],[Reference]],metron,17,FALSE)</f>
        <v>5.9915081521739131</v>
      </c>
      <c r="CD347" s="6">
        <f>VLOOKUP(Table1[[#This Row],[Reference]],metron,18,FALSE)</f>
        <v>3.9772418478260869</v>
      </c>
      <c r="CE347" s="6">
        <f>VLOOKUP(Table1[[#This Row],[Reference]],metron,19,FALSE)</f>
        <v>7.3472988183354664</v>
      </c>
      <c r="CF347" s="6">
        <f>VLOOKUP(Table1[[#This Row],[Reference]],metron,20,FALSE)</f>
        <v>5.2757742379647974</v>
      </c>
      <c r="CG347" s="6">
        <f>VLOOKUP(Table1[[#This Row],[Reference]],metron,21,FALSE)</f>
        <v>12.59428182437032</v>
      </c>
      <c r="CH347" s="6">
        <f>VLOOKUP(Table1[[#This Row],[Reference]],metron,22,FALSE)</f>
        <v>13.577944179714089</v>
      </c>
      <c r="CI347" s="6">
        <f>VLOOKUP(Table1[[#This Row],[Reference]],metron,23,FALSE)</f>
        <v>1.4276913099870301</v>
      </c>
      <c r="CJ347" s="6">
        <f>VLOOKUP(Table1[[#This Row],[Reference]],metron,24,FALSE)</f>
        <v>1.940985732814527</v>
      </c>
      <c r="CK347" s="6">
        <f>VLOOKUP(Table1[[#This Row],[Reference]],metron,25,FALSE)</f>
        <v>8.0739299610894946E-2</v>
      </c>
      <c r="CL347" s="6">
        <f>VLOOKUP(Table1[[#This Row],[Reference]],metron,26,FALSE)</f>
        <v>0.12743190661478601</v>
      </c>
    </row>
    <row r="348" spans="1:90" hidden="1" x14ac:dyDescent="0.45">
      <c r="A348" t="s">
        <v>1346</v>
      </c>
      <c r="B348">
        <v>1595782800</v>
      </c>
      <c r="C348" s="23" t="s">
        <v>703</v>
      </c>
      <c r="D348" t="s">
        <v>65</v>
      </c>
      <c r="E348" t="s">
        <v>66</v>
      </c>
      <c r="F348" t="s">
        <v>96</v>
      </c>
      <c r="G348" t="s">
        <v>67</v>
      </c>
      <c r="H348" t="s">
        <v>103</v>
      </c>
      <c r="I348">
        <f>MROUND(Table1[[#This Row],[ProbH]]*100,2)/100</f>
        <v>0.48</v>
      </c>
      <c r="J348">
        <f>1/Table1[[#This Row],[odds_ft_home_team_win]]-Table1[[#This Row],[Margin]]</f>
        <v>0.47338935574229685</v>
      </c>
      <c r="K348">
        <f>1/Table1[[#This Row],[odds_ft_draw]]-Table1[[#This Row],[Margin]]</f>
        <v>0.26750700280112039</v>
      </c>
      <c r="L348">
        <f>1/Table1[[#This Row],[odds_ft_away_team_win]]-Table1[[#This Row],[Margin]]</f>
        <v>0.25910364145658255</v>
      </c>
      <c r="M348">
        <v>1</v>
      </c>
      <c r="N348">
        <v>0</v>
      </c>
      <c r="O348">
        <v>0</v>
      </c>
      <c r="P348">
        <v>1.65</v>
      </c>
      <c r="Q348">
        <v>0.17</v>
      </c>
      <c r="R348" t="str" cm="1">
        <f t="array" ref="R3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8">
        <v>3</v>
      </c>
      <c r="T348">
        <v>2</v>
      </c>
      <c r="U348">
        <v>5</v>
      </c>
      <c r="V348">
        <v>1</v>
      </c>
      <c r="W348">
        <v>1</v>
      </c>
      <c r="X348">
        <v>0</v>
      </c>
      <c r="Y348" t="s">
        <v>704</v>
      </c>
      <c r="Z348" t="s">
        <v>705</v>
      </c>
      <c r="AA348">
        <v>4</v>
      </c>
      <c r="AB348">
        <v>4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11</v>
      </c>
      <c r="AL348">
        <v>9</v>
      </c>
      <c r="AM348">
        <v>5</v>
      </c>
      <c r="AN348">
        <v>7</v>
      </c>
      <c r="AO348">
        <v>6</v>
      </c>
      <c r="AP348">
        <v>2</v>
      </c>
      <c r="AQ348">
        <v>16</v>
      </c>
      <c r="AR348">
        <v>10</v>
      </c>
      <c r="AS348">
        <v>54</v>
      </c>
      <c r="AT348">
        <v>46</v>
      </c>
      <c r="AU348">
        <v>1.37</v>
      </c>
      <c r="AV348">
        <v>1.31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</v>
      </c>
      <c r="BJ348">
        <v>3.4</v>
      </c>
      <c r="BK348">
        <v>3.5</v>
      </c>
      <c r="BL348">
        <f>(1/Table1[[#This Row],[odds_ft_home_team_win]]+1/Table1[[#This Row],[odds_ft_draw]]+1/Table1[[#This Row],[odds_ft_away_team_win]]-1)/3</f>
        <v>2.6610644257703136E-2</v>
      </c>
      <c r="BM348">
        <v>1.26</v>
      </c>
      <c r="BN348">
        <v>1.83</v>
      </c>
      <c r="BO348">
        <v>3.15</v>
      </c>
      <c r="BP348">
        <v>5.9</v>
      </c>
      <c r="BQ348">
        <v>1.69</v>
      </c>
      <c r="BR348">
        <v>2.0499999999999998</v>
      </c>
      <c r="BS348" t="s">
        <v>99</v>
      </c>
      <c r="BT348">
        <f>VLOOKUP(Table1[[#This Row],[Reference]],metron,8,FALSE)</f>
        <v>1.743992017160418</v>
      </c>
      <c r="BU348">
        <f>VLOOKUP(Table1[[#This Row],[Reference]],metron,9,FALSE)</f>
        <v>0.97803937284245479</v>
      </c>
      <c r="BV348">
        <f>VLOOKUP(Table1[[#This Row],[Reference]],metron,10,FALSE)</f>
        <v>2.5271929824561399</v>
      </c>
      <c r="BW348">
        <f>VLOOKUP(Table1[[#This Row],[Reference]],metron,11,FALSE)</f>
        <v>1.510877192982456</v>
      </c>
      <c r="BX348">
        <f>VLOOKUP(Table1[[#This Row],[Reference]],metron,12,FALSE)</f>
        <v>1.0163157894736841</v>
      </c>
      <c r="BY348" s="6">
        <f>VLOOKUP(Table1[[#This Row],[Reference]],metron,13,FALSE)</f>
        <v>0.67350877192982461</v>
      </c>
      <c r="BZ348" s="6">
        <f>VLOOKUP(Table1[[#This Row],[Reference]],metron,14,FALSE)</f>
        <v>0.4442105263157895</v>
      </c>
      <c r="CA348" s="6">
        <f>VLOOKUP(Table1[[#This Row],[Reference]],metron,15,FALSE)</f>
        <v>12.80980392156863</v>
      </c>
      <c r="CB348" s="6">
        <f>VLOOKUP(Table1[[#This Row],[Reference]],metron,16,FALSE)</f>
        <v>9.6872549019607845</v>
      </c>
      <c r="CC348" s="6">
        <f>VLOOKUP(Table1[[#This Row],[Reference]],metron,17,FALSE)</f>
        <v>5.6491169610129957</v>
      </c>
      <c r="CD348" s="6">
        <f>VLOOKUP(Table1[[#This Row],[Reference]],metron,18,FALSE)</f>
        <v>4.1379540153282237</v>
      </c>
      <c r="CE348" s="6">
        <f>VLOOKUP(Table1[[#This Row],[Reference]],metron,19,FALSE)</f>
        <v>7.1606869605556343</v>
      </c>
      <c r="CF348" s="6">
        <f>VLOOKUP(Table1[[#This Row],[Reference]],metron,20,FALSE)</f>
        <v>5.5493008866325608</v>
      </c>
      <c r="CG348" s="6">
        <f>VLOOKUP(Table1[[#This Row],[Reference]],metron,21,FALSE)</f>
        <v>12.9029029029029</v>
      </c>
      <c r="CH348" s="6">
        <f>VLOOKUP(Table1[[#This Row],[Reference]],metron,22,FALSE)</f>
        <v>13.75508842175509</v>
      </c>
      <c r="CI348" s="6">
        <f>VLOOKUP(Table1[[#This Row],[Reference]],metron,23,FALSE)</f>
        <v>1.5287356321839081</v>
      </c>
      <c r="CJ348" s="6">
        <f>VLOOKUP(Table1[[#This Row],[Reference]],metron,24,FALSE)</f>
        <v>1.9664750957854411</v>
      </c>
      <c r="CK348" s="6">
        <f>VLOOKUP(Table1[[#This Row],[Reference]],metron,25,FALSE)</f>
        <v>8.8441890166028103E-2</v>
      </c>
      <c r="CL348" s="6">
        <f>VLOOKUP(Table1[[#This Row],[Reference]],metron,26,FALSE)</f>
        <v>0.13409961685823751</v>
      </c>
    </row>
    <row r="349" spans="1:90" hidden="1" x14ac:dyDescent="0.45">
      <c r="A349" t="s">
        <v>1346</v>
      </c>
      <c r="B349">
        <v>1595890800</v>
      </c>
      <c r="C349" s="23" t="s">
        <v>706</v>
      </c>
      <c r="D349" t="s">
        <v>65</v>
      </c>
      <c r="E349" t="s">
        <v>66</v>
      </c>
      <c r="F349" t="s">
        <v>91</v>
      </c>
      <c r="G349" t="s">
        <v>78</v>
      </c>
      <c r="H349" t="s">
        <v>184</v>
      </c>
      <c r="I349">
        <f>MROUND(Table1[[#This Row],[ProbH]]*100,2)/100</f>
        <v>0.56000000000000005</v>
      </c>
      <c r="J349">
        <f>1/Table1[[#This Row],[odds_ft_home_team_win]]-Table1[[#This Row],[Margin]]</f>
        <v>0.56043274631149231</v>
      </c>
      <c r="K349">
        <f>1/Table1[[#This Row],[odds_ft_draw]]-Table1[[#This Row],[Margin]]</f>
        <v>0.26975507173288893</v>
      </c>
      <c r="L349">
        <f>1/Table1[[#This Row],[odds_ft_away_team_win]]-Table1[[#This Row],[Margin]]</f>
        <v>0.16981218195561881</v>
      </c>
      <c r="M349">
        <v>1</v>
      </c>
      <c r="N349">
        <v>0</v>
      </c>
      <c r="O349">
        <v>0</v>
      </c>
      <c r="P349">
        <v>1</v>
      </c>
      <c r="Q349">
        <v>0.59</v>
      </c>
      <c r="R349" t="str" cm="1">
        <f t="array" ref="R3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9">
        <v>1</v>
      </c>
      <c r="T349">
        <v>1</v>
      </c>
      <c r="U349">
        <v>2</v>
      </c>
      <c r="V349">
        <v>1</v>
      </c>
      <c r="W349">
        <v>1</v>
      </c>
      <c r="X349">
        <v>0</v>
      </c>
      <c r="Y349">
        <v>9</v>
      </c>
      <c r="Z349">
        <v>71</v>
      </c>
      <c r="AA349">
        <v>2</v>
      </c>
      <c r="AB349">
        <v>8</v>
      </c>
      <c r="AC349">
        <v>2</v>
      </c>
      <c r="AD349">
        <v>0</v>
      </c>
      <c r="AE349">
        <v>3</v>
      </c>
      <c r="AF349">
        <v>0</v>
      </c>
      <c r="AG349">
        <v>1</v>
      </c>
      <c r="AH349">
        <v>1</v>
      </c>
      <c r="AI349">
        <v>1</v>
      </c>
      <c r="AJ349">
        <v>2</v>
      </c>
      <c r="AK349">
        <v>7</v>
      </c>
      <c r="AL349">
        <v>12</v>
      </c>
      <c r="AM349">
        <v>4</v>
      </c>
      <c r="AN349">
        <v>6</v>
      </c>
      <c r="AO349">
        <v>3</v>
      </c>
      <c r="AP349">
        <v>6</v>
      </c>
      <c r="AQ349">
        <v>22</v>
      </c>
      <c r="AR349">
        <v>13</v>
      </c>
      <c r="AS349">
        <v>39</v>
      </c>
      <c r="AT349">
        <v>61</v>
      </c>
      <c r="AU349">
        <v>1.1299999999999999</v>
      </c>
      <c r="AV349">
        <v>1.71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1.71</v>
      </c>
      <c r="BJ349">
        <v>3.4</v>
      </c>
      <c r="BK349">
        <v>5.15</v>
      </c>
      <c r="BL349">
        <f>(1/Table1[[#This Row],[odds_ft_home_team_win]]+1/Table1[[#This Row],[odds_ft_draw]]+1/Table1[[#This Row],[odds_ft_away_team_win]]-1)/3</f>
        <v>2.4362575325934593E-2</v>
      </c>
      <c r="BM349">
        <v>1.32</v>
      </c>
      <c r="BN349">
        <v>2</v>
      </c>
      <c r="BO349">
        <v>3.55</v>
      </c>
      <c r="BP349">
        <v>6.85</v>
      </c>
      <c r="BQ349">
        <v>1.87</v>
      </c>
      <c r="BR349">
        <v>1.87</v>
      </c>
      <c r="BS349" t="s">
        <v>144</v>
      </c>
      <c r="BT349">
        <f>VLOOKUP(Table1[[#This Row],[Reference]],metron,8,FALSE)</f>
        <v>1.9673156855724254</v>
      </c>
      <c r="BU349">
        <f>VLOOKUP(Table1[[#This Row],[Reference]],metron,9,FALSE)</f>
        <v>0.77729484582409181</v>
      </c>
      <c r="BV349">
        <f>VLOOKUP(Table1[[#This Row],[Reference]],metron,10,FALSE)</f>
        <v>2.6892488954344627</v>
      </c>
      <c r="BW349">
        <f>VLOOKUP(Table1[[#This Row],[Reference]],metron,11,FALSE)</f>
        <v>1.7546812539448771</v>
      </c>
      <c r="BX349">
        <f>VLOOKUP(Table1[[#This Row],[Reference]],metron,12,FALSE)</f>
        <v>0.93456764148958549</v>
      </c>
      <c r="BY349" s="6">
        <f>VLOOKUP(Table1[[#This Row],[Reference]],metron,13,FALSE)</f>
        <v>0.77824531874605507</v>
      </c>
      <c r="BZ349" s="6">
        <f>VLOOKUP(Table1[[#This Row],[Reference]],metron,14,FALSE)</f>
        <v>0.41237113402061848</v>
      </c>
      <c r="CA349" s="6">
        <f>VLOOKUP(Table1[[#This Row],[Reference]],metron,15,FALSE)</f>
        <v>13.77153558052435</v>
      </c>
      <c r="CB349" s="6">
        <f>VLOOKUP(Table1[[#This Row],[Reference]],metron,16,FALSE)</f>
        <v>9.0445692883895124</v>
      </c>
      <c r="CC349" s="6">
        <f>VLOOKUP(Table1[[#This Row],[Reference]],metron,17,FALSE)</f>
        <v>6.0821292775665396</v>
      </c>
      <c r="CD349" s="6">
        <f>VLOOKUP(Table1[[#This Row],[Reference]],metron,18,FALSE)</f>
        <v>3.8201520912547529</v>
      </c>
      <c r="CE349" s="6">
        <f>VLOOKUP(Table1[[#This Row],[Reference]],metron,19,FALSE)</f>
        <v>7.6894063029578108</v>
      </c>
      <c r="CF349" s="6">
        <f>VLOOKUP(Table1[[#This Row],[Reference]],metron,20,FALSE)</f>
        <v>5.224417197134759</v>
      </c>
      <c r="CG349" s="6">
        <f>VLOOKUP(Table1[[#This Row],[Reference]],metron,21,FALSE)</f>
        <v>12.297605473204101</v>
      </c>
      <c r="CH349" s="6">
        <f>VLOOKUP(Table1[[#This Row],[Reference]],metron,22,FALSE)</f>
        <v>13.310908399847969</v>
      </c>
      <c r="CI349" s="6">
        <f>VLOOKUP(Table1[[#This Row],[Reference]],metron,23,FALSE)</f>
        <v>1.3713126843657819</v>
      </c>
      <c r="CJ349" s="6">
        <f>VLOOKUP(Table1[[#This Row],[Reference]],metron,24,FALSE)</f>
        <v>1.9516961651917399</v>
      </c>
      <c r="CK349" s="6">
        <f>VLOOKUP(Table1[[#This Row],[Reference]],metron,25,FALSE)</f>
        <v>6.6002949852507375E-2</v>
      </c>
      <c r="CL349" s="6">
        <f>VLOOKUP(Table1[[#This Row],[Reference]],metron,26,FALSE)</f>
        <v>0.1297935103244838</v>
      </c>
    </row>
    <row r="350" spans="1:90" hidden="1" x14ac:dyDescent="0.45">
      <c r="A350" t="s">
        <v>1346</v>
      </c>
      <c r="B350">
        <v>1595898000</v>
      </c>
      <c r="C350" s="23" t="s">
        <v>707</v>
      </c>
      <c r="D350" t="s">
        <v>65</v>
      </c>
      <c r="E350" t="s">
        <v>66</v>
      </c>
      <c r="F350" t="s">
        <v>84</v>
      </c>
      <c r="G350" t="s">
        <v>68</v>
      </c>
      <c r="H350" t="s">
        <v>147</v>
      </c>
      <c r="I350">
        <f>MROUND(Table1[[#This Row],[ProbH]]*100,2)/100</f>
        <v>0.36</v>
      </c>
      <c r="J350">
        <f>1/Table1[[#This Row],[odds_ft_home_team_win]]-Table1[[#This Row],[Margin]]</f>
        <v>0.35979075955491052</v>
      </c>
      <c r="K350">
        <f>1/Table1[[#This Row],[odds_ft_draw]]-Table1[[#This Row],[Margin]]</f>
        <v>0.28767537493952594</v>
      </c>
      <c r="L350">
        <f>1/Table1[[#This Row],[odds_ft_away_team_win]]-Table1[[#This Row],[Margin]]</f>
        <v>0.3525338655055637</v>
      </c>
      <c r="M350">
        <v>1</v>
      </c>
      <c r="N350">
        <v>0</v>
      </c>
      <c r="O350">
        <v>0</v>
      </c>
      <c r="P350">
        <v>1.43</v>
      </c>
      <c r="Q350">
        <v>1.63</v>
      </c>
      <c r="R350" t="str" cm="1">
        <f t="array" ref="R3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50">
        <v>1</v>
      </c>
      <c r="T350">
        <v>2</v>
      </c>
      <c r="U350">
        <v>3</v>
      </c>
      <c r="V350">
        <v>0</v>
      </c>
      <c r="W350">
        <v>0</v>
      </c>
      <c r="X350">
        <v>0</v>
      </c>
      <c r="Y350" t="s">
        <v>304</v>
      </c>
      <c r="Z350" t="s">
        <v>708</v>
      </c>
      <c r="AA350">
        <v>4</v>
      </c>
      <c r="AB350">
        <v>4</v>
      </c>
      <c r="AC350">
        <v>4</v>
      </c>
      <c r="AD350">
        <v>1</v>
      </c>
      <c r="AE350">
        <v>1</v>
      </c>
      <c r="AF350">
        <v>1</v>
      </c>
      <c r="AG350">
        <v>2</v>
      </c>
      <c r="AH350">
        <v>3</v>
      </c>
      <c r="AI350">
        <v>1</v>
      </c>
      <c r="AJ350">
        <v>1</v>
      </c>
      <c r="AK350">
        <v>11</v>
      </c>
      <c r="AL350">
        <v>12</v>
      </c>
      <c r="AM350">
        <v>4</v>
      </c>
      <c r="AN350">
        <v>5</v>
      </c>
      <c r="AO350">
        <v>7</v>
      </c>
      <c r="AP350">
        <v>7</v>
      </c>
      <c r="AQ350">
        <v>18</v>
      </c>
      <c r="AR350">
        <v>14</v>
      </c>
      <c r="AS350">
        <v>52</v>
      </c>
      <c r="AT350">
        <v>48</v>
      </c>
      <c r="AU350">
        <v>1.26</v>
      </c>
      <c r="AV350">
        <v>1.3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2.6</v>
      </c>
      <c r="BJ350">
        <v>3.2</v>
      </c>
      <c r="BK350">
        <v>2.65</v>
      </c>
      <c r="BL350">
        <f>(1/Table1[[#This Row],[odds_ft_home_team_win]]+1/Table1[[#This Row],[odds_ft_draw]]+1/Table1[[#This Row],[odds_ft_away_team_win]]-1)/3</f>
        <v>2.4824625060474077E-2</v>
      </c>
      <c r="BM350">
        <v>1.25</v>
      </c>
      <c r="BN350">
        <v>1.8</v>
      </c>
      <c r="BO350">
        <v>3</v>
      </c>
      <c r="BP350">
        <v>5.6</v>
      </c>
      <c r="BQ350">
        <v>1.62</v>
      </c>
      <c r="BR350">
        <v>2.15</v>
      </c>
      <c r="BS350" t="s">
        <v>88</v>
      </c>
      <c r="BT350">
        <f>VLOOKUP(Table1[[#This Row],[Reference]],metron,8,FALSE)</f>
        <v>1.4023864615972674</v>
      </c>
      <c r="BU350">
        <f>VLOOKUP(Table1[[#This Row],[Reference]],metron,9,FALSE)</f>
        <v>1.3093265904245279</v>
      </c>
      <c r="BV350">
        <f>VLOOKUP(Table1[[#This Row],[Reference]],metron,10,FALSE)</f>
        <v>2.5110350525197691</v>
      </c>
      <c r="BW350">
        <f>VLOOKUP(Table1[[#This Row],[Reference]],metron,11,FALSE)</f>
        <v>1.269326094653606</v>
      </c>
      <c r="BX350">
        <f>VLOOKUP(Table1[[#This Row],[Reference]],metron,12,FALSE)</f>
        <v>1.2417089578661631</v>
      </c>
      <c r="BY350" s="6">
        <f>VLOOKUP(Table1[[#This Row],[Reference]],metron,13,FALSE)</f>
        <v>0.56586402266288949</v>
      </c>
      <c r="BZ350" s="6">
        <f>VLOOKUP(Table1[[#This Row],[Reference]],metron,14,FALSE)</f>
        <v>0.55158168083097259</v>
      </c>
      <c r="CA350" s="6">
        <f>VLOOKUP(Table1[[#This Row],[Reference]],metron,15,FALSE)</f>
        <v>11.49400826446281</v>
      </c>
      <c r="CB350" s="6">
        <f>VLOOKUP(Table1[[#This Row],[Reference]],metron,16,FALSE)</f>
        <v>10.507231404958681</v>
      </c>
      <c r="CC350" s="6">
        <f>VLOOKUP(Table1[[#This Row],[Reference]],metron,17,FALSE)</f>
        <v>4.9238790406673623</v>
      </c>
      <c r="CD350" s="6">
        <f>VLOOKUP(Table1[[#This Row],[Reference]],metron,18,FALSE)</f>
        <v>4.6296141814389991</v>
      </c>
      <c r="CE350" s="6">
        <f>VLOOKUP(Table1[[#This Row],[Reference]],metron,19,FALSE)</f>
        <v>6.5701292237954476</v>
      </c>
      <c r="CF350" s="6">
        <f>VLOOKUP(Table1[[#This Row],[Reference]],metron,20,FALSE)</f>
        <v>5.8776172235196817</v>
      </c>
      <c r="CG350" s="6">
        <f>VLOOKUP(Table1[[#This Row],[Reference]],metron,21,FALSE)</f>
        <v>12.798739495798319</v>
      </c>
      <c r="CH350" s="6">
        <f>VLOOKUP(Table1[[#This Row],[Reference]],metron,22,FALSE)</f>
        <v>12.98844537815126</v>
      </c>
      <c r="CI350" s="6">
        <f>VLOOKUP(Table1[[#This Row],[Reference]],metron,23,FALSE)</f>
        <v>1.604928297313674</v>
      </c>
      <c r="CJ350" s="6">
        <f>VLOOKUP(Table1[[#This Row],[Reference]],metron,24,FALSE)</f>
        <v>1.791961219955565</v>
      </c>
      <c r="CK350" s="6">
        <f>VLOOKUP(Table1[[#This Row],[Reference]],metron,25,FALSE)</f>
        <v>8.887093516461321E-2</v>
      </c>
      <c r="CL350" s="6">
        <f>VLOOKUP(Table1[[#This Row],[Reference]],metron,26,FALSE)</f>
        <v>0.11694607150070691</v>
      </c>
    </row>
    <row r="351" spans="1:90" hidden="1" x14ac:dyDescent="0.45">
      <c r="A351" t="s">
        <v>1346</v>
      </c>
      <c r="B351">
        <v>1595905200</v>
      </c>
      <c r="C351" s="23" t="s">
        <v>709</v>
      </c>
      <c r="D351" t="s">
        <v>65</v>
      </c>
      <c r="E351" t="s">
        <v>66</v>
      </c>
      <c r="F351" t="s">
        <v>113</v>
      </c>
      <c r="G351" t="s">
        <v>102</v>
      </c>
      <c r="H351" t="s">
        <v>118</v>
      </c>
      <c r="I351">
        <f>MROUND(Table1[[#This Row],[ProbH]]*100,2)/100</f>
        <v>0.42</v>
      </c>
      <c r="J351">
        <f>1/Table1[[#This Row],[odds_ft_home_team_win]]-Table1[[#This Row],[Margin]]</f>
        <v>0.42623167379800692</v>
      </c>
      <c r="K351">
        <f>1/Table1[[#This Row],[odds_ft_draw]]-Table1[[#This Row],[Margin]]</f>
        <v>0.29123863659676785</v>
      </c>
      <c r="L351">
        <f>1/Table1[[#This Row],[odds_ft_away_team_win]]-Table1[[#This Row],[Margin]]</f>
        <v>0.28252968960522523</v>
      </c>
      <c r="M351">
        <v>1</v>
      </c>
      <c r="N351">
        <v>0</v>
      </c>
      <c r="O351">
        <v>0</v>
      </c>
      <c r="P351">
        <v>1.53</v>
      </c>
      <c r="Q351">
        <v>1.33</v>
      </c>
      <c r="R351" t="str" cm="1">
        <f t="array" ref="R3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51">
        <v>1</v>
      </c>
      <c r="T351">
        <v>4</v>
      </c>
      <c r="U351">
        <v>5</v>
      </c>
      <c r="V351">
        <v>2</v>
      </c>
      <c r="W351">
        <v>1</v>
      </c>
      <c r="X351">
        <v>1</v>
      </c>
      <c r="Y351">
        <v>36</v>
      </c>
      <c r="Z351" t="s">
        <v>710</v>
      </c>
      <c r="AA351">
        <v>8</v>
      </c>
      <c r="AB351">
        <v>3</v>
      </c>
      <c r="AC351">
        <v>1</v>
      </c>
      <c r="AD351">
        <v>0</v>
      </c>
      <c r="AE351">
        <v>3</v>
      </c>
      <c r="AF351">
        <v>0</v>
      </c>
      <c r="AG351">
        <v>0</v>
      </c>
      <c r="AH351">
        <v>1</v>
      </c>
      <c r="AI351">
        <v>1</v>
      </c>
      <c r="AJ351">
        <v>2</v>
      </c>
      <c r="AK351">
        <v>18</v>
      </c>
      <c r="AL351">
        <v>10</v>
      </c>
      <c r="AM351">
        <v>2</v>
      </c>
      <c r="AN351">
        <v>7</v>
      </c>
      <c r="AO351">
        <v>16</v>
      </c>
      <c r="AP351">
        <v>3</v>
      </c>
      <c r="AQ351">
        <v>14</v>
      </c>
      <c r="AR351">
        <v>20</v>
      </c>
      <c r="AS351">
        <v>61</v>
      </c>
      <c r="AT351">
        <v>39</v>
      </c>
      <c r="AU351">
        <v>1.65</v>
      </c>
      <c r="AV351">
        <v>1.27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2.2200000000000002</v>
      </c>
      <c r="BJ351">
        <v>3.17</v>
      </c>
      <c r="BK351">
        <v>3.26</v>
      </c>
      <c r="BL351">
        <f>(1/Table1[[#This Row],[odds_ft_home_team_win]]+1/Table1[[#This Row],[odds_ft_draw]]+1/Table1[[#This Row],[odds_ft_away_team_win]]-1)/3</f>
        <v>2.4218776652443468E-2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 t="s">
        <v>120</v>
      </c>
      <c r="BT351">
        <f>VLOOKUP(Table1[[#This Row],[Reference]],metron,8,FALSE)</f>
        <v>1.5780106027030405</v>
      </c>
      <c r="BU351">
        <f>VLOOKUP(Table1[[#This Row],[Reference]],metron,9,FALSE)</f>
        <v>1.1353025412447635</v>
      </c>
      <c r="BV351">
        <f>VLOOKUP(Table1[[#This Row],[Reference]],metron,10,FALSE)</f>
        <v>2.4884649511978703</v>
      </c>
      <c r="BW351">
        <f>VLOOKUP(Table1[[#This Row],[Reference]],metron,11,FALSE)</f>
        <v>1.396960958296362</v>
      </c>
      <c r="BX351">
        <f>VLOOKUP(Table1[[#This Row],[Reference]],metron,12,FALSE)</f>
        <v>1.091503992901508</v>
      </c>
      <c r="BY351" s="6">
        <f>VLOOKUP(Table1[[#This Row],[Reference]],metron,13,FALSE)</f>
        <v>0.60765391014975045</v>
      </c>
      <c r="BZ351" s="6">
        <f>VLOOKUP(Table1[[#This Row],[Reference]],metron,14,FALSE)</f>
        <v>0.47276760953965608</v>
      </c>
      <c r="CA351" s="6">
        <f>VLOOKUP(Table1[[#This Row],[Reference]],metron,15,FALSE)</f>
        <v>12.29504785684561</v>
      </c>
      <c r="CB351" s="6">
        <f>VLOOKUP(Table1[[#This Row],[Reference]],metron,16,FALSE)</f>
        <v>10.047232625884311</v>
      </c>
      <c r="CC351" s="6">
        <f>VLOOKUP(Table1[[#This Row],[Reference]],metron,17,FALSE)</f>
        <v>5.2917192097519967</v>
      </c>
      <c r="CD351" s="6">
        <f>VLOOKUP(Table1[[#This Row],[Reference]],metron,18,FALSE)</f>
        <v>4.2580916351408158</v>
      </c>
      <c r="CE351" s="6">
        <f>VLOOKUP(Table1[[#This Row],[Reference]],metron,19,FALSE)</f>
        <v>7.0033286470936131</v>
      </c>
      <c r="CF351" s="6">
        <f>VLOOKUP(Table1[[#This Row],[Reference]],metron,20,FALSE)</f>
        <v>5.789140990743495</v>
      </c>
      <c r="CG351" s="6">
        <f>VLOOKUP(Table1[[#This Row],[Reference]],metron,21,FALSE)</f>
        <v>12.77041895895049</v>
      </c>
      <c r="CH351" s="6">
        <f>VLOOKUP(Table1[[#This Row],[Reference]],metron,22,FALSE)</f>
        <v>13.411129919593741</v>
      </c>
      <c r="CI351" s="6">
        <f>VLOOKUP(Table1[[#This Row],[Reference]],metron,23,FALSE)</f>
        <v>1.556141062018646</v>
      </c>
      <c r="CJ351" s="6">
        <f>VLOOKUP(Table1[[#This Row],[Reference]],metron,24,FALSE)</f>
        <v>1.9114308877178761</v>
      </c>
      <c r="CK351" s="6">
        <f>VLOOKUP(Table1[[#This Row],[Reference]],metron,25,FALSE)</f>
        <v>8.4920956627482766E-2</v>
      </c>
      <c r="CL351" s="6">
        <f>VLOOKUP(Table1[[#This Row],[Reference]],metron,26,FALSE)</f>
        <v>0.1323469801378192</v>
      </c>
    </row>
    <row r="352" spans="1:90" hidden="1" x14ac:dyDescent="0.45">
      <c r="A352" t="s">
        <v>1346</v>
      </c>
      <c r="B352">
        <v>1595980800</v>
      </c>
      <c r="C352" s="23" t="s">
        <v>711</v>
      </c>
      <c r="D352" t="s">
        <v>65</v>
      </c>
      <c r="E352" t="s">
        <v>66</v>
      </c>
      <c r="F352" t="s">
        <v>101</v>
      </c>
      <c r="G352" t="s">
        <v>79</v>
      </c>
      <c r="H352" t="s">
        <v>86</v>
      </c>
      <c r="I352">
        <f>MROUND(Table1[[#This Row],[ProbH]]*100,2)/100</f>
        <v>0.68</v>
      </c>
      <c r="J352">
        <f>1/Table1[[#This Row],[odds_ft_home_team_win]]-Table1[[#This Row],[Margin]]</f>
        <v>0.68771390842698144</v>
      </c>
      <c r="K352">
        <f>1/Table1[[#This Row],[odds_ft_draw]]-Table1[[#This Row],[Margin]]</f>
        <v>0.18848195758212735</v>
      </c>
      <c r="L352">
        <f>1/Table1[[#This Row],[odds_ft_away_team_win]]-Table1[[#This Row],[Margin]]</f>
        <v>0.12380413399089123</v>
      </c>
      <c r="M352">
        <v>1</v>
      </c>
      <c r="N352">
        <v>0</v>
      </c>
      <c r="O352">
        <v>0</v>
      </c>
      <c r="P352">
        <v>1.79</v>
      </c>
      <c r="Q352">
        <v>0.55000000000000004</v>
      </c>
      <c r="R352" t="str" cm="1">
        <f t="array" ref="R3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2">
        <v>3</v>
      </c>
      <c r="T352">
        <v>1</v>
      </c>
      <c r="U352">
        <v>4</v>
      </c>
      <c r="V352">
        <v>2</v>
      </c>
      <c r="W352">
        <v>2</v>
      </c>
      <c r="X352">
        <v>0</v>
      </c>
      <c r="Y352" t="s">
        <v>712</v>
      </c>
      <c r="Z352">
        <v>46</v>
      </c>
      <c r="AA352">
        <v>2</v>
      </c>
      <c r="AB352">
        <v>2</v>
      </c>
      <c r="AC352">
        <v>4</v>
      </c>
      <c r="AD352">
        <v>0</v>
      </c>
      <c r="AE352">
        <v>2</v>
      </c>
      <c r="AF352">
        <v>0</v>
      </c>
      <c r="AG352">
        <v>3</v>
      </c>
      <c r="AH352">
        <v>1</v>
      </c>
      <c r="AI352">
        <v>1</v>
      </c>
      <c r="AJ352">
        <v>1</v>
      </c>
      <c r="AK352">
        <v>21</v>
      </c>
      <c r="AL352">
        <v>12</v>
      </c>
      <c r="AM352">
        <v>7</v>
      </c>
      <c r="AN352">
        <v>6</v>
      </c>
      <c r="AO352">
        <v>14</v>
      </c>
      <c r="AP352">
        <v>6</v>
      </c>
      <c r="AQ352">
        <v>11</v>
      </c>
      <c r="AR352">
        <v>14</v>
      </c>
      <c r="AS352">
        <v>47</v>
      </c>
      <c r="AT352">
        <v>53</v>
      </c>
      <c r="AU352">
        <v>2.11</v>
      </c>
      <c r="AV352">
        <v>1.55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1.4</v>
      </c>
      <c r="BJ352">
        <v>4.6500000000000004</v>
      </c>
      <c r="BK352">
        <v>6.65</v>
      </c>
      <c r="BL352">
        <f>(1/Table1[[#This Row],[odds_ft_home_team_win]]+1/Table1[[#This Row],[odds_ft_draw]]+1/Table1[[#This Row],[odds_ft_away_team_win]]-1)/3</f>
        <v>2.6571805858732828E-2</v>
      </c>
      <c r="BM352">
        <v>1.17</v>
      </c>
      <c r="BN352">
        <v>1.56</v>
      </c>
      <c r="BO352">
        <v>2.4</v>
      </c>
      <c r="BP352">
        <v>4.25</v>
      </c>
      <c r="BQ352">
        <v>1.71</v>
      </c>
      <c r="BR352">
        <v>2.0499999999999998</v>
      </c>
      <c r="BS352" t="s">
        <v>713</v>
      </c>
      <c r="BT352">
        <f>VLOOKUP(Table1[[#This Row],[Reference]],metron,8,FALSE)</f>
        <v>2.2809240428978073</v>
      </c>
      <c r="BU352">
        <f>VLOOKUP(Table1[[#This Row],[Reference]],metron,9,FALSE)</f>
        <v>0.51285766971545521</v>
      </c>
      <c r="BV352">
        <f>VLOOKUP(Table1[[#This Row],[Reference]],metron,10,FALSE)</f>
        <v>2.9107565011820329</v>
      </c>
      <c r="BW352">
        <f>VLOOKUP(Table1[[#This Row],[Reference]],metron,11,FALSE)</f>
        <v>2.1359338061465718</v>
      </c>
      <c r="BX352">
        <f>VLOOKUP(Table1[[#This Row],[Reference]],metron,12,FALSE)</f>
        <v>0.77482269503546097</v>
      </c>
      <c r="BY352" s="6">
        <f>VLOOKUP(Table1[[#This Row],[Reference]],metron,13,FALSE)</f>
        <v>0.93380614657210403</v>
      </c>
      <c r="BZ352" s="6">
        <f>VLOOKUP(Table1[[#This Row],[Reference]],metron,14,FALSE)</f>
        <v>0.33747044917257679</v>
      </c>
      <c r="CA352" s="6">
        <f>VLOOKUP(Table1[[#This Row],[Reference]],metron,15,FALSE)</f>
        <v>15.783723522853959</v>
      </c>
      <c r="CB352" s="6">
        <f>VLOOKUP(Table1[[#This Row],[Reference]],metron,16,FALSE)</f>
        <v>8.5830546265328866</v>
      </c>
      <c r="CC352" s="6">
        <f>VLOOKUP(Table1[[#This Row],[Reference]],metron,17,FALSE)</f>
        <v>6.7338618346545864</v>
      </c>
      <c r="CD352" s="6">
        <f>VLOOKUP(Table1[[#This Row],[Reference]],metron,18,FALSE)</f>
        <v>3.2842582106455271</v>
      </c>
      <c r="CE352" s="6">
        <f>VLOOKUP(Table1[[#This Row],[Reference]],metron,19,FALSE)</f>
        <v>9.049861688199373</v>
      </c>
      <c r="CF352" s="6">
        <f>VLOOKUP(Table1[[#This Row],[Reference]],metron,20,FALSE)</f>
        <v>5.2987964158873595</v>
      </c>
      <c r="CG352" s="6">
        <f>VLOOKUP(Table1[[#This Row],[Reference]],metron,21,FALSE)</f>
        <v>12.362500000000001</v>
      </c>
      <c r="CH352" s="6">
        <f>VLOOKUP(Table1[[#This Row],[Reference]],metron,22,FALSE)</f>
        <v>13.904545454545451</v>
      </c>
      <c r="CI352" s="6">
        <f>VLOOKUP(Table1[[#This Row],[Reference]],metron,23,FALSE)</f>
        <v>1.353005464480874</v>
      </c>
      <c r="CJ352" s="6">
        <f>VLOOKUP(Table1[[#This Row],[Reference]],metron,24,FALSE)</f>
        <v>2.0185792349726781</v>
      </c>
      <c r="CK352" s="6">
        <f>VLOOKUP(Table1[[#This Row],[Reference]],metron,25,FALSE)</f>
        <v>6.6666666666666666E-2</v>
      </c>
      <c r="CL352" s="6">
        <f>VLOOKUP(Table1[[#This Row],[Reference]],metron,26,FALSE)</f>
        <v>0.1213114754098361</v>
      </c>
    </row>
    <row r="353" spans="1:90" hidden="1" x14ac:dyDescent="0.45">
      <c r="A353" t="s">
        <v>1346</v>
      </c>
      <c r="B353">
        <v>1596241800</v>
      </c>
      <c r="C353" s="23" t="s">
        <v>714</v>
      </c>
      <c r="D353" t="s">
        <v>65</v>
      </c>
      <c r="E353" t="s">
        <v>66</v>
      </c>
      <c r="F353" t="s">
        <v>102</v>
      </c>
      <c r="G353" t="s">
        <v>112</v>
      </c>
      <c r="H353" t="s">
        <v>108</v>
      </c>
      <c r="I353">
        <f>MROUND(Table1[[#This Row],[ProbH]]*100,2)/100</f>
        <v>0.2</v>
      </c>
      <c r="J353">
        <f>1/Table1[[#This Row],[odds_ft_home_team_win]]-Table1[[#This Row],[Margin]]</f>
        <v>0.20910887258356475</v>
      </c>
      <c r="K353">
        <f>1/Table1[[#This Row],[odds_ft_draw]]-Table1[[#This Row],[Margin]]</f>
        <v>0.2795810360789841</v>
      </c>
      <c r="L353">
        <f>1/Table1[[#This Row],[odds_ft_away_team_win]]-Table1[[#This Row],[Margin]]</f>
        <v>0.51131009133745098</v>
      </c>
      <c r="M353">
        <v>2</v>
      </c>
      <c r="N353">
        <v>0</v>
      </c>
      <c r="O353">
        <v>0</v>
      </c>
      <c r="P353">
        <v>1.5</v>
      </c>
      <c r="Q353">
        <v>1.77</v>
      </c>
      <c r="R353" t="str" cm="1">
        <f t="array" ref="R3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53">
        <v>1</v>
      </c>
      <c r="T353">
        <v>1</v>
      </c>
      <c r="U353">
        <v>2</v>
      </c>
      <c r="V353">
        <v>0</v>
      </c>
      <c r="W353">
        <v>0</v>
      </c>
      <c r="X353">
        <v>0</v>
      </c>
      <c r="Y353">
        <v>47</v>
      </c>
      <c r="Z353" t="s">
        <v>193</v>
      </c>
      <c r="AA353">
        <v>3</v>
      </c>
      <c r="AB353">
        <v>7</v>
      </c>
      <c r="AC353">
        <v>1</v>
      </c>
      <c r="AD353">
        <v>1</v>
      </c>
      <c r="AE353">
        <v>3</v>
      </c>
      <c r="AF353">
        <v>0</v>
      </c>
      <c r="AG353">
        <v>1</v>
      </c>
      <c r="AH353">
        <v>1</v>
      </c>
      <c r="AI353">
        <v>0</v>
      </c>
      <c r="AJ353">
        <v>3</v>
      </c>
      <c r="AK353">
        <v>7</v>
      </c>
      <c r="AL353">
        <v>18</v>
      </c>
      <c r="AM353">
        <v>2</v>
      </c>
      <c r="AN353">
        <v>4</v>
      </c>
      <c r="AO353">
        <v>5</v>
      </c>
      <c r="AP353">
        <v>14</v>
      </c>
      <c r="AQ353">
        <v>12</v>
      </c>
      <c r="AR353">
        <v>14</v>
      </c>
      <c r="AS353">
        <v>33</v>
      </c>
      <c r="AT353">
        <v>67</v>
      </c>
      <c r="AU353">
        <v>0.76</v>
      </c>
      <c r="AV353">
        <v>1.94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4.3</v>
      </c>
      <c r="BJ353">
        <v>3.3</v>
      </c>
      <c r="BK353">
        <v>1.87</v>
      </c>
      <c r="BL353">
        <f>(1/Table1[[#This Row],[odds_ft_home_team_win]]+1/Table1[[#This Row],[odds_ft_draw]]+1/Table1[[#This Row],[odds_ft_away_team_win]]-1)/3</f>
        <v>2.3449266951318954E-2</v>
      </c>
      <c r="BM353">
        <v>1.3</v>
      </c>
      <c r="BN353">
        <v>1.95</v>
      </c>
      <c r="BO353">
        <v>3.4</v>
      </c>
      <c r="BP353">
        <v>6.6</v>
      </c>
      <c r="BQ353">
        <v>1.69</v>
      </c>
      <c r="BR353">
        <v>2.0499999999999998</v>
      </c>
      <c r="BS353" t="s">
        <v>124</v>
      </c>
      <c r="BT353">
        <f>VLOOKUP(Table1[[#This Row],[Reference]],metron,8,FALSE)</f>
        <v>0.89040268062788797</v>
      </c>
      <c r="BU353">
        <f>VLOOKUP(Table1[[#This Row],[Reference]],metron,9,FALSE)</f>
        <v>1.8482406971105219</v>
      </c>
      <c r="BV353">
        <f>VLOOKUP(Table1[[#This Row],[Reference]],metron,10,FALSE)</f>
        <v>2.7065095398428731</v>
      </c>
      <c r="BW353">
        <f>VLOOKUP(Table1[[#This Row],[Reference]],metron,11,FALSE)</f>
        <v>1.0101010101010099</v>
      </c>
      <c r="BX353">
        <f>VLOOKUP(Table1[[#This Row],[Reference]],metron,12,FALSE)</f>
        <v>1.696408529741863</v>
      </c>
      <c r="BY353" s="6">
        <f>VLOOKUP(Table1[[#This Row],[Reference]],metron,13,FALSE)</f>
        <v>0.44044943820224719</v>
      </c>
      <c r="BZ353" s="6">
        <f>VLOOKUP(Table1[[#This Row],[Reference]],metron,14,FALSE)</f>
        <v>0.74606741573033708</v>
      </c>
      <c r="CA353" s="6">
        <f>VLOOKUP(Table1[[#This Row],[Reference]],metron,15,FALSE)</f>
        <v>10.265072765072761</v>
      </c>
      <c r="CB353" s="6">
        <f>VLOOKUP(Table1[[#This Row],[Reference]],metron,16,FALSE)</f>
        <v>13.023908523908521</v>
      </c>
      <c r="CC353" s="6">
        <f>VLOOKUP(Table1[[#This Row],[Reference]],metron,17,FALSE)</f>
        <v>4.0483193277310923</v>
      </c>
      <c r="CD353" s="6">
        <f>VLOOKUP(Table1[[#This Row],[Reference]],metron,18,FALSE)</f>
        <v>5.60609243697479</v>
      </c>
      <c r="CE353" s="6">
        <f>VLOOKUP(Table1[[#This Row],[Reference]],metron,19,FALSE)</f>
        <v>6.2167534373416684</v>
      </c>
      <c r="CF353" s="6">
        <f>VLOOKUP(Table1[[#This Row],[Reference]],metron,20,FALSE)</f>
        <v>7.4178160869337306</v>
      </c>
      <c r="CG353" s="6">
        <f>VLOOKUP(Table1[[#This Row],[Reference]],metron,21,FALSE)</f>
        <v>13.223628691983119</v>
      </c>
      <c r="CH353" s="6">
        <f>VLOOKUP(Table1[[#This Row],[Reference]],metron,22,FALSE)</f>
        <v>12.78586497890295</v>
      </c>
      <c r="CI353" s="6">
        <f>VLOOKUP(Table1[[#This Row],[Reference]],metron,23,FALSE)</f>
        <v>1.8442211055276381</v>
      </c>
      <c r="CJ353" s="6">
        <f>VLOOKUP(Table1[[#This Row],[Reference]],metron,24,FALSE)</f>
        <v>1.7989949748743721</v>
      </c>
      <c r="CK353" s="6">
        <f>VLOOKUP(Table1[[#This Row],[Reference]],metron,25,FALSE)</f>
        <v>0.12060301507537689</v>
      </c>
      <c r="CL353" s="6">
        <f>VLOOKUP(Table1[[#This Row],[Reference]],metron,26,FALSE)</f>
        <v>0.11658291457286429</v>
      </c>
    </row>
    <row r="354" spans="1:90" hidden="1" x14ac:dyDescent="0.45">
      <c r="A354" t="s">
        <v>1346</v>
      </c>
      <c r="B354">
        <v>1596249000</v>
      </c>
      <c r="C354" s="23" t="s">
        <v>715</v>
      </c>
      <c r="D354" t="s">
        <v>65</v>
      </c>
      <c r="E354" t="s">
        <v>66</v>
      </c>
      <c r="F354" t="s">
        <v>78</v>
      </c>
      <c r="G354" t="s">
        <v>72</v>
      </c>
      <c r="H354" t="s">
        <v>130</v>
      </c>
      <c r="I354">
        <f>MROUND(Table1[[#This Row],[ProbH]]*100,2)/100</f>
        <v>0.38</v>
      </c>
      <c r="J354">
        <f>1/Table1[[#This Row],[odds_ft_home_team_win]]-Table1[[#This Row],[Margin]]</f>
        <v>0.37678571428571433</v>
      </c>
      <c r="K354">
        <f>1/Table1[[#This Row],[odds_ft_draw]]-Table1[[#This Row],[Margin]]</f>
        <v>0.28928571428571431</v>
      </c>
      <c r="L354">
        <f>1/Table1[[#This Row],[odds_ft_away_team_win]]-Table1[[#This Row],[Margin]]</f>
        <v>0.33392857142857146</v>
      </c>
      <c r="M354">
        <v>2</v>
      </c>
      <c r="N354">
        <v>0</v>
      </c>
      <c r="O354">
        <v>0</v>
      </c>
      <c r="P354">
        <v>1.41</v>
      </c>
      <c r="Q354">
        <v>0.72</v>
      </c>
      <c r="R354" t="str" cm="1">
        <f t="array" ref="R3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61</v>
      </c>
      <c r="AA354">
        <v>4</v>
      </c>
      <c r="AB354">
        <v>1</v>
      </c>
      <c r="AC354">
        <v>3</v>
      </c>
      <c r="AD354">
        <v>1</v>
      </c>
      <c r="AE354">
        <v>3</v>
      </c>
      <c r="AF354">
        <v>0</v>
      </c>
      <c r="AG354">
        <v>2</v>
      </c>
      <c r="AH354">
        <v>2</v>
      </c>
      <c r="AI354">
        <v>1</v>
      </c>
      <c r="AJ354">
        <v>2</v>
      </c>
      <c r="AK354">
        <v>8</v>
      </c>
      <c r="AL354">
        <v>8</v>
      </c>
      <c r="AM354">
        <v>4</v>
      </c>
      <c r="AN354">
        <v>3</v>
      </c>
      <c r="AO354">
        <v>4</v>
      </c>
      <c r="AP354">
        <v>5</v>
      </c>
      <c r="AQ354">
        <v>14</v>
      </c>
      <c r="AR354">
        <v>19</v>
      </c>
      <c r="AS354">
        <v>40</v>
      </c>
      <c r="AT354">
        <v>60</v>
      </c>
      <c r="AU354">
        <v>1.02</v>
      </c>
      <c r="AV354">
        <v>1.02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2.5</v>
      </c>
      <c r="BJ354">
        <v>3.2</v>
      </c>
      <c r="BK354">
        <v>2.8</v>
      </c>
      <c r="BL354">
        <f>(1/Table1[[#This Row],[odds_ft_home_team_win]]+1/Table1[[#This Row],[odds_ft_draw]]+1/Table1[[#This Row],[odds_ft_away_team_win]]-1)/3</f>
        <v>2.3214285714285705E-2</v>
      </c>
      <c r="BM354">
        <v>1.34</v>
      </c>
      <c r="BN354">
        <v>2.0499999999999998</v>
      </c>
      <c r="BO354">
        <v>3.75</v>
      </c>
      <c r="BP354">
        <v>7.25</v>
      </c>
      <c r="BQ354">
        <v>1.8</v>
      </c>
      <c r="BR354">
        <v>1.91</v>
      </c>
      <c r="BS354" t="s">
        <v>82</v>
      </c>
      <c r="BT354">
        <f>VLOOKUP(Table1[[#This Row],[Reference]],metron,8,FALSE)</f>
        <v>1.464160929441638</v>
      </c>
      <c r="BU354">
        <f>VLOOKUP(Table1[[#This Row],[Reference]],metron,9,FALSE)</f>
        <v>1.2477119808919459</v>
      </c>
      <c r="BV354">
        <f>VLOOKUP(Table1[[#This Row],[Reference]],metron,10,FALSE)</f>
        <v>2.4900895140664963</v>
      </c>
      <c r="BW354">
        <f>VLOOKUP(Table1[[#This Row],[Reference]],metron,11,FALSE)</f>
        <v>1.330562659846547</v>
      </c>
      <c r="BX354">
        <f>VLOOKUP(Table1[[#This Row],[Reference]],metron,12,FALSE)</f>
        <v>1.1595268542199491</v>
      </c>
      <c r="BY354" s="6">
        <f>VLOOKUP(Table1[[#This Row],[Reference]],metron,13,FALSE)</f>
        <v>0.59053607588191415</v>
      </c>
      <c r="BZ354" s="6">
        <f>VLOOKUP(Table1[[#This Row],[Reference]],metron,14,FALSE)</f>
        <v>0.50069274219332838</v>
      </c>
      <c r="CA354" s="6">
        <f>VLOOKUP(Table1[[#This Row],[Reference]],metron,15,FALSE)</f>
        <v>11.79715236686391</v>
      </c>
      <c r="CB354" s="6">
        <f>VLOOKUP(Table1[[#This Row],[Reference]],metron,16,FALSE)</f>
        <v>10.317122781065089</v>
      </c>
      <c r="CC354" s="6">
        <f>VLOOKUP(Table1[[#This Row],[Reference]],metron,17,FALSE)</f>
        <v>5.0637025966747622</v>
      </c>
      <c r="CD354" s="6">
        <f>VLOOKUP(Table1[[#This Row],[Reference]],metron,18,FALSE)</f>
        <v>4.4674014571268454</v>
      </c>
      <c r="CE354" s="6">
        <f>VLOOKUP(Table1[[#This Row],[Reference]],metron,19,FALSE)</f>
        <v>6.7334497701891483</v>
      </c>
      <c r="CF354" s="6">
        <f>VLOOKUP(Table1[[#This Row],[Reference]],metron,20,FALSE)</f>
        <v>5.849721323938244</v>
      </c>
      <c r="CG354" s="6">
        <f>VLOOKUP(Table1[[#This Row],[Reference]],metron,21,FALSE)</f>
        <v>12.89644194756554</v>
      </c>
      <c r="CH354" s="6">
        <f>VLOOKUP(Table1[[#This Row],[Reference]],metron,22,FALSE)</f>
        <v>13.3434456928839</v>
      </c>
      <c r="CI354" s="6">
        <f>VLOOKUP(Table1[[#This Row],[Reference]],metron,23,FALSE)</f>
        <v>1.6144382124117971</v>
      </c>
      <c r="CJ354" s="6">
        <f>VLOOKUP(Table1[[#This Row],[Reference]],metron,24,FALSE)</f>
        <v>1.9032024606477289</v>
      </c>
      <c r="CK354" s="6">
        <f>VLOOKUP(Table1[[#This Row],[Reference]],metron,25,FALSE)</f>
        <v>9.372172969060974E-2</v>
      </c>
      <c r="CL354" s="6">
        <f>VLOOKUP(Table1[[#This Row],[Reference]],metron,26,FALSE)</f>
        <v>0.11669983716301791</v>
      </c>
    </row>
    <row r="355" spans="1:90" hidden="1" x14ac:dyDescent="0.45">
      <c r="A355" t="s">
        <v>1346</v>
      </c>
      <c r="B355">
        <v>1596326400</v>
      </c>
      <c r="C355" s="23" t="s">
        <v>716</v>
      </c>
      <c r="D355" t="s">
        <v>65</v>
      </c>
      <c r="E355" t="s">
        <v>66</v>
      </c>
      <c r="F355" t="s">
        <v>107</v>
      </c>
      <c r="G355" t="s">
        <v>84</v>
      </c>
      <c r="H355" t="s">
        <v>158</v>
      </c>
      <c r="I355">
        <f>MROUND(Table1[[#This Row],[ProbH]]*100,2)/100</f>
        <v>0.62</v>
      </c>
      <c r="J355">
        <f>1/Table1[[#This Row],[odds_ft_home_team_win]]-Table1[[#This Row],[Margin]]</f>
        <v>0.62276612276612275</v>
      </c>
      <c r="K355">
        <f>1/Table1[[#This Row],[odds_ft_draw]]-Table1[[#This Row],[Margin]]</f>
        <v>0.21151071151071149</v>
      </c>
      <c r="L355">
        <f>1/Table1[[#This Row],[odds_ft_away_team_win]]-Table1[[#This Row],[Margin]]</f>
        <v>0.1657231657231657</v>
      </c>
      <c r="M355">
        <v>2</v>
      </c>
      <c r="N355">
        <v>0</v>
      </c>
      <c r="O355">
        <v>0</v>
      </c>
      <c r="P355">
        <v>1.53</v>
      </c>
      <c r="Q355">
        <v>1.38</v>
      </c>
      <c r="R355" s="9" t="str" cm="1">
        <f t="array" ref="R3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55">
        <v>1</v>
      </c>
      <c r="T355">
        <v>1</v>
      </c>
      <c r="U355">
        <v>2</v>
      </c>
      <c r="V355">
        <v>0</v>
      </c>
      <c r="W355">
        <v>0</v>
      </c>
      <c r="X355">
        <v>0</v>
      </c>
      <c r="Y355">
        <v>53</v>
      </c>
      <c r="Z355">
        <v>85</v>
      </c>
      <c r="AA355">
        <v>3</v>
      </c>
      <c r="AB355">
        <v>4</v>
      </c>
      <c r="AC355">
        <v>3</v>
      </c>
      <c r="AD355">
        <v>0</v>
      </c>
      <c r="AE355">
        <v>4</v>
      </c>
      <c r="AF355">
        <v>0</v>
      </c>
      <c r="AG355">
        <v>0</v>
      </c>
      <c r="AH355">
        <v>3</v>
      </c>
      <c r="AI355">
        <v>2</v>
      </c>
      <c r="AJ355">
        <v>2</v>
      </c>
      <c r="AK355">
        <v>19</v>
      </c>
      <c r="AL355">
        <v>14</v>
      </c>
      <c r="AM355">
        <v>5</v>
      </c>
      <c r="AN355">
        <v>6</v>
      </c>
      <c r="AO355">
        <v>14</v>
      </c>
      <c r="AP355">
        <v>8</v>
      </c>
      <c r="AQ355">
        <v>13</v>
      </c>
      <c r="AR355">
        <v>9</v>
      </c>
      <c r="AS355">
        <v>65</v>
      </c>
      <c r="AT355">
        <v>35</v>
      </c>
      <c r="AU355">
        <v>1.89</v>
      </c>
      <c r="AV355">
        <v>1.49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1.54</v>
      </c>
      <c r="BJ355">
        <v>4.2</v>
      </c>
      <c r="BK355">
        <v>5.2</v>
      </c>
      <c r="BL355">
        <f>(1/Table1[[#This Row],[odds_ft_home_team_win]]+1/Table1[[#This Row],[odds_ft_draw]]+1/Table1[[#This Row],[odds_ft_away_team_win]]-1)/3</f>
        <v>2.6584526584526591E-2</v>
      </c>
      <c r="BM355">
        <v>1.25</v>
      </c>
      <c r="BN355">
        <v>1.8</v>
      </c>
      <c r="BO355">
        <v>3</v>
      </c>
      <c r="BP355">
        <v>5.6</v>
      </c>
      <c r="BQ355">
        <v>1.83</v>
      </c>
      <c r="BR355">
        <v>1.91</v>
      </c>
      <c r="BS355" t="s">
        <v>161</v>
      </c>
      <c r="BT355">
        <f>VLOOKUP(Table1[[#This Row],[Reference]],metron,8,FALSE)</f>
        <v>2.1234388909289978</v>
      </c>
      <c r="BU355">
        <f>VLOOKUP(Table1[[#This Row],[Reference]],metron,9,FALSE)</f>
        <v>0.63925141338926716</v>
      </c>
      <c r="BV355">
        <f>VLOOKUP(Table1[[#This Row],[Reference]],metron,10,FALSE)</f>
        <v>2.7366666666666664</v>
      </c>
      <c r="BW355">
        <f>VLOOKUP(Table1[[#This Row],[Reference]],metron,11,FALSE)</f>
        <v>1.8681481481481479</v>
      </c>
      <c r="BX355">
        <f>VLOOKUP(Table1[[#This Row],[Reference]],metron,12,FALSE)</f>
        <v>0.86851851851851847</v>
      </c>
      <c r="BY355" s="6">
        <f>VLOOKUP(Table1[[#This Row],[Reference]],metron,13,FALSE)</f>
        <v>0.81333333333333335</v>
      </c>
      <c r="BZ355" s="6">
        <f>VLOOKUP(Table1[[#This Row],[Reference]],metron,14,FALSE)</f>
        <v>0.38925925925925919</v>
      </c>
      <c r="CA355" s="6">
        <f>VLOOKUP(Table1[[#This Row],[Reference]],metron,15,FALSE)</f>
        <v>14.53422724064926</v>
      </c>
      <c r="CB355" s="6">
        <f>VLOOKUP(Table1[[#This Row],[Reference]],metron,16,FALSE)</f>
        <v>8.7882851093860275</v>
      </c>
      <c r="CC355" s="6">
        <f>VLOOKUP(Table1[[#This Row],[Reference]],metron,17,FALSE)</f>
        <v>6.3007953723788868</v>
      </c>
      <c r="CD355" s="6">
        <f>VLOOKUP(Table1[[#This Row],[Reference]],metron,18,FALSE)</f>
        <v>3.681851048445409</v>
      </c>
      <c r="CE355" s="6">
        <f>VLOOKUP(Table1[[#This Row],[Reference]],metron,19,FALSE)</f>
        <v>8.2334318682703724</v>
      </c>
      <c r="CF355" s="6">
        <f>VLOOKUP(Table1[[#This Row],[Reference]],metron,20,FALSE)</f>
        <v>5.106434060940618</v>
      </c>
      <c r="CG355" s="6">
        <f>VLOOKUP(Table1[[#This Row],[Reference]],metron,21,FALSE)</f>
        <v>12.32150615496017</v>
      </c>
      <c r="CH355" s="6">
        <f>VLOOKUP(Table1[[#This Row],[Reference]],metron,22,FALSE)</f>
        <v>13.337436640115859</v>
      </c>
      <c r="CI355" s="6">
        <f>VLOOKUP(Table1[[#This Row],[Reference]],metron,23,FALSE)</f>
        <v>1.346101231190151</v>
      </c>
      <c r="CJ355" s="6">
        <f>VLOOKUP(Table1[[#This Row],[Reference]],metron,24,FALSE)</f>
        <v>1.995212038303694</v>
      </c>
      <c r="CK355" s="6">
        <f>VLOOKUP(Table1[[#This Row],[Reference]],metron,25,FALSE)</f>
        <v>6.1559507523939808E-2</v>
      </c>
      <c r="CL355" s="6">
        <f>VLOOKUP(Table1[[#This Row],[Reference]],metron,26,FALSE)</f>
        <v>0.13201094391244869</v>
      </c>
    </row>
    <row r="356" spans="1:90" hidden="1" x14ac:dyDescent="0.45">
      <c r="A356" t="s">
        <v>1346</v>
      </c>
      <c r="B356">
        <v>1596333600</v>
      </c>
      <c r="C356" s="23" t="s">
        <v>717</v>
      </c>
      <c r="D356" t="s">
        <v>65</v>
      </c>
      <c r="E356" t="s">
        <v>66</v>
      </c>
      <c r="F356" t="s">
        <v>68</v>
      </c>
      <c r="G356" t="s">
        <v>106</v>
      </c>
      <c r="H356" t="s">
        <v>133</v>
      </c>
      <c r="I356">
        <f>MROUND(Table1[[#This Row],[ProbH]]*100,2)/100</f>
        <v>0.54</v>
      </c>
      <c r="J356">
        <f>1/Table1[[#This Row],[odds_ft_home_team_win]]-Table1[[#This Row],[Margin]]</f>
        <v>0.53107868978233164</v>
      </c>
      <c r="K356">
        <f>1/Table1[[#This Row],[odds_ft_draw]]-Table1[[#This Row],[Margin]]</f>
        <v>0.24949573696650207</v>
      </c>
      <c r="L356">
        <f>1/Table1[[#This Row],[odds_ft_away_team_win]]-Table1[[#This Row],[Margin]]</f>
        <v>0.21942557325116632</v>
      </c>
      <c r="M356">
        <v>2</v>
      </c>
      <c r="N356">
        <v>0</v>
      </c>
      <c r="O356">
        <v>0</v>
      </c>
      <c r="P356">
        <v>2.37</v>
      </c>
      <c r="Q356">
        <v>0.47</v>
      </c>
      <c r="R356" t="str" cm="1">
        <f t="array" ref="R3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6">
        <v>4</v>
      </c>
      <c r="T356">
        <v>0</v>
      </c>
      <c r="U356">
        <v>4</v>
      </c>
      <c r="V356">
        <v>1</v>
      </c>
      <c r="W356">
        <v>1</v>
      </c>
      <c r="X356">
        <v>0</v>
      </c>
      <c r="Y356" t="s">
        <v>718</v>
      </c>
      <c r="AA356">
        <v>3</v>
      </c>
      <c r="AB356">
        <v>3</v>
      </c>
      <c r="AC356">
        <v>1</v>
      </c>
      <c r="AD356">
        <v>0</v>
      </c>
      <c r="AE356">
        <v>5</v>
      </c>
      <c r="AF356">
        <v>0</v>
      </c>
      <c r="AG356">
        <v>1</v>
      </c>
      <c r="AH356">
        <v>0</v>
      </c>
      <c r="AI356">
        <v>3</v>
      </c>
      <c r="AJ356">
        <v>2</v>
      </c>
      <c r="AK356">
        <v>23</v>
      </c>
      <c r="AL356">
        <v>7</v>
      </c>
      <c r="AM356">
        <v>11</v>
      </c>
      <c r="AN356">
        <v>2</v>
      </c>
      <c r="AO356">
        <v>12</v>
      </c>
      <c r="AP356">
        <v>5</v>
      </c>
      <c r="AQ356">
        <v>13</v>
      </c>
      <c r="AR356">
        <v>17</v>
      </c>
      <c r="AS356">
        <v>48</v>
      </c>
      <c r="AT356">
        <v>52</v>
      </c>
      <c r="AU356">
        <v>2.5299999999999998</v>
      </c>
      <c r="AV356">
        <v>0.75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1.8</v>
      </c>
      <c r="BJ356">
        <v>3.65</v>
      </c>
      <c r="BK356">
        <v>4.0999999999999996</v>
      </c>
      <c r="BL356">
        <f>(1/Table1[[#This Row],[odds_ft_home_team_win]]+1/Table1[[#This Row],[odds_ft_draw]]+1/Table1[[#This Row],[odds_ft_away_team_win]]-1)/3</f>
        <v>2.4476865773223944E-2</v>
      </c>
      <c r="BM356">
        <v>1.2</v>
      </c>
      <c r="BN356">
        <v>1.67</v>
      </c>
      <c r="BO356">
        <v>2.7</v>
      </c>
      <c r="BP356">
        <v>4.8499999999999996</v>
      </c>
      <c r="BQ356">
        <v>1.62</v>
      </c>
      <c r="BR356">
        <v>2.2000000000000002</v>
      </c>
      <c r="BS356" t="s">
        <v>99</v>
      </c>
      <c r="BT356">
        <f>VLOOKUP(Table1[[#This Row],[Reference]],metron,8,FALSE)</f>
        <v>1.915666026436746</v>
      </c>
      <c r="BU356">
        <f>VLOOKUP(Table1[[#This Row],[Reference]],metron,9,FALSE)</f>
        <v>0.82283834599204153</v>
      </c>
      <c r="BV356">
        <f>VLOOKUP(Table1[[#This Row],[Reference]],metron,10,FALSE)</f>
        <v>2.6359702267612941</v>
      </c>
      <c r="BW356">
        <f>VLOOKUP(Table1[[#This Row],[Reference]],metron,11,FALSE)</f>
        <v>1.684957590444867</v>
      </c>
      <c r="BX356">
        <f>VLOOKUP(Table1[[#This Row],[Reference]],metron,12,FALSE)</f>
        <v>0.95101263631642718</v>
      </c>
      <c r="BY356" s="6">
        <f>VLOOKUP(Table1[[#This Row],[Reference]],metron,13,FALSE)</f>
        <v>0.72650164445213783</v>
      </c>
      <c r="BZ356" s="6">
        <f>VLOOKUP(Table1[[#This Row],[Reference]],metron,14,FALSE)</f>
        <v>0.42097974727367138</v>
      </c>
      <c r="CA356" s="6">
        <f>VLOOKUP(Table1[[#This Row],[Reference]],metron,15,FALSE)</f>
        <v>13.338806970509379</v>
      </c>
      <c r="CB356" s="6">
        <f>VLOOKUP(Table1[[#This Row],[Reference]],metron,16,FALSE)</f>
        <v>9.2530160857908843</v>
      </c>
      <c r="CC356" s="6">
        <f>VLOOKUP(Table1[[#This Row],[Reference]],metron,17,FALSE)</f>
        <v>5.9915081521739131</v>
      </c>
      <c r="CD356" s="6">
        <f>VLOOKUP(Table1[[#This Row],[Reference]],metron,18,FALSE)</f>
        <v>3.9772418478260869</v>
      </c>
      <c r="CE356" s="6">
        <f>VLOOKUP(Table1[[#This Row],[Reference]],metron,19,FALSE)</f>
        <v>7.3472988183354664</v>
      </c>
      <c r="CF356" s="6">
        <f>VLOOKUP(Table1[[#This Row],[Reference]],metron,20,FALSE)</f>
        <v>5.2757742379647974</v>
      </c>
      <c r="CG356" s="6">
        <f>VLOOKUP(Table1[[#This Row],[Reference]],metron,21,FALSE)</f>
        <v>12.59428182437032</v>
      </c>
      <c r="CH356" s="6">
        <f>VLOOKUP(Table1[[#This Row],[Reference]],metron,22,FALSE)</f>
        <v>13.577944179714089</v>
      </c>
      <c r="CI356" s="6">
        <f>VLOOKUP(Table1[[#This Row],[Reference]],metron,23,FALSE)</f>
        <v>1.4276913099870301</v>
      </c>
      <c r="CJ356" s="6">
        <f>VLOOKUP(Table1[[#This Row],[Reference]],metron,24,FALSE)</f>
        <v>1.940985732814527</v>
      </c>
      <c r="CK356" s="6">
        <f>VLOOKUP(Table1[[#This Row],[Reference]],metron,25,FALSE)</f>
        <v>8.0739299610894946E-2</v>
      </c>
      <c r="CL356" s="6">
        <f>VLOOKUP(Table1[[#This Row],[Reference]],metron,26,FALSE)</f>
        <v>0.12743190661478601</v>
      </c>
    </row>
    <row r="357" spans="1:90" hidden="1" x14ac:dyDescent="0.45">
      <c r="A357" t="s">
        <v>1346</v>
      </c>
      <c r="B357">
        <v>1596387600</v>
      </c>
      <c r="C357" s="23" t="s">
        <v>719</v>
      </c>
      <c r="D357" t="s">
        <v>65</v>
      </c>
      <c r="E357" t="s">
        <v>66</v>
      </c>
      <c r="F357" t="s">
        <v>79</v>
      </c>
      <c r="G357" t="s">
        <v>91</v>
      </c>
      <c r="H357" t="s">
        <v>114</v>
      </c>
      <c r="I357">
        <f>MROUND(Table1[[#This Row],[ProbH]]*100,2)/100</f>
        <v>0.38</v>
      </c>
      <c r="J357">
        <f>1/Table1[[#This Row],[odds_ft_home_team_win]]-Table1[[#This Row],[Margin]]</f>
        <v>0.3832199546485261</v>
      </c>
      <c r="K357">
        <f>1/Table1[[#This Row],[odds_ft_draw]]-Table1[[#This Row],[Margin]]</f>
        <v>0.27808699237270673</v>
      </c>
      <c r="L357">
        <f>1/Table1[[#This Row],[odds_ft_away_team_win]]-Table1[[#This Row],[Margin]]</f>
        <v>0.33869305297876734</v>
      </c>
      <c r="M357">
        <v>2</v>
      </c>
      <c r="N357">
        <v>0</v>
      </c>
      <c r="O357">
        <v>0</v>
      </c>
      <c r="P357">
        <v>2</v>
      </c>
      <c r="Q357">
        <v>0.35</v>
      </c>
      <c r="R357" t="str" cm="1">
        <f t="array" ref="R3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7">
        <v>3</v>
      </c>
      <c r="T357">
        <v>2</v>
      </c>
      <c r="U357">
        <v>5</v>
      </c>
      <c r="V357">
        <v>3</v>
      </c>
      <c r="W357">
        <v>2</v>
      </c>
      <c r="X357">
        <v>1</v>
      </c>
      <c r="Y357" t="s">
        <v>720</v>
      </c>
      <c r="Z357" t="s">
        <v>721</v>
      </c>
      <c r="AA357">
        <v>6</v>
      </c>
      <c r="AB357">
        <v>7</v>
      </c>
      <c r="AC357">
        <v>4</v>
      </c>
      <c r="AD357">
        <v>0</v>
      </c>
      <c r="AE357">
        <v>5</v>
      </c>
      <c r="AF357">
        <v>0</v>
      </c>
      <c r="AG357">
        <v>2</v>
      </c>
      <c r="AH357">
        <v>2</v>
      </c>
      <c r="AI357">
        <v>1</v>
      </c>
      <c r="AJ357">
        <v>4</v>
      </c>
      <c r="AK357">
        <v>13</v>
      </c>
      <c r="AL357">
        <v>26</v>
      </c>
      <c r="AM357">
        <v>7</v>
      </c>
      <c r="AN357">
        <v>5</v>
      </c>
      <c r="AO357">
        <v>6</v>
      </c>
      <c r="AP357">
        <v>21</v>
      </c>
      <c r="AQ357">
        <v>12</v>
      </c>
      <c r="AR357">
        <v>9</v>
      </c>
      <c r="AS357">
        <v>45</v>
      </c>
      <c r="AT357">
        <v>55</v>
      </c>
      <c r="AU357">
        <v>1.55</v>
      </c>
      <c r="AV357">
        <v>2.35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2.4500000000000002</v>
      </c>
      <c r="BJ357">
        <v>3.3</v>
      </c>
      <c r="BK357">
        <v>2.75</v>
      </c>
      <c r="BL357">
        <f>(1/Table1[[#This Row],[odds_ft_home_team_win]]+1/Table1[[#This Row],[odds_ft_draw]]+1/Table1[[#This Row],[odds_ft_away_team_win]]-1)/3</f>
        <v>2.4943310657596324E-2</v>
      </c>
      <c r="BM357">
        <v>1.28</v>
      </c>
      <c r="BN357">
        <v>1.91</v>
      </c>
      <c r="BO357">
        <v>3.25</v>
      </c>
      <c r="BP357">
        <v>6.25</v>
      </c>
      <c r="BQ357">
        <v>1.71</v>
      </c>
      <c r="BR357">
        <v>2.0499999999999998</v>
      </c>
      <c r="BS357" t="s">
        <v>140</v>
      </c>
      <c r="BT357">
        <f>VLOOKUP(Table1[[#This Row],[Reference]],metron,8,FALSE)</f>
        <v>1.464160929441638</v>
      </c>
      <c r="BU357">
        <f>VLOOKUP(Table1[[#This Row],[Reference]],metron,9,FALSE)</f>
        <v>1.2477119808919459</v>
      </c>
      <c r="BV357">
        <f>VLOOKUP(Table1[[#This Row],[Reference]],metron,10,FALSE)</f>
        <v>2.4900895140664963</v>
      </c>
      <c r="BW357">
        <f>VLOOKUP(Table1[[#This Row],[Reference]],metron,11,FALSE)</f>
        <v>1.330562659846547</v>
      </c>
      <c r="BX357">
        <f>VLOOKUP(Table1[[#This Row],[Reference]],metron,12,FALSE)</f>
        <v>1.1595268542199491</v>
      </c>
      <c r="BY357" s="6">
        <f>VLOOKUP(Table1[[#This Row],[Reference]],metron,13,FALSE)</f>
        <v>0.59053607588191415</v>
      </c>
      <c r="BZ357" s="6">
        <f>VLOOKUP(Table1[[#This Row],[Reference]],metron,14,FALSE)</f>
        <v>0.50069274219332838</v>
      </c>
      <c r="CA357" s="6">
        <f>VLOOKUP(Table1[[#This Row],[Reference]],metron,15,FALSE)</f>
        <v>11.79715236686391</v>
      </c>
      <c r="CB357" s="6">
        <f>VLOOKUP(Table1[[#This Row],[Reference]],metron,16,FALSE)</f>
        <v>10.317122781065089</v>
      </c>
      <c r="CC357" s="6">
        <f>VLOOKUP(Table1[[#This Row],[Reference]],metron,17,FALSE)</f>
        <v>5.0637025966747622</v>
      </c>
      <c r="CD357" s="6">
        <f>VLOOKUP(Table1[[#This Row],[Reference]],metron,18,FALSE)</f>
        <v>4.4674014571268454</v>
      </c>
      <c r="CE357" s="6">
        <f>VLOOKUP(Table1[[#This Row],[Reference]],metron,19,FALSE)</f>
        <v>6.7334497701891483</v>
      </c>
      <c r="CF357" s="6">
        <f>VLOOKUP(Table1[[#This Row],[Reference]],metron,20,FALSE)</f>
        <v>5.849721323938244</v>
      </c>
      <c r="CG357" s="6">
        <f>VLOOKUP(Table1[[#This Row],[Reference]],metron,21,FALSE)</f>
        <v>12.89644194756554</v>
      </c>
      <c r="CH357" s="6">
        <f>VLOOKUP(Table1[[#This Row],[Reference]],metron,22,FALSE)</f>
        <v>13.3434456928839</v>
      </c>
      <c r="CI357" s="6">
        <f>VLOOKUP(Table1[[#This Row],[Reference]],metron,23,FALSE)</f>
        <v>1.6144382124117971</v>
      </c>
      <c r="CJ357" s="6">
        <f>VLOOKUP(Table1[[#This Row],[Reference]],metron,24,FALSE)</f>
        <v>1.9032024606477289</v>
      </c>
      <c r="CK357" s="6">
        <f>VLOOKUP(Table1[[#This Row],[Reference]],metron,25,FALSE)</f>
        <v>9.372172969060974E-2</v>
      </c>
      <c r="CL357" s="6">
        <f>VLOOKUP(Table1[[#This Row],[Reference]],metron,26,FALSE)</f>
        <v>0.11669983716301791</v>
      </c>
    </row>
    <row r="358" spans="1:90" hidden="1" x14ac:dyDescent="0.45">
      <c r="A358" t="s">
        <v>1346</v>
      </c>
      <c r="B358">
        <v>1596405600</v>
      </c>
      <c r="C358" s="23" t="s">
        <v>722</v>
      </c>
      <c r="D358" t="s">
        <v>65</v>
      </c>
      <c r="E358" t="s">
        <v>66</v>
      </c>
      <c r="F358" t="s">
        <v>67</v>
      </c>
      <c r="G358" t="s">
        <v>113</v>
      </c>
      <c r="H358" t="s">
        <v>215</v>
      </c>
      <c r="I358">
        <f>MROUND(Table1[[#This Row],[ProbH]]*100,2)/100</f>
        <v>0.52</v>
      </c>
      <c r="J358">
        <f>1/Table1[[#This Row],[odds_ft_home_team_win]]-Table1[[#This Row],[Margin]]</f>
        <v>0.515702876358614</v>
      </c>
      <c r="K358">
        <f>1/Table1[[#This Row],[odds_ft_draw]]-Table1[[#This Row],[Margin]]</f>
        <v>0.27694709661922778</v>
      </c>
      <c r="L358">
        <f>1/Table1[[#This Row],[odds_ft_away_team_win]]-Table1[[#This Row],[Margin]]</f>
        <v>0.20735002702215816</v>
      </c>
      <c r="M358">
        <v>2</v>
      </c>
      <c r="N358">
        <v>0</v>
      </c>
      <c r="O358">
        <v>0</v>
      </c>
      <c r="P358">
        <v>1.82</v>
      </c>
      <c r="Q358">
        <v>0.65</v>
      </c>
      <c r="R358" t="str" cm="1">
        <f t="array" ref="R3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58">
        <v>1</v>
      </c>
      <c r="T358">
        <v>1</v>
      </c>
      <c r="U358">
        <v>2</v>
      </c>
      <c r="V358">
        <v>0</v>
      </c>
      <c r="W358">
        <v>0</v>
      </c>
      <c r="X358">
        <v>0</v>
      </c>
      <c r="Y358">
        <v>46</v>
      </c>
      <c r="Z358">
        <v>89</v>
      </c>
      <c r="AA358">
        <v>5</v>
      </c>
      <c r="AB358">
        <v>2</v>
      </c>
      <c r="AC358">
        <v>3</v>
      </c>
      <c r="AD358">
        <v>0</v>
      </c>
      <c r="AE358">
        <v>3</v>
      </c>
      <c r="AF358">
        <v>0</v>
      </c>
      <c r="AG358">
        <v>2</v>
      </c>
      <c r="AH358">
        <v>1</v>
      </c>
      <c r="AI358">
        <v>1</v>
      </c>
      <c r="AJ358">
        <v>2</v>
      </c>
      <c r="AK358">
        <v>11</v>
      </c>
      <c r="AL358">
        <v>9</v>
      </c>
      <c r="AM358">
        <v>5</v>
      </c>
      <c r="AN358">
        <v>2</v>
      </c>
      <c r="AO358">
        <v>6</v>
      </c>
      <c r="AP358">
        <v>7</v>
      </c>
      <c r="AQ358">
        <v>10</v>
      </c>
      <c r="AR358">
        <v>11</v>
      </c>
      <c r="AS358">
        <v>41</v>
      </c>
      <c r="AT358">
        <v>59</v>
      </c>
      <c r="AU358">
        <v>1.33</v>
      </c>
      <c r="AV358">
        <v>1.1499999999999999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1.83</v>
      </c>
      <c r="BJ358">
        <v>3.25</v>
      </c>
      <c r="BK358">
        <v>4.2</v>
      </c>
      <c r="BL358">
        <f>(1/Table1[[#This Row],[odds_ft_home_team_win]]+1/Table1[[#This Row],[odds_ft_draw]]+1/Table1[[#This Row],[odds_ft_away_team_win]]-1)/3</f>
        <v>3.0745211073079926E-2</v>
      </c>
      <c r="BM358">
        <v>0</v>
      </c>
      <c r="BN358">
        <v>1.83</v>
      </c>
      <c r="BO358">
        <v>0</v>
      </c>
      <c r="BP358">
        <v>0</v>
      </c>
      <c r="BQ358">
        <v>0</v>
      </c>
      <c r="BR358">
        <v>0</v>
      </c>
      <c r="BS358" t="s">
        <v>70</v>
      </c>
      <c r="BT358">
        <f>VLOOKUP(Table1[[#This Row],[Reference]],metron,8,FALSE)</f>
        <v>1.8614830167843088</v>
      </c>
      <c r="BU358">
        <f>VLOOKUP(Table1[[#This Row],[Reference]],metron,9,FALSE)</f>
        <v>0.87079851622593896</v>
      </c>
      <c r="BV358">
        <f>VLOOKUP(Table1[[#This Row],[Reference]],metron,10,FALSE)</f>
        <v>2.5967403582378576</v>
      </c>
      <c r="BW358">
        <f>VLOOKUP(Table1[[#This Row],[Reference]],metron,11,FALSE)</f>
        <v>1.625948039373891</v>
      </c>
      <c r="BX358">
        <f>VLOOKUP(Table1[[#This Row],[Reference]],metron,12,FALSE)</f>
        <v>0.97079231886396644</v>
      </c>
      <c r="BY358" s="6">
        <f>VLOOKUP(Table1[[#This Row],[Reference]],metron,13,FALSE)</f>
        <v>0.71433182698515174</v>
      </c>
      <c r="BZ358" s="6">
        <f>VLOOKUP(Table1[[#This Row],[Reference]],metron,14,FALSE)</f>
        <v>0.43011620400258233</v>
      </c>
      <c r="CA358" s="6">
        <f>VLOOKUP(Table1[[#This Row],[Reference]],metron,15,FALSE)</f>
        <v>13.39951055368614</v>
      </c>
      <c r="CB358" s="6">
        <f>VLOOKUP(Table1[[#This Row],[Reference]],metron,16,FALSE)</f>
        <v>9.4252064851636579</v>
      </c>
      <c r="CC358" s="6">
        <f>VLOOKUP(Table1[[#This Row],[Reference]],metron,17,FALSE)</f>
        <v>5.7628422023992618</v>
      </c>
      <c r="CD358" s="6">
        <f>VLOOKUP(Table1[[#This Row],[Reference]],metron,18,FALSE)</f>
        <v>3.9375576745616732</v>
      </c>
      <c r="CE358" s="6">
        <f>VLOOKUP(Table1[[#This Row],[Reference]],metron,19,FALSE)</f>
        <v>7.636668351286878</v>
      </c>
      <c r="CF358" s="6">
        <f>VLOOKUP(Table1[[#This Row],[Reference]],metron,20,FALSE)</f>
        <v>5.4876488106019847</v>
      </c>
      <c r="CG358" s="6">
        <f>VLOOKUP(Table1[[#This Row],[Reference]],metron,21,FALSE)</f>
        <v>12.460420531849101</v>
      </c>
      <c r="CH358" s="6">
        <f>VLOOKUP(Table1[[#This Row],[Reference]],metron,22,FALSE)</f>
        <v>13.44897959183673</v>
      </c>
      <c r="CI358" s="6">
        <f>VLOOKUP(Table1[[#This Row],[Reference]],metron,23,FALSE)</f>
        <v>1.462202380952381</v>
      </c>
      <c r="CJ358" s="6">
        <f>VLOOKUP(Table1[[#This Row],[Reference]],metron,24,FALSE)</f>
        <v>2.01547619047619</v>
      </c>
      <c r="CK358" s="6">
        <f>VLOOKUP(Table1[[#This Row],[Reference]],metron,25,FALSE)</f>
        <v>7.7380952380952384E-2</v>
      </c>
      <c r="CL358" s="6">
        <f>VLOOKUP(Table1[[#This Row],[Reference]],metron,26,FALSE)</f>
        <v>0.13754093480202439</v>
      </c>
    </row>
    <row r="359" spans="1:90" hidden="1" x14ac:dyDescent="0.45">
      <c r="A359" t="s">
        <v>1346</v>
      </c>
      <c r="B359">
        <v>1596413160</v>
      </c>
      <c r="C359" s="23" t="s">
        <v>723</v>
      </c>
      <c r="D359" t="s">
        <v>65</v>
      </c>
      <c r="E359" t="s">
        <v>66</v>
      </c>
      <c r="F359" t="s">
        <v>73</v>
      </c>
      <c r="G359" t="s">
        <v>90</v>
      </c>
      <c r="H359" t="s">
        <v>92</v>
      </c>
      <c r="I359">
        <f>MROUND(Table1[[#This Row],[ProbH]]*100,2)/100</f>
        <v>0.4</v>
      </c>
      <c r="J359">
        <f>1/Table1[[#This Row],[odds_ft_home_team_win]]-Table1[[#This Row],[Margin]]</f>
        <v>0.40146282374915626</v>
      </c>
      <c r="K359">
        <f>1/Table1[[#This Row],[odds_ft_draw]]-Table1[[#This Row],[Margin]]</f>
        <v>0.28362321654784695</v>
      </c>
      <c r="L359">
        <f>1/Table1[[#This Row],[odds_ft_away_team_win]]-Table1[[#This Row],[Margin]]</f>
        <v>0.31491395970299685</v>
      </c>
      <c r="M359">
        <v>2</v>
      </c>
      <c r="N359">
        <v>0</v>
      </c>
      <c r="O359">
        <v>0</v>
      </c>
      <c r="P359">
        <v>2.09</v>
      </c>
      <c r="Q359">
        <v>1.35</v>
      </c>
      <c r="R359" t="str" cm="1">
        <f t="array" ref="R3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9">
        <v>2</v>
      </c>
      <c r="T359">
        <v>0</v>
      </c>
      <c r="U359">
        <v>2</v>
      </c>
      <c r="V359">
        <v>1</v>
      </c>
      <c r="W359">
        <v>1</v>
      </c>
      <c r="X359">
        <v>0</v>
      </c>
      <c r="Y359" t="s">
        <v>724</v>
      </c>
      <c r="AA359">
        <v>6</v>
      </c>
      <c r="AB359">
        <v>4</v>
      </c>
      <c r="AC359">
        <v>3</v>
      </c>
      <c r="AD359">
        <v>1</v>
      </c>
      <c r="AE359">
        <v>3</v>
      </c>
      <c r="AF359">
        <v>0</v>
      </c>
      <c r="AG359">
        <v>2</v>
      </c>
      <c r="AH359">
        <v>2</v>
      </c>
      <c r="AI359">
        <v>3</v>
      </c>
      <c r="AJ359">
        <v>0</v>
      </c>
      <c r="AK359">
        <v>19</v>
      </c>
      <c r="AL359">
        <v>13</v>
      </c>
      <c r="AM359">
        <v>6</v>
      </c>
      <c r="AN359">
        <v>4</v>
      </c>
      <c r="AO359">
        <v>13</v>
      </c>
      <c r="AP359">
        <v>9</v>
      </c>
      <c r="AQ359">
        <v>14</v>
      </c>
      <c r="AR359">
        <v>13</v>
      </c>
      <c r="AS359">
        <v>40</v>
      </c>
      <c r="AT359">
        <v>60</v>
      </c>
      <c r="AU359">
        <v>2.04</v>
      </c>
      <c r="AV359">
        <v>1.43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2.35</v>
      </c>
      <c r="BJ359">
        <v>3.25</v>
      </c>
      <c r="BK359">
        <v>2.95</v>
      </c>
      <c r="BL359">
        <f>(1/Table1[[#This Row],[odds_ft_home_team_win]]+1/Table1[[#This Row],[odds_ft_draw]]+1/Table1[[#This Row],[odds_ft_away_team_win]]-1)/3</f>
        <v>2.4069091144460764E-2</v>
      </c>
      <c r="BM359">
        <v>1.26</v>
      </c>
      <c r="BN359">
        <v>1.83</v>
      </c>
      <c r="BO359">
        <v>3.15</v>
      </c>
      <c r="BP359">
        <v>5.9</v>
      </c>
      <c r="BQ359">
        <v>1.67</v>
      </c>
      <c r="BR359">
        <v>2.1</v>
      </c>
      <c r="BS359" t="s">
        <v>142</v>
      </c>
      <c r="BT359">
        <f>VLOOKUP(Table1[[#This Row],[Reference]],metron,8,FALSE)</f>
        <v>1.5181603563290151</v>
      </c>
      <c r="BU359">
        <f>VLOOKUP(Table1[[#This Row],[Reference]],metron,9,FALSE)</f>
        <v>1.1952730370775513</v>
      </c>
      <c r="BV359">
        <f>VLOOKUP(Table1[[#This Row],[Reference]],metron,10,FALSE)</f>
        <v>2.4956155335383219</v>
      </c>
      <c r="BW359">
        <f>VLOOKUP(Table1[[#This Row],[Reference]],metron,11,FALSE)</f>
        <v>1.344038264434575</v>
      </c>
      <c r="BX359">
        <f>VLOOKUP(Table1[[#This Row],[Reference]],metron,12,FALSE)</f>
        <v>1.1515772691037469</v>
      </c>
      <c r="BY359" s="6">
        <f>VLOOKUP(Table1[[#This Row],[Reference]],metron,13,FALSE)</f>
        <v>0.59936225942375587</v>
      </c>
      <c r="BZ359" s="6">
        <f>VLOOKUP(Table1[[#This Row],[Reference]],metron,14,FALSE)</f>
        <v>0.50723152260562576</v>
      </c>
      <c r="CA359" s="6">
        <f>VLOOKUP(Table1[[#This Row],[Reference]],metron,15,FALSE)</f>
        <v>11.99278846153846</v>
      </c>
      <c r="CB359" s="6">
        <f>VLOOKUP(Table1[[#This Row],[Reference]],metron,16,FALSE)</f>
        <v>10.0277534965035</v>
      </c>
      <c r="CC359" s="6">
        <f>VLOOKUP(Table1[[#This Row],[Reference]],metron,17,FALSE)</f>
        <v>5.2857459543338514</v>
      </c>
      <c r="CD359" s="6">
        <f>VLOOKUP(Table1[[#This Row],[Reference]],metron,18,FALSE)</f>
        <v>4.4067834183107957</v>
      </c>
      <c r="CE359" s="6">
        <f>VLOOKUP(Table1[[#This Row],[Reference]],metron,19,FALSE)</f>
        <v>6.7070425072046085</v>
      </c>
      <c r="CF359" s="6">
        <f>VLOOKUP(Table1[[#This Row],[Reference]],metron,20,FALSE)</f>
        <v>5.6209700781927046</v>
      </c>
      <c r="CG359" s="6">
        <f>VLOOKUP(Table1[[#This Row],[Reference]],metron,21,FALSE)</f>
        <v>13.04463690872752</v>
      </c>
      <c r="CH359" s="6">
        <f>VLOOKUP(Table1[[#This Row],[Reference]],metron,22,FALSE)</f>
        <v>13.49811236953142</v>
      </c>
      <c r="CI359" s="6">
        <f>VLOOKUP(Table1[[#This Row],[Reference]],metron,23,FALSE)</f>
        <v>1.5836526181353769</v>
      </c>
      <c r="CJ359" s="6">
        <f>VLOOKUP(Table1[[#This Row],[Reference]],metron,24,FALSE)</f>
        <v>1.8744146445295871</v>
      </c>
      <c r="CK359" s="6">
        <f>VLOOKUP(Table1[[#This Row],[Reference]],metron,25,FALSE)</f>
        <v>8.5994040017028525E-2</v>
      </c>
      <c r="CL359" s="6">
        <f>VLOOKUP(Table1[[#This Row],[Reference]],metron,26,FALSE)</f>
        <v>0.13452532992762881</v>
      </c>
    </row>
    <row r="360" spans="1:90" hidden="1" x14ac:dyDescent="0.45">
      <c r="A360" t="s">
        <v>1346</v>
      </c>
      <c r="B360">
        <v>1596499200</v>
      </c>
      <c r="C360" s="23" t="s">
        <v>725</v>
      </c>
      <c r="D360" t="s">
        <v>65</v>
      </c>
      <c r="E360" t="s">
        <v>66</v>
      </c>
      <c r="F360" t="s">
        <v>97</v>
      </c>
      <c r="G360" t="s">
        <v>96</v>
      </c>
      <c r="H360" t="s">
        <v>74</v>
      </c>
      <c r="I360">
        <f>MROUND(Table1[[#This Row],[ProbH]]*100,2)/100</f>
        <v>0.38</v>
      </c>
      <c r="J360">
        <f>1/Table1[[#This Row],[odds_ft_home_team_win]]-Table1[[#This Row],[Margin]]</f>
        <v>0.38248289918510248</v>
      </c>
      <c r="K360">
        <f>1/Table1[[#This Row],[odds_ft_draw]]-Table1[[#This Row],[Margin]]</f>
        <v>0.27282709656554721</v>
      </c>
      <c r="L360">
        <f>1/Table1[[#This Row],[odds_ft_away_team_win]]-Table1[[#This Row],[Margin]]</f>
        <v>0.34469000424935042</v>
      </c>
      <c r="M360">
        <v>2</v>
      </c>
      <c r="N360">
        <v>0</v>
      </c>
      <c r="O360">
        <v>0</v>
      </c>
      <c r="P360">
        <v>1.21</v>
      </c>
      <c r="Q360">
        <v>1.25</v>
      </c>
      <c r="R360" t="str" cm="1">
        <f t="array" ref="R3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60">
        <v>1</v>
      </c>
      <c r="T360">
        <v>2</v>
      </c>
      <c r="U360">
        <v>3</v>
      </c>
      <c r="V360">
        <v>1</v>
      </c>
      <c r="W360">
        <v>0</v>
      </c>
      <c r="X360">
        <v>1</v>
      </c>
      <c r="Y360">
        <v>51</v>
      </c>
      <c r="Z360" t="s">
        <v>726</v>
      </c>
      <c r="AA360">
        <v>7</v>
      </c>
      <c r="AB360">
        <v>2</v>
      </c>
      <c r="AC360">
        <v>3</v>
      </c>
      <c r="AD360">
        <v>0</v>
      </c>
      <c r="AE360">
        <v>3</v>
      </c>
      <c r="AF360">
        <v>0</v>
      </c>
      <c r="AG360">
        <v>2</v>
      </c>
      <c r="AH360">
        <v>1</v>
      </c>
      <c r="AI360">
        <v>2</v>
      </c>
      <c r="AJ360">
        <v>1</v>
      </c>
      <c r="AK360">
        <v>12</v>
      </c>
      <c r="AL360">
        <v>16</v>
      </c>
      <c r="AM360">
        <v>6</v>
      </c>
      <c r="AN360">
        <v>4</v>
      </c>
      <c r="AO360">
        <v>6</v>
      </c>
      <c r="AP360">
        <v>12</v>
      </c>
      <c r="AQ360">
        <v>13</v>
      </c>
      <c r="AR360">
        <v>11</v>
      </c>
      <c r="AS360">
        <v>57</v>
      </c>
      <c r="AT360">
        <v>43</v>
      </c>
      <c r="AU360">
        <v>1.5</v>
      </c>
      <c r="AV360">
        <v>1.47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2.4500000000000002</v>
      </c>
      <c r="BJ360">
        <v>3.35</v>
      </c>
      <c r="BK360">
        <v>2.7</v>
      </c>
      <c r="BL360">
        <f>(1/Table1[[#This Row],[odds_ft_home_team_win]]+1/Table1[[#This Row],[odds_ft_draw]]+1/Table1[[#This Row],[odds_ft_away_team_win]]-1)/3</f>
        <v>2.5680366121019944E-2</v>
      </c>
      <c r="BM360">
        <v>1.24</v>
      </c>
      <c r="BN360">
        <v>1.77</v>
      </c>
      <c r="BO360">
        <v>2.95</v>
      </c>
      <c r="BP360">
        <v>5.45</v>
      </c>
      <c r="BQ360">
        <v>1.62</v>
      </c>
      <c r="BR360">
        <v>2.2000000000000002</v>
      </c>
      <c r="BS360" t="s">
        <v>136</v>
      </c>
      <c r="BT360">
        <f>VLOOKUP(Table1[[#This Row],[Reference]],metron,8,FALSE)</f>
        <v>1.464160929441638</v>
      </c>
      <c r="BU360">
        <f>VLOOKUP(Table1[[#This Row],[Reference]],metron,9,FALSE)</f>
        <v>1.2477119808919459</v>
      </c>
      <c r="BV360">
        <f>VLOOKUP(Table1[[#This Row],[Reference]],metron,10,FALSE)</f>
        <v>2.4900895140664963</v>
      </c>
      <c r="BW360">
        <f>VLOOKUP(Table1[[#This Row],[Reference]],metron,11,FALSE)</f>
        <v>1.330562659846547</v>
      </c>
      <c r="BX360">
        <f>VLOOKUP(Table1[[#This Row],[Reference]],metron,12,FALSE)</f>
        <v>1.1595268542199491</v>
      </c>
      <c r="BY360" s="6">
        <f>VLOOKUP(Table1[[#This Row],[Reference]],metron,13,FALSE)</f>
        <v>0.59053607588191415</v>
      </c>
      <c r="BZ360" s="6">
        <f>VLOOKUP(Table1[[#This Row],[Reference]],metron,14,FALSE)</f>
        <v>0.50069274219332838</v>
      </c>
      <c r="CA360" s="6">
        <f>VLOOKUP(Table1[[#This Row],[Reference]],metron,15,FALSE)</f>
        <v>11.79715236686391</v>
      </c>
      <c r="CB360" s="6">
        <f>VLOOKUP(Table1[[#This Row],[Reference]],metron,16,FALSE)</f>
        <v>10.317122781065089</v>
      </c>
      <c r="CC360" s="6">
        <f>VLOOKUP(Table1[[#This Row],[Reference]],metron,17,FALSE)</f>
        <v>5.0637025966747622</v>
      </c>
      <c r="CD360" s="6">
        <f>VLOOKUP(Table1[[#This Row],[Reference]],metron,18,FALSE)</f>
        <v>4.4674014571268454</v>
      </c>
      <c r="CE360" s="6">
        <f>VLOOKUP(Table1[[#This Row],[Reference]],metron,19,FALSE)</f>
        <v>6.7334497701891483</v>
      </c>
      <c r="CF360" s="6">
        <f>VLOOKUP(Table1[[#This Row],[Reference]],metron,20,FALSE)</f>
        <v>5.849721323938244</v>
      </c>
      <c r="CG360" s="6">
        <f>VLOOKUP(Table1[[#This Row],[Reference]],metron,21,FALSE)</f>
        <v>12.89644194756554</v>
      </c>
      <c r="CH360" s="6">
        <f>VLOOKUP(Table1[[#This Row],[Reference]],metron,22,FALSE)</f>
        <v>13.3434456928839</v>
      </c>
      <c r="CI360" s="6">
        <f>VLOOKUP(Table1[[#This Row],[Reference]],metron,23,FALSE)</f>
        <v>1.6144382124117971</v>
      </c>
      <c r="CJ360" s="6">
        <f>VLOOKUP(Table1[[#This Row],[Reference]],metron,24,FALSE)</f>
        <v>1.9032024606477289</v>
      </c>
      <c r="CK360" s="6">
        <f>VLOOKUP(Table1[[#This Row],[Reference]],metron,25,FALSE)</f>
        <v>9.372172969060974E-2</v>
      </c>
      <c r="CL360" s="6">
        <f>VLOOKUP(Table1[[#This Row],[Reference]],metron,26,FALSE)</f>
        <v>0.11669983716301791</v>
      </c>
    </row>
    <row r="361" spans="1:90" hidden="1" x14ac:dyDescent="0.45">
      <c r="A361" t="s">
        <v>1346</v>
      </c>
      <c r="B361">
        <v>1596509400</v>
      </c>
      <c r="C361" s="23" t="s">
        <v>727</v>
      </c>
      <c r="D361" t="s">
        <v>65</v>
      </c>
      <c r="E361" t="s">
        <v>66</v>
      </c>
      <c r="F361" t="s">
        <v>85</v>
      </c>
      <c r="G361" t="s">
        <v>101</v>
      </c>
      <c r="H361" t="s">
        <v>122</v>
      </c>
      <c r="I361">
        <f>MROUND(Table1[[#This Row],[ProbH]]*100,2)/100</f>
        <v>0.42</v>
      </c>
      <c r="J361">
        <f>1/Table1[[#This Row],[odds_ft_home_team_win]]-Table1[[#This Row],[Margin]]</f>
        <v>0.42007797270955166</v>
      </c>
      <c r="K361">
        <f>1/Table1[[#This Row],[odds_ft_draw]]-Table1[[#This Row],[Margin]]</f>
        <v>0.25341130604288503</v>
      </c>
      <c r="L361">
        <f>1/Table1[[#This Row],[odds_ft_away_team_win]]-Table1[[#This Row],[Margin]]</f>
        <v>0.32651072124756336</v>
      </c>
      <c r="M361">
        <v>2</v>
      </c>
      <c r="N361">
        <v>0</v>
      </c>
      <c r="O361">
        <v>0</v>
      </c>
      <c r="P361">
        <v>2.29</v>
      </c>
      <c r="Q361">
        <v>1.39</v>
      </c>
      <c r="R361" t="str" cm="1">
        <f t="array" ref="R3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83</v>
      </c>
      <c r="AA361">
        <v>4</v>
      </c>
      <c r="AB361">
        <v>6</v>
      </c>
      <c r="AC361">
        <v>1</v>
      </c>
      <c r="AD361">
        <v>0</v>
      </c>
      <c r="AE361">
        <v>2</v>
      </c>
      <c r="AF361">
        <v>0</v>
      </c>
      <c r="AG361">
        <v>1</v>
      </c>
      <c r="AH361">
        <v>0</v>
      </c>
      <c r="AI361">
        <v>1</v>
      </c>
      <c r="AJ361">
        <v>1</v>
      </c>
      <c r="AK361">
        <v>15</v>
      </c>
      <c r="AL361">
        <v>13</v>
      </c>
      <c r="AM361">
        <v>3</v>
      </c>
      <c r="AN361">
        <v>2</v>
      </c>
      <c r="AO361">
        <v>12</v>
      </c>
      <c r="AP361">
        <v>11</v>
      </c>
      <c r="AQ361">
        <v>1</v>
      </c>
      <c r="AR361">
        <v>0</v>
      </c>
      <c r="AS361">
        <v>67</v>
      </c>
      <c r="AT361">
        <v>33</v>
      </c>
      <c r="AU361">
        <v>1.51</v>
      </c>
      <c r="AV361">
        <v>1.22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2.25</v>
      </c>
      <c r="BJ361">
        <v>3.6</v>
      </c>
      <c r="BK361">
        <v>2.85</v>
      </c>
      <c r="BL361">
        <f>(1/Table1[[#This Row],[odds_ft_home_team_win]]+1/Table1[[#This Row],[odds_ft_draw]]+1/Table1[[#This Row],[odds_ft_away_team_win]]-1)/3</f>
        <v>2.4366471734892741E-2</v>
      </c>
      <c r="BM361">
        <v>1.2</v>
      </c>
      <c r="BN361">
        <v>1.65</v>
      </c>
      <c r="BO361">
        <v>2.6</v>
      </c>
      <c r="BP361">
        <v>4.7</v>
      </c>
      <c r="BQ361">
        <v>1.56</v>
      </c>
      <c r="BR361">
        <v>2.35</v>
      </c>
      <c r="BS361" t="s">
        <v>128</v>
      </c>
      <c r="BT361">
        <f>VLOOKUP(Table1[[#This Row],[Reference]],metron,8,FALSE)</f>
        <v>1.5780106027030405</v>
      </c>
      <c r="BU361">
        <f>VLOOKUP(Table1[[#This Row],[Reference]],metron,9,FALSE)</f>
        <v>1.1353025412447635</v>
      </c>
      <c r="BV361">
        <f>VLOOKUP(Table1[[#This Row],[Reference]],metron,10,FALSE)</f>
        <v>2.4884649511978703</v>
      </c>
      <c r="BW361">
        <f>VLOOKUP(Table1[[#This Row],[Reference]],metron,11,FALSE)</f>
        <v>1.396960958296362</v>
      </c>
      <c r="BX361">
        <f>VLOOKUP(Table1[[#This Row],[Reference]],metron,12,FALSE)</f>
        <v>1.091503992901508</v>
      </c>
      <c r="BY361" s="6">
        <f>VLOOKUP(Table1[[#This Row],[Reference]],metron,13,FALSE)</f>
        <v>0.60765391014975045</v>
      </c>
      <c r="BZ361" s="6">
        <f>VLOOKUP(Table1[[#This Row],[Reference]],metron,14,FALSE)</f>
        <v>0.47276760953965608</v>
      </c>
      <c r="CA361" s="6">
        <f>VLOOKUP(Table1[[#This Row],[Reference]],metron,15,FALSE)</f>
        <v>12.29504785684561</v>
      </c>
      <c r="CB361" s="6">
        <f>VLOOKUP(Table1[[#This Row],[Reference]],metron,16,FALSE)</f>
        <v>10.047232625884311</v>
      </c>
      <c r="CC361" s="6">
        <f>VLOOKUP(Table1[[#This Row],[Reference]],metron,17,FALSE)</f>
        <v>5.2917192097519967</v>
      </c>
      <c r="CD361" s="6">
        <f>VLOOKUP(Table1[[#This Row],[Reference]],metron,18,FALSE)</f>
        <v>4.2580916351408158</v>
      </c>
      <c r="CE361" s="6">
        <f>VLOOKUP(Table1[[#This Row],[Reference]],metron,19,FALSE)</f>
        <v>7.0033286470936131</v>
      </c>
      <c r="CF361" s="6">
        <f>VLOOKUP(Table1[[#This Row],[Reference]],metron,20,FALSE)</f>
        <v>5.789140990743495</v>
      </c>
      <c r="CG361" s="6">
        <f>VLOOKUP(Table1[[#This Row],[Reference]],metron,21,FALSE)</f>
        <v>12.77041895895049</v>
      </c>
      <c r="CH361" s="6">
        <f>VLOOKUP(Table1[[#This Row],[Reference]],metron,22,FALSE)</f>
        <v>13.411129919593741</v>
      </c>
      <c r="CI361" s="6">
        <f>VLOOKUP(Table1[[#This Row],[Reference]],metron,23,FALSE)</f>
        <v>1.556141062018646</v>
      </c>
      <c r="CJ361" s="6">
        <f>VLOOKUP(Table1[[#This Row],[Reference]],metron,24,FALSE)</f>
        <v>1.9114308877178761</v>
      </c>
      <c r="CK361" s="6">
        <f>VLOOKUP(Table1[[#This Row],[Reference]],metron,25,FALSE)</f>
        <v>8.4920956627482766E-2</v>
      </c>
      <c r="CL361" s="6">
        <f>VLOOKUP(Table1[[#This Row],[Reference]],metron,26,FALSE)</f>
        <v>0.1323469801378192</v>
      </c>
    </row>
    <row r="362" spans="1:90" hidden="1" x14ac:dyDescent="0.45">
      <c r="A362" t="s">
        <v>1346</v>
      </c>
      <c r="B362">
        <v>1596758400</v>
      </c>
      <c r="C362" s="23" t="s">
        <v>728</v>
      </c>
      <c r="D362" t="s">
        <v>65</v>
      </c>
      <c r="E362" t="s">
        <v>66</v>
      </c>
      <c r="F362" t="s">
        <v>84</v>
      </c>
      <c r="G362" t="s">
        <v>67</v>
      </c>
      <c r="H362" t="s">
        <v>133</v>
      </c>
      <c r="I362">
        <f>MROUND(Table1[[#This Row],[ProbH]]*100,2)/100</f>
        <v>0.5</v>
      </c>
      <c r="J362">
        <f>1/Table1[[#This Row],[odds_ft_home_team_win]]-Table1[[#This Row],[Margin]]</f>
        <v>0.49953765205386685</v>
      </c>
      <c r="K362">
        <f>1/Table1[[#This Row],[odds_ft_draw]]-Table1[[#This Row],[Margin]]</f>
        <v>0.27448490531635023</v>
      </c>
      <c r="L362">
        <f>1/Table1[[#This Row],[odds_ft_away_team_win]]-Table1[[#This Row],[Margin]]</f>
        <v>0.22597744262978306</v>
      </c>
      <c r="M362">
        <v>3</v>
      </c>
      <c r="N362">
        <v>0</v>
      </c>
      <c r="O362">
        <v>0</v>
      </c>
      <c r="P362">
        <v>1.43</v>
      </c>
      <c r="Q362">
        <v>0.17</v>
      </c>
      <c r="R362" t="str" cm="1">
        <f t="array" ref="R3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6</v>
      </c>
      <c r="AA362">
        <v>6</v>
      </c>
      <c r="AB362">
        <v>4</v>
      </c>
      <c r="AC362">
        <v>4</v>
      </c>
      <c r="AD362">
        <v>0</v>
      </c>
      <c r="AE362">
        <v>3</v>
      </c>
      <c r="AF362">
        <v>1</v>
      </c>
      <c r="AG362">
        <v>1</v>
      </c>
      <c r="AH362">
        <v>3</v>
      </c>
      <c r="AI362">
        <v>3</v>
      </c>
      <c r="AJ362">
        <v>1</v>
      </c>
      <c r="AK362">
        <v>11</v>
      </c>
      <c r="AL362">
        <v>7</v>
      </c>
      <c r="AM362">
        <v>4</v>
      </c>
      <c r="AN362">
        <v>3</v>
      </c>
      <c r="AO362">
        <v>7</v>
      </c>
      <c r="AP362">
        <v>4</v>
      </c>
      <c r="AQ362">
        <v>20</v>
      </c>
      <c r="AR362">
        <v>9</v>
      </c>
      <c r="AS362">
        <v>61</v>
      </c>
      <c r="AT362">
        <v>39</v>
      </c>
      <c r="AU362">
        <v>1.18</v>
      </c>
      <c r="AV362">
        <v>0.91</v>
      </c>
      <c r="AW362">
        <v>4</v>
      </c>
      <c r="AX362">
        <v>100</v>
      </c>
      <c r="AY362">
        <v>100</v>
      </c>
      <c r="AZ362">
        <v>100</v>
      </c>
      <c r="BA362">
        <v>50</v>
      </c>
      <c r="BB362">
        <v>50</v>
      </c>
      <c r="BC362">
        <v>0</v>
      </c>
      <c r="BD362">
        <v>50</v>
      </c>
      <c r="BE362">
        <v>100</v>
      </c>
      <c r="BF362">
        <v>100</v>
      </c>
      <c r="BG362">
        <v>8</v>
      </c>
      <c r="BH362">
        <v>7</v>
      </c>
      <c r="BI362">
        <v>1.91</v>
      </c>
      <c r="BJ362">
        <v>3.35</v>
      </c>
      <c r="BK362">
        <v>4</v>
      </c>
      <c r="BL362">
        <f>(1/Table1[[#This Row],[odds_ft_home_team_win]]+1/Table1[[#This Row],[odds_ft_draw]]+1/Table1[[#This Row],[odds_ft_away_team_win]]-1)/3</f>
        <v>2.402255737021693E-2</v>
      </c>
      <c r="BM362">
        <v>1.29</v>
      </c>
      <c r="BN362">
        <v>1.91</v>
      </c>
      <c r="BO362">
        <v>3.3</v>
      </c>
      <c r="BP362">
        <v>6.35</v>
      </c>
      <c r="BQ362">
        <v>1.77</v>
      </c>
      <c r="BR362">
        <v>1.95</v>
      </c>
      <c r="BS362" t="s">
        <v>88</v>
      </c>
      <c r="BT362">
        <f>VLOOKUP(Table1[[#This Row],[Reference]],metron,8,FALSE)</f>
        <v>1.8001937313313046</v>
      </c>
      <c r="BU362">
        <f>VLOOKUP(Table1[[#This Row],[Reference]],metron,9,FALSE)</f>
        <v>0.9268512077832276</v>
      </c>
      <c r="BV362">
        <f>VLOOKUP(Table1[[#This Row],[Reference]],metron,10,FALSE)</f>
        <v>2.5202079886551649</v>
      </c>
      <c r="BW362">
        <f>VLOOKUP(Table1[[#This Row],[Reference]],metron,11,FALSE)</f>
        <v>1.5342708579532029</v>
      </c>
      <c r="BX362">
        <f>VLOOKUP(Table1[[#This Row],[Reference]],metron,12,FALSE)</f>
        <v>0.98593713070196176</v>
      </c>
      <c r="BY362" s="6">
        <f>VLOOKUP(Table1[[#This Row],[Reference]],metron,13,FALSE)</f>
        <v>0.67513590167809023</v>
      </c>
      <c r="BZ362" s="6">
        <f>VLOOKUP(Table1[[#This Row],[Reference]],metron,14,FALSE)</f>
        <v>0.4286727337194185</v>
      </c>
      <c r="CA362" s="6">
        <f>VLOOKUP(Table1[[#This Row],[Reference]],metron,15,FALSE)</f>
        <v>12.98669114272602</v>
      </c>
      <c r="CB362" s="6">
        <f>VLOOKUP(Table1[[#This Row],[Reference]],metron,16,FALSE)</f>
        <v>9.4167049105094076</v>
      </c>
      <c r="CC362" s="6">
        <f>VLOOKUP(Table1[[#This Row],[Reference]],metron,17,FALSE)</f>
        <v>5.6645716945996272</v>
      </c>
      <c r="CD362" s="6">
        <f>VLOOKUP(Table1[[#This Row],[Reference]],metron,18,FALSE)</f>
        <v>4.0242085661080074</v>
      </c>
      <c r="CE362" s="6">
        <f>VLOOKUP(Table1[[#This Row],[Reference]],metron,19,FALSE)</f>
        <v>7.3221194481263927</v>
      </c>
      <c r="CF362" s="6">
        <f>VLOOKUP(Table1[[#This Row],[Reference]],metron,20,FALSE)</f>
        <v>5.3924963444014002</v>
      </c>
      <c r="CG362" s="6">
        <f>VLOOKUP(Table1[[#This Row],[Reference]],metron,21,FALSE)</f>
        <v>12.508162313432839</v>
      </c>
      <c r="CH362" s="6">
        <f>VLOOKUP(Table1[[#This Row],[Reference]],metron,22,FALSE)</f>
        <v>13.36963619402985</v>
      </c>
      <c r="CI362" s="6">
        <f>VLOOKUP(Table1[[#This Row],[Reference]],metron,23,FALSE)</f>
        <v>1.4438014689517029</v>
      </c>
      <c r="CJ362" s="6">
        <f>VLOOKUP(Table1[[#This Row],[Reference]],metron,24,FALSE)</f>
        <v>1.9410193634542621</v>
      </c>
      <c r="CK362" s="6">
        <f>VLOOKUP(Table1[[#This Row],[Reference]],metron,25,FALSE)</f>
        <v>8.4130870242599604E-2</v>
      </c>
      <c r="CL362" s="6">
        <f>VLOOKUP(Table1[[#This Row],[Reference]],metron,26,FALSE)</f>
        <v>0.1275317160026708</v>
      </c>
    </row>
    <row r="363" spans="1:90" hidden="1" x14ac:dyDescent="0.45">
      <c r="A363" t="s">
        <v>1346</v>
      </c>
      <c r="B363">
        <v>1596765960</v>
      </c>
      <c r="C363" s="23" t="s">
        <v>729</v>
      </c>
      <c r="D363" t="s">
        <v>65</v>
      </c>
      <c r="E363" t="s">
        <v>66</v>
      </c>
      <c r="F363" t="s">
        <v>106</v>
      </c>
      <c r="G363" t="s">
        <v>107</v>
      </c>
      <c r="H363" t="s">
        <v>122</v>
      </c>
      <c r="I363">
        <f>MROUND(Table1[[#This Row],[ProbH]]*100,2)/100</f>
        <v>0.24</v>
      </c>
      <c r="J363">
        <f>1/Table1[[#This Row],[odds_ft_home_team_win]]-Table1[[#This Row],[Margin]]</f>
        <v>0.23682165787428941</v>
      </c>
      <c r="K363">
        <f>1/Table1[[#This Row],[odds_ft_draw]]-Table1[[#This Row],[Margin]]</f>
        <v>0.27669406616775039</v>
      </c>
      <c r="L363">
        <f>1/Table1[[#This Row],[odds_ft_away_team_win]]-Table1[[#This Row],[Margin]]</f>
        <v>0.48648427595796023</v>
      </c>
      <c r="M363">
        <v>3</v>
      </c>
      <c r="N363">
        <v>3</v>
      </c>
      <c r="O363">
        <v>3</v>
      </c>
      <c r="P363">
        <v>1.59</v>
      </c>
      <c r="Q363">
        <v>1.47</v>
      </c>
      <c r="R363" t="str" cm="1">
        <f t="array" ref="R3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AA363">
        <v>1</v>
      </c>
      <c r="AB363">
        <v>4</v>
      </c>
      <c r="AC363">
        <v>3</v>
      </c>
      <c r="AD363">
        <v>0</v>
      </c>
      <c r="AE363">
        <v>3</v>
      </c>
      <c r="AF363">
        <v>0</v>
      </c>
      <c r="AG363">
        <v>2</v>
      </c>
      <c r="AH363">
        <v>1</v>
      </c>
      <c r="AI363">
        <v>1</v>
      </c>
      <c r="AJ363">
        <v>2</v>
      </c>
      <c r="AK363">
        <v>5</v>
      </c>
      <c r="AL363">
        <v>13</v>
      </c>
      <c r="AM363">
        <v>0</v>
      </c>
      <c r="AN363">
        <v>8</v>
      </c>
      <c r="AO363">
        <v>5</v>
      </c>
      <c r="AP363">
        <v>5</v>
      </c>
      <c r="AQ363">
        <v>17</v>
      </c>
      <c r="AR363">
        <v>20</v>
      </c>
      <c r="AS363">
        <v>50</v>
      </c>
      <c r="AT363">
        <v>50</v>
      </c>
      <c r="AU363">
        <v>0.51</v>
      </c>
      <c r="AV363">
        <v>1.73</v>
      </c>
      <c r="AW363">
        <v>3.5</v>
      </c>
      <c r="AX363">
        <v>50</v>
      </c>
      <c r="AY363">
        <v>100</v>
      </c>
      <c r="AZ363">
        <v>100</v>
      </c>
      <c r="BA363">
        <v>50</v>
      </c>
      <c r="BB363">
        <v>0</v>
      </c>
      <c r="BC363">
        <v>100</v>
      </c>
      <c r="BD363">
        <v>100</v>
      </c>
      <c r="BE363">
        <v>50</v>
      </c>
      <c r="BF363">
        <v>100</v>
      </c>
      <c r="BG363">
        <v>7</v>
      </c>
      <c r="BH363">
        <v>3</v>
      </c>
      <c r="BI363">
        <v>3.8</v>
      </c>
      <c r="BJ363">
        <v>3.3</v>
      </c>
      <c r="BK363">
        <v>1.95</v>
      </c>
      <c r="BL363">
        <f>(1/Table1[[#This Row],[odds_ft_home_team_win]]+1/Table1[[#This Row],[odds_ft_draw]]+1/Table1[[#This Row],[odds_ft_away_team_win]]-1)/3</f>
        <v>2.6336236862552671E-2</v>
      </c>
      <c r="BM363">
        <v>1.32</v>
      </c>
      <c r="BN363">
        <v>2</v>
      </c>
      <c r="BO363">
        <v>3.55</v>
      </c>
      <c r="BP363">
        <v>6.95</v>
      </c>
      <c r="BQ363">
        <v>1.8</v>
      </c>
      <c r="BR363">
        <v>1.91</v>
      </c>
      <c r="BS363" t="s">
        <v>110</v>
      </c>
      <c r="BT363">
        <f>VLOOKUP(Table1[[#This Row],[Reference]],metron,8,FALSE)</f>
        <v>1.0221684690062811</v>
      </c>
      <c r="BU363">
        <f>VLOOKUP(Table1[[#This Row],[Reference]],metron,9,FALSE)</f>
        <v>1.7036119427882386</v>
      </c>
      <c r="BV363">
        <f>VLOOKUP(Table1[[#This Row],[Reference]],metron,10,FALSE)</f>
        <v>2.6014437689969609</v>
      </c>
      <c r="BW363">
        <f>VLOOKUP(Table1[[#This Row],[Reference]],metron,11,FALSE)</f>
        <v>1.067249240121581</v>
      </c>
      <c r="BX363">
        <f>VLOOKUP(Table1[[#This Row],[Reference]],metron,12,FALSE)</f>
        <v>1.53419452887538</v>
      </c>
      <c r="BY363" s="6">
        <f>VLOOKUP(Table1[[#This Row],[Reference]],metron,13,FALSE)</f>
        <v>0.45589353612167299</v>
      </c>
      <c r="BZ363" s="6">
        <f>VLOOKUP(Table1[[#This Row],[Reference]],metron,14,FALSE)</f>
        <v>0.65133079847908748</v>
      </c>
      <c r="CA363" s="6">
        <f>VLOOKUP(Table1[[#This Row],[Reference]],metron,15,FALSE)</f>
        <v>10.75886524822695</v>
      </c>
      <c r="CB363" s="6">
        <f>VLOOKUP(Table1[[#This Row],[Reference]],metron,16,FALSE)</f>
        <v>12.46679561573179</v>
      </c>
      <c r="CC363" s="6">
        <f>VLOOKUP(Table1[[#This Row],[Reference]],metron,17,FALSE)</f>
        <v>4.1157347204161248</v>
      </c>
      <c r="CD363" s="6">
        <f>VLOOKUP(Table1[[#This Row],[Reference]],metron,18,FALSE)</f>
        <v>5.1072821846553964</v>
      </c>
      <c r="CE363" s="6">
        <f>VLOOKUP(Table1[[#This Row],[Reference]],metron,19,FALSE)</f>
        <v>6.6431305278108255</v>
      </c>
      <c r="CF363" s="6">
        <f>VLOOKUP(Table1[[#This Row],[Reference]],metron,20,FALSE)</f>
        <v>7.3595134310763939</v>
      </c>
      <c r="CG363" s="6">
        <f>VLOOKUP(Table1[[#This Row],[Reference]],metron,21,FALSE)</f>
        <v>13.11140235910878</v>
      </c>
      <c r="CH363" s="6">
        <f>VLOOKUP(Table1[[#This Row],[Reference]],metron,22,FALSE)</f>
        <v>12.93184796854522</v>
      </c>
      <c r="CI363" s="6">
        <f>VLOOKUP(Table1[[#This Row],[Reference]],metron,23,FALSE)</f>
        <v>1.8341677096370459</v>
      </c>
      <c r="CJ363" s="6">
        <f>VLOOKUP(Table1[[#This Row],[Reference]],metron,24,FALSE)</f>
        <v>1.7903629536921151</v>
      </c>
      <c r="CK363" s="6">
        <f>VLOOKUP(Table1[[#This Row],[Reference]],metron,25,FALSE)</f>
        <v>0.1095118898623279</v>
      </c>
      <c r="CL363" s="6">
        <f>VLOOKUP(Table1[[#This Row],[Reference]],metron,26,FALSE)</f>
        <v>9.3241551939924908E-2</v>
      </c>
    </row>
    <row r="364" spans="1:90" hidden="1" x14ac:dyDescent="0.45">
      <c r="A364" t="s">
        <v>1346</v>
      </c>
      <c r="B364">
        <v>1596846600</v>
      </c>
      <c r="C364" s="23" t="s">
        <v>730</v>
      </c>
      <c r="D364" t="s">
        <v>65</v>
      </c>
      <c r="E364" t="s">
        <v>66</v>
      </c>
      <c r="F364" t="s">
        <v>72</v>
      </c>
      <c r="G364" t="s">
        <v>68</v>
      </c>
      <c r="H364" t="s">
        <v>80</v>
      </c>
      <c r="I364">
        <f>MROUND(Table1[[#This Row],[ProbH]]*100,2)/100</f>
        <v>0.28000000000000003</v>
      </c>
      <c r="J364">
        <f>1/Table1[[#This Row],[odds_ft_home_team_win]]-Table1[[#This Row],[Margin]]</f>
        <v>0.27556893404127819</v>
      </c>
      <c r="K364">
        <f>1/Table1[[#This Row],[odds_ft_draw]]-Table1[[#This Row],[Margin]]</f>
        <v>0.27117911841353459</v>
      </c>
      <c r="L364">
        <f>1/Table1[[#This Row],[odds_ft_away_team_win]]-Table1[[#This Row],[Margin]]</f>
        <v>0.45325194754518722</v>
      </c>
      <c r="M364">
        <v>3</v>
      </c>
      <c r="N364">
        <v>0</v>
      </c>
      <c r="O364">
        <v>3</v>
      </c>
      <c r="P364">
        <v>1.29</v>
      </c>
      <c r="Q364">
        <v>1.63</v>
      </c>
      <c r="R364" t="str" cm="1">
        <f t="array" ref="R3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4">
        <v>1</v>
      </c>
      <c r="T364">
        <v>1</v>
      </c>
      <c r="U364">
        <v>2</v>
      </c>
      <c r="V364">
        <v>1</v>
      </c>
      <c r="W364">
        <v>0</v>
      </c>
      <c r="X364">
        <v>1</v>
      </c>
      <c r="Y364">
        <v>51</v>
      </c>
      <c r="Z364">
        <v>6</v>
      </c>
      <c r="AA364">
        <v>7</v>
      </c>
      <c r="AB364">
        <v>7</v>
      </c>
      <c r="AC364">
        <v>7</v>
      </c>
      <c r="AD364">
        <v>0</v>
      </c>
      <c r="AE364">
        <v>2</v>
      </c>
      <c r="AF364">
        <v>0</v>
      </c>
      <c r="AG364">
        <v>2</v>
      </c>
      <c r="AH364">
        <v>5</v>
      </c>
      <c r="AI364">
        <v>0</v>
      </c>
      <c r="AJ364">
        <v>2</v>
      </c>
      <c r="AK364">
        <v>14</v>
      </c>
      <c r="AL364">
        <v>8</v>
      </c>
      <c r="AM364">
        <v>6</v>
      </c>
      <c r="AN364">
        <v>4</v>
      </c>
      <c r="AO364">
        <v>8</v>
      </c>
      <c r="AP364">
        <v>4</v>
      </c>
      <c r="AQ364">
        <v>19</v>
      </c>
      <c r="AR364">
        <v>12</v>
      </c>
      <c r="AS364">
        <v>57</v>
      </c>
      <c r="AT364">
        <v>43</v>
      </c>
      <c r="AU364">
        <v>1.98</v>
      </c>
      <c r="AV364">
        <v>1.36</v>
      </c>
      <c r="AW364">
        <v>3</v>
      </c>
      <c r="AX364">
        <v>50</v>
      </c>
      <c r="AY364">
        <v>100</v>
      </c>
      <c r="AZ364">
        <v>100</v>
      </c>
      <c r="BA364">
        <v>0</v>
      </c>
      <c r="BB364">
        <v>0</v>
      </c>
      <c r="BC364">
        <v>50</v>
      </c>
      <c r="BD364">
        <v>50</v>
      </c>
      <c r="BE364">
        <v>50</v>
      </c>
      <c r="BF364">
        <v>100</v>
      </c>
      <c r="BG364">
        <v>8</v>
      </c>
      <c r="BH364">
        <v>3</v>
      </c>
      <c r="BI364">
        <v>3.35</v>
      </c>
      <c r="BJ364">
        <v>3.4</v>
      </c>
      <c r="BK364">
        <v>2.1</v>
      </c>
      <c r="BL364">
        <f>(1/Table1[[#This Row],[odds_ft_home_team_win]]+1/Table1[[#This Row],[odds_ft_draw]]+1/Table1[[#This Row],[odds_ft_away_team_win]]-1)/3</f>
        <v>2.293852864528893E-2</v>
      </c>
      <c r="BM364">
        <v>1.26</v>
      </c>
      <c r="BN364">
        <v>1.83</v>
      </c>
      <c r="BO364">
        <v>3.1</v>
      </c>
      <c r="BP364">
        <v>5.8</v>
      </c>
      <c r="BQ364">
        <v>1.69</v>
      </c>
      <c r="BR364">
        <v>2.0499999999999998</v>
      </c>
      <c r="BS364" t="s">
        <v>76</v>
      </c>
      <c r="BT364">
        <f>VLOOKUP(Table1[[#This Row],[Reference]],metron,8,FALSE)</f>
        <v>1.1529533168233341</v>
      </c>
      <c r="BU364">
        <f>VLOOKUP(Table1[[#This Row],[Reference]],metron,9,FALSE)</f>
        <v>1.5628535554286829</v>
      </c>
      <c r="BV364">
        <f>VLOOKUP(Table1[[#This Row],[Reference]],metron,10,FALSE)</f>
        <v>2.5445607358071678</v>
      </c>
      <c r="BW364">
        <f>VLOOKUP(Table1[[#This Row],[Reference]],metron,11,FALSE)</f>
        <v>1.128766254360926</v>
      </c>
      <c r="BX364">
        <f>VLOOKUP(Table1[[#This Row],[Reference]],metron,12,FALSE)</f>
        <v>1.415794481446242</v>
      </c>
      <c r="BY364" s="6">
        <f>VLOOKUP(Table1[[#This Row],[Reference]],metron,13,FALSE)</f>
        <v>0.49635267998731369</v>
      </c>
      <c r="BZ364" s="6">
        <f>VLOOKUP(Table1[[#This Row],[Reference]],metron,14,FALSE)</f>
        <v>0.61084681255946716</v>
      </c>
      <c r="CA364" s="6">
        <f>VLOOKUP(Table1[[#This Row],[Reference]],metron,15,FALSE)</f>
        <v>11.04442036836403</v>
      </c>
      <c r="CB364" s="6">
        <f>VLOOKUP(Table1[[#This Row],[Reference]],metron,16,FALSE)</f>
        <v>11.38840736728061</v>
      </c>
      <c r="CC364" s="6">
        <f>VLOOKUP(Table1[[#This Row],[Reference]],metron,17,FALSE)</f>
        <v>4.5379574003276897</v>
      </c>
      <c r="CD364" s="6">
        <f>VLOOKUP(Table1[[#This Row],[Reference]],metron,18,FALSE)</f>
        <v>4.8481703986892413</v>
      </c>
      <c r="CE364" s="6">
        <f>VLOOKUP(Table1[[#This Row],[Reference]],metron,19,FALSE)</f>
        <v>6.5064629680363399</v>
      </c>
      <c r="CF364" s="6">
        <f>VLOOKUP(Table1[[#This Row],[Reference]],metron,20,FALSE)</f>
        <v>6.540236968591369</v>
      </c>
      <c r="CG364" s="6">
        <f>VLOOKUP(Table1[[#This Row],[Reference]],metron,21,FALSE)</f>
        <v>13.117582417582421</v>
      </c>
      <c r="CH364" s="6">
        <f>VLOOKUP(Table1[[#This Row],[Reference]],metron,22,FALSE)</f>
        <v>13.28241758241758</v>
      </c>
      <c r="CI364" s="6">
        <f>VLOOKUP(Table1[[#This Row],[Reference]],metron,23,FALSE)</f>
        <v>1.792592592592593</v>
      </c>
      <c r="CJ364" s="6">
        <f>VLOOKUP(Table1[[#This Row],[Reference]],metron,24,FALSE)</f>
        <v>1.806980433632998</v>
      </c>
      <c r="CK364" s="6">
        <f>VLOOKUP(Table1[[#This Row],[Reference]],metron,25,FALSE)</f>
        <v>0.1047065044949762</v>
      </c>
      <c r="CL364" s="6">
        <f>VLOOKUP(Table1[[#This Row],[Reference]],metron,26,FALSE)</f>
        <v>0.1073506081438392</v>
      </c>
    </row>
    <row r="365" spans="1:90" hidden="1" x14ac:dyDescent="0.45">
      <c r="A365" t="s">
        <v>1346</v>
      </c>
      <c r="B365">
        <v>1596853800</v>
      </c>
      <c r="C365" s="23" t="s">
        <v>731</v>
      </c>
      <c r="D365" t="s">
        <v>65</v>
      </c>
      <c r="E365" t="s">
        <v>66</v>
      </c>
      <c r="F365" t="s">
        <v>113</v>
      </c>
      <c r="G365" t="s">
        <v>79</v>
      </c>
      <c r="H365" t="s">
        <v>103</v>
      </c>
      <c r="I365">
        <f>MROUND(Table1[[#This Row],[ProbH]]*100,2)/100</f>
        <v>0.4</v>
      </c>
      <c r="J365">
        <f>1/Table1[[#This Row],[odds_ft_home_team_win]]-Table1[[#This Row],[Margin]]</f>
        <v>0.40752118113437452</v>
      </c>
      <c r="K365">
        <f>1/Table1[[#This Row],[odds_ft_draw]]-Table1[[#This Row],[Margin]]</f>
        <v>0.26634177083952193</v>
      </c>
      <c r="L365">
        <f>1/Table1[[#This Row],[odds_ft_away_team_win]]-Table1[[#This Row],[Margin]]</f>
        <v>0.32613704802610349</v>
      </c>
      <c r="M365">
        <v>3</v>
      </c>
      <c r="N365">
        <v>0</v>
      </c>
      <c r="O365">
        <v>0</v>
      </c>
      <c r="P365">
        <v>1.53</v>
      </c>
      <c r="Q365">
        <v>0.55000000000000004</v>
      </c>
      <c r="R365" t="str" cm="1">
        <f t="array" ref="R3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5">
        <v>2</v>
      </c>
      <c r="T365">
        <v>1</v>
      </c>
      <c r="U365">
        <v>3</v>
      </c>
      <c r="V365">
        <v>3</v>
      </c>
      <c r="W365">
        <v>2</v>
      </c>
      <c r="X365">
        <v>1</v>
      </c>
      <c r="Y365" t="s">
        <v>732</v>
      </c>
      <c r="Z365">
        <v>28</v>
      </c>
      <c r="AA365">
        <v>2</v>
      </c>
      <c r="AB365">
        <v>9</v>
      </c>
      <c r="AC365">
        <v>0</v>
      </c>
      <c r="AD365">
        <v>1</v>
      </c>
      <c r="AE365">
        <v>2</v>
      </c>
      <c r="AF365">
        <v>0</v>
      </c>
      <c r="AG365">
        <v>1</v>
      </c>
      <c r="AH365">
        <v>0</v>
      </c>
      <c r="AI365">
        <v>0</v>
      </c>
      <c r="AJ365">
        <v>2</v>
      </c>
      <c r="AK365">
        <v>10</v>
      </c>
      <c r="AL365">
        <v>10</v>
      </c>
      <c r="AM365">
        <v>6</v>
      </c>
      <c r="AN365">
        <v>6</v>
      </c>
      <c r="AO365">
        <v>4</v>
      </c>
      <c r="AP365">
        <v>4</v>
      </c>
      <c r="AQ365">
        <v>16</v>
      </c>
      <c r="AR365">
        <v>17</v>
      </c>
      <c r="AS365">
        <v>45</v>
      </c>
      <c r="AT365">
        <v>55</v>
      </c>
      <c r="AU365">
        <v>1.39</v>
      </c>
      <c r="AV365">
        <v>1.62</v>
      </c>
      <c r="AW365">
        <v>4.5</v>
      </c>
      <c r="AX365">
        <v>100</v>
      </c>
      <c r="AY365">
        <v>100</v>
      </c>
      <c r="AZ365">
        <v>100</v>
      </c>
      <c r="BA365">
        <v>100</v>
      </c>
      <c r="BB365">
        <v>50</v>
      </c>
      <c r="BC365">
        <v>100</v>
      </c>
      <c r="BD365">
        <v>100</v>
      </c>
      <c r="BE365">
        <v>100</v>
      </c>
      <c r="BF365">
        <v>100</v>
      </c>
      <c r="BG365">
        <v>10</v>
      </c>
      <c r="BH365">
        <v>3</v>
      </c>
      <c r="BI365">
        <v>2.3199999999999998</v>
      </c>
      <c r="BJ365">
        <v>3.45</v>
      </c>
      <c r="BK365">
        <v>2.86</v>
      </c>
      <c r="BL365">
        <f>(1/Table1[[#This Row],[odds_ft_home_team_win]]+1/Table1[[#This Row],[odds_ft_draw]]+1/Table1[[#This Row],[odds_ft_away_team_win]]-1)/3</f>
        <v>2.3513301624246214E-2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 t="s">
        <v>120</v>
      </c>
      <c r="BT365">
        <f>VLOOKUP(Table1[[#This Row],[Reference]],metron,8,FALSE)</f>
        <v>1.5181603563290151</v>
      </c>
      <c r="BU365">
        <f>VLOOKUP(Table1[[#This Row],[Reference]],metron,9,FALSE)</f>
        <v>1.1952730370775513</v>
      </c>
      <c r="BV365">
        <f>VLOOKUP(Table1[[#This Row],[Reference]],metron,10,FALSE)</f>
        <v>2.4956155335383219</v>
      </c>
      <c r="BW365">
        <f>VLOOKUP(Table1[[#This Row],[Reference]],metron,11,FALSE)</f>
        <v>1.344038264434575</v>
      </c>
      <c r="BX365">
        <f>VLOOKUP(Table1[[#This Row],[Reference]],metron,12,FALSE)</f>
        <v>1.1515772691037469</v>
      </c>
      <c r="BY365" s="6">
        <f>VLOOKUP(Table1[[#This Row],[Reference]],metron,13,FALSE)</f>
        <v>0.59936225942375587</v>
      </c>
      <c r="BZ365" s="6">
        <f>VLOOKUP(Table1[[#This Row],[Reference]],metron,14,FALSE)</f>
        <v>0.50723152260562576</v>
      </c>
      <c r="CA365" s="6">
        <f>VLOOKUP(Table1[[#This Row],[Reference]],metron,15,FALSE)</f>
        <v>11.99278846153846</v>
      </c>
      <c r="CB365" s="6">
        <f>VLOOKUP(Table1[[#This Row],[Reference]],metron,16,FALSE)</f>
        <v>10.0277534965035</v>
      </c>
      <c r="CC365" s="6">
        <f>VLOOKUP(Table1[[#This Row],[Reference]],metron,17,FALSE)</f>
        <v>5.2857459543338514</v>
      </c>
      <c r="CD365" s="6">
        <f>VLOOKUP(Table1[[#This Row],[Reference]],metron,18,FALSE)</f>
        <v>4.4067834183107957</v>
      </c>
      <c r="CE365" s="6">
        <f>VLOOKUP(Table1[[#This Row],[Reference]],metron,19,FALSE)</f>
        <v>6.7070425072046085</v>
      </c>
      <c r="CF365" s="6">
        <f>VLOOKUP(Table1[[#This Row],[Reference]],metron,20,FALSE)</f>
        <v>5.6209700781927046</v>
      </c>
      <c r="CG365" s="6">
        <f>VLOOKUP(Table1[[#This Row],[Reference]],metron,21,FALSE)</f>
        <v>13.04463690872752</v>
      </c>
      <c r="CH365" s="6">
        <f>VLOOKUP(Table1[[#This Row],[Reference]],metron,22,FALSE)</f>
        <v>13.49811236953142</v>
      </c>
      <c r="CI365" s="6">
        <f>VLOOKUP(Table1[[#This Row],[Reference]],metron,23,FALSE)</f>
        <v>1.5836526181353769</v>
      </c>
      <c r="CJ365" s="6">
        <f>VLOOKUP(Table1[[#This Row],[Reference]],metron,24,FALSE)</f>
        <v>1.8744146445295871</v>
      </c>
      <c r="CK365" s="6">
        <f>VLOOKUP(Table1[[#This Row],[Reference]],metron,25,FALSE)</f>
        <v>8.5994040017028525E-2</v>
      </c>
      <c r="CL365" s="6">
        <f>VLOOKUP(Table1[[#This Row],[Reference]],metron,26,FALSE)</f>
        <v>0.13452532992762881</v>
      </c>
    </row>
    <row r="366" spans="1:90" hidden="1" x14ac:dyDescent="0.45">
      <c r="A366" t="s">
        <v>1346</v>
      </c>
      <c r="B366">
        <v>1596931200</v>
      </c>
      <c r="C366" s="23" t="s">
        <v>733</v>
      </c>
      <c r="D366" t="s">
        <v>65</v>
      </c>
      <c r="E366" t="s">
        <v>66</v>
      </c>
      <c r="F366" t="s">
        <v>112</v>
      </c>
      <c r="G366" t="s">
        <v>85</v>
      </c>
      <c r="H366" t="s">
        <v>158</v>
      </c>
      <c r="I366">
        <f>MROUND(Table1[[#This Row],[ProbH]]*100,2)/100</f>
        <v>0.6</v>
      </c>
      <c r="J366">
        <f>1/Table1[[#This Row],[odds_ft_home_team_win]]-Table1[[#This Row],[Margin]]</f>
        <v>0.60120625826291263</v>
      </c>
      <c r="K366">
        <f>1/Table1[[#This Row],[odds_ft_draw]]-Table1[[#This Row],[Margin]]</f>
        <v>0.22400384284393671</v>
      </c>
      <c r="L366">
        <f>1/Table1[[#This Row],[odds_ft_away_team_win]]-Table1[[#This Row],[Margin]]</f>
        <v>0.17478989889315066</v>
      </c>
      <c r="M366">
        <v>3</v>
      </c>
      <c r="N366">
        <v>3</v>
      </c>
      <c r="O366">
        <v>1</v>
      </c>
      <c r="P366">
        <v>2.1800000000000002</v>
      </c>
      <c r="Q366">
        <v>1.5</v>
      </c>
      <c r="R366" s="9" t="str" cm="1">
        <f t="array" ref="R3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6">
        <v>2</v>
      </c>
      <c r="T366">
        <v>0</v>
      </c>
      <c r="U366">
        <v>2</v>
      </c>
      <c r="V366">
        <v>1</v>
      </c>
      <c r="W366">
        <v>1</v>
      </c>
      <c r="X366">
        <v>0</v>
      </c>
      <c r="Y366" t="s">
        <v>734</v>
      </c>
      <c r="AA366">
        <v>5</v>
      </c>
      <c r="AB366">
        <v>4</v>
      </c>
      <c r="AC366">
        <v>1</v>
      </c>
      <c r="AD366">
        <v>0</v>
      </c>
      <c r="AE366">
        <v>2</v>
      </c>
      <c r="AF366">
        <v>0</v>
      </c>
      <c r="AG366">
        <v>0</v>
      </c>
      <c r="AH366">
        <v>1</v>
      </c>
      <c r="AI366">
        <v>0</v>
      </c>
      <c r="AJ366">
        <v>2</v>
      </c>
      <c r="AK366">
        <v>10</v>
      </c>
      <c r="AL366">
        <v>10</v>
      </c>
      <c r="AM366">
        <v>7</v>
      </c>
      <c r="AN366">
        <v>5</v>
      </c>
      <c r="AO366">
        <v>3</v>
      </c>
      <c r="AP366">
        <v>5</v>
      </c>
      <c r="AQ366">
        <v>14</v>
      </c>
      <c r="AR366">
        <v>9</v>
      </c>
      <c r="AS366">
        <v>40</v>
      </c>
      <c r="AT366">
        <v>60</v>
      </c>
      <c r="AU366">
        <v>0</v>
      </c>
      <c r="AV366">
        <v>0</v>
      </c>
      <c r="AW366">
        <v>1</v>
      </c>
      <c r="AX366">
        <v>0</v>
      </c>
      <c r="AY366">
        <v>50</v>
      </c>
      <c r="AZ366">
        <v>0</v>
      </c>
      <c r="BA366">
        <v>0</v>
      </c>
      <c r="BB366">
        <v>0</v>
      </c>
      <c r="BC366">
        <v>0</v>
      </c>
      <c r="BD366">
        <v>50</v>
      </c>
      <c r="BE366">
        <v>0</v>
      </c>
      <c r="BF366">
        <v>50</v>
      </c>
      <c r="BG366">
        <v>15</v>
      </c>
      <c r="BH366">
        <v>3</v>
      </c>
      <c r="BI366">
        <v>1.57</v>
      </c>
      <c r="BJ366">
        <v>3.85</v>
      </c>
      <c r="BK366">
        <v>4.75</v>
      </c>
      <c r="BL366">
        <f>(1/Table1[[#This Row],[odds_ft_home_team_win]]+1/Table1[[#This Row],[odds_ft_draw]]+1/Table1[[#This Row],[odds_ft_away_team_win]]-1)/3</f>
        <v>3.5736416896323009E-2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 t="s">
        <v>99</v>
      </c>
      <c r="BT366">
        <f>VLOOKUP(Table1[[#This Row],[Reference]],metron,8,FALSE)</f>
        <v>2.0749792289385525</v>
      </c>
      <c r="BU366">
        <f>VLOOKUP(Table1[[#This Row],[Reference]],metron,9,FALSE)</f>
        <v>0.68220664089703831</v>
      </c>
      <c r="BV366">
        <f>VLOOKUP(Table1[[#This Row],[Reference]],metron,10,FALSE)</f>
        <v>2.7310090702947849</v>
      </c>
      <c r="BW366">
        <f>VLOOKUP(Table1[[#This Row],[Reference]],metron,11,FALSE)</f>
        <v>1.841836734693878</v>
      </c>
      <c r="BX366">
        <f>VLOOKUP(Table1[[#This Row],[Reference]],metron,12,FALSE)</f>
        <v>0.88917233560090703</v>
      </c>
      <c r="BY366" s="6">
        <f>VLOOKUP(Table1[[#This Row],[Reference]],metron,13,FALSE)</f>
        <v>0.804822695035461</v>
      </c>
      <c r="BZ366" s="6">
        <f>VLOOKUP(Table1[[#This Row],[Reference]],metron,14,FALSE)</f>
        <v>0.38099290780141842</v>
      </c>
      <c r="CA366" s="6">
        <f>VLOOKUP(Table1[[#This Row],[Reference]],metron,15,FALSE)</f>
        <v>14.25174825174825</v>
      </c>
      <c r="CB366" s="6">
        <f>VLOOKUP(Table1[[#This Row],[Reference]],metron,16,FALSE)</f>
        <v>8.8316683316683324</v>
      </c>
      <c r="CC366" s="6">
        <f>VLOOKUP(Table1[[#This Row],[Reference]],metron,17,FALSE)</f>
        <v>6.2901265822784813</v>
      </c>
      <c r="CD366" s="6">
        <f>VLOOKUP(Table1[[#This Row],[Reference]],metron,18,FALSE)</f>
        <v>3.6162025316455702</v>
      </c>
      <c r="CE366" s="6">
        <f>VLOOKUP(Table1[[#This Row],[Reference]],metron,19,FALSE)</f>
        <v>7.9616216694697686</v>
      </c>
      <c r="CF366" s="6">
        <f>VLOOKUP(Table1[[#This Row],[Reference]],metron,20,FALSE)</f>
        <v>5.2154658000227627</v>
      </c>
      <c r="CG366" s="6">
        <f>VLOOKUP(Table1[[#This Row],[Reference]],metron,21,FALSE)</f>
        <v>12.444895886236671</v>
      </c>
      <c r="CH366" s="6">
        <f>VLOOKUP(Table1[[#This Row],[Reference]],metron,22,FALSE)</f>
        <v>13.620619603859829</v>
      </c>
      <c r="CI366" s="6">
        <f>VLOOKUP(Table1[[#This Row],[Reference]],metron,23,FALSE)</f>
        <v>1.406084017382907</v>
      </c>
      <c r="CJ366" s="6">
        <f>VLOOKUP(Table1[[#This Row],[Reference]],metron,24,FALSE)</f>
        <v>2.070980202800579</v>
      </c>
      <c r="CK366" s="6">
        <f>VLOOKUP(Table1[[#This Row],[Reference]],metron,25,FALSE)</f>
        <v>6.1323032351521013E-2</v>
      </c>
      <c r="CL366" s="6">
        <f>VLOOKUP(Table1[[#This Row],[Reference]],metron,26,FALSE)</f>
        <v>0.1313375181071946</v>
      </c>
    </row>
    <row r="367" spans="1:90" hidden="1" x14ac:dyDescent="0.45">
      <c r="A367" t="s">
        <v>1346</v>
      </c>
      <c r="B367">
        <v>1596931560</v>
      </c>
      <c r="C367" s="23" t="s">
        <v>735</v>
      </c>
      <c r="D367" t="s">
        <v>65</v>
      </c>
      <c r="E367" t="s">
        <v>66</v>
      </c>
      <c r="F367" t="s">
        <v>101</v>
      </c>
      <c r="G367" t="s">
        <v>73</v>
      </c>
      <c r="H367" t="s">
        <v>69</v>
      </c>
      <c r="I367">
        <f>MROUND(Table1[[#This Row],[ProbH]]*100,2)/100</f>
        <v>0.54</v>
      </c>
      <c r="J367">
        <f>1/Table1[[#This Row],[odds_ft_home_team_win]]-Table1[[#This Row],[Margin]]</f>
        <v>0.54886562585038934</v>
      </c>
      <c r="K367">
        <f>1/Table1[[#This Row],[odds_ft_draw]]-Table1[[#This Row],[Margin]]</f>
        <v>0.24442325244249866</v>
      </c>
      <c r="L367">
        <f>1/Table1[[#This Row],[odds_ft_away_team_win]]-Table1[[#This Row],[Margin]]</f>
        <v>0.20671112170711214</v>
      </c>
      <c r="M367">
        <v>3</v>
      </c>
      <c r="N367">
        <v>3</v>
      </c>
      <c r="O367">
        <v>0</v>
      </c>
      <c r="P367">
        <v>1.79</v>
      </c>
      <c r="Q367">
        <v>0.8</v>
      </c>
      <c r="R367" t="str" cm="1">
        <f t="array" ref="R3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7">
        <v>2</v>
      </c>
      <c r="T367">
        <v>2</v>
      </c>
      <c r="U367">
        <v>4</v>
      </c>
      <c r="V367">
        <v>2</v>
      </c>
      <c r="W367">
        <v>1</v>
      </c>
      <c r="X367">
        <v>1</v>
      </c>
      <c r="Y367" t="s">
        <v>736</v>
      </c>
      <c r="Z367" t="s">
        <v>737</v>
      </c>
      <c r="AA367">
        <v>15</v>
      </c>
      <c r="AB367">
        <v>4</v>
      </c>
      <c r="AC367">
        <v>2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28</v>
      </c>
      <c r="AL367">
        <v>15</v>
      </c>
      <c r="AM367">
        <v>11</v>
      </c>
      <c r="AN367">
        <v>8</v>
      </c>
      <c r="AO367">
        <v>17</v>
      </c>
      <c r="AP367">
        <v>7</v>
      </c>
      <c r="AQ367">
        <v>13</v>
      </c>
      <c r="AR367">
        <v>15</v>
      </c>
      <c r="AS367">
        <v>55</v>
      </c>
      <c r="AT367">
        <v>45</v>
      </c>
      <c r="AU367">
        <v>2.99</v>
      </c>
      <c r="AV367">
        <v>1.79</v>
      </c>
      <c r="AW367">
        <v>3</v>
      </c>
      <c r="AX367">
        <v>50</v>
      </c>
      <c r="AY367">
        <v>100</v>
      </c>
      <c r="AZ367">
        <v>50</v>
      </c>
      <c r="BA367">
        <v>50</v>
      </c>
      <c r="BB367">
        <v>0</v>
      </c>
      <c r="BC367">
        <v>50</v>
      </c>
      <c r="BD367">
        <v>100</v>
      </c>
      <c r="BE367">
        <v>50</v>
      </c>
      <c r="BF367">
        <v>100</v>
      </c>
      <c r="BG367">
        <v>6</v>
      </c>
      <c r="BH367">
        <v>8</v>
      </c>
      <c r="BI367">
        <v>1.74</v>
      </c>
      <c r="BJ367">
        <v>3.7</v>
      </c>
      <c r="BK367">
        <v>4.3</v>
      </c>
      <c r="BL367">
        <f>(1/Table1[[#This Row],[odds_ft_home_team_win]]+1/Table1[[#This Row],[odds_ft_draw]]+1/Table1[[#This Row],[odds_ft_away_team_win]]-1)/3</f>
        <v>2.5847017827771584E-2</v>
      </c>
      <c r="BM367">
        <v>1.21</v>
      </c>
      <c r="BN367">
        <v>1.67</v>
      </c>
      <c r="BO367">
        <v>2.7</v>
      </c>
      <c r="BP367">
        <v>4.9000000000000004</v>
      </c>
      <c r="BQ367">
        <v>1.62</v>
      </c>
      <c r="BR367">
        <v>2.15</v>
      </c>
      <c r="BS367" t="s">
        <v>713</v>
      </c>
      <c r="BT367">
        <f>VLOOKUP(Table1[[#This Row],[Reference]],metron,8,FALSE)</f>
        <v>1.915666026436746</v>
      </c>
      <c r="BU367">
        <f>VLOOKUP(Table1[[#This Row],[Reference]],metron,9,FALSE)</f>
        <v>0.82283834599204153</v>
      </c>
      <c r="BV367">
        <f>VLOOKUP(Table1[[#This Row],[Reference]],metron,10,FALSE)</f>
        <v>2.6359702267612941</v>
      </c>
      <c r="BW367">
        <f>VLOOKUP(Table1[[#This Row],[Reference]],metron,11,FALSE)</f>
        <v>1.684957590444867</v>
      </c>
      <c r="BX367">
        <f>VLOOKUP(Table1[[#This Row],[Reference]],metron,12,FALSE)</f>
        <v>0.95101263631642718</v>
      </c>
      <c r="BY367" s="6">
        <f>VLOOKUP(Table1[[#This Row],[Reference]],metron,13,FALSE)</f>
        <v>0.72650164445213783</v>
      </c>
      <c r="BZ367" s="6">
        <f>VLOOKUP(Table1[[#This Row],[Reference]],metron,14,FALSE)</f>
        <v>0.42097974727367138</v>
      </c>
      <c r="CA367" s="6">
        <f>VLOOKUP(Table1[[#This Row],[Reference]],metron,15,FALSE)</f>
        <v>13.338806970509379</v>
      </c>
      <c r="CB367" s="6">
        <f>VLOOKUP(Table1[[#This Row],[Reference]],metron,16,FALSE)</f>
        <v>9.2530160857908843</v>
      </c>
      <c r="CC367" s="6">
        <f>VLOOKUP(Table1[[#This Row],[Reference]],metron,17,FALSE)</f>
        <v>5.9915081521739131</v>
      </c>
      <c r="CD367" s="6">
        <f>VLOOKUP(Table1[[#This Row],[Reference]],metron,18,FALSE)</f>
        <v>3.9772418478260869</v>
      </c>
      <c r="CE367" s="6">
        <f>VLOOKUP(Table1[[#This Row],[Reference]],metron,19,FALSE)</f>
        <v>7.3472988183354664</v>
      </c>
      <c r="CF367" s="6">
        <f>VLOOKUP(Table1[[#This Row],[Reference]],metron,20,FALSE)</f>
        <v>5.2757742379647974</v>
      </c>
      <c r="CG367" s="6">
        <f>VLOOKUP(Table1[[#This Row],[Reference]],metron,21,FALSE)</f>
        <v>12.59428182437032</v>
      </c>
      <c r="CH367" s="6">
        <f>VLOOKUP(Table1[[#This Row],[Reference]],metron,22,FALSE)</f>
        <v>13.577944179714089</v>
      </c>
      <c r="CI367" s="6">
        <f>VLOOKUP(Table1[[#This Row],[Reference]],metron,23,FALSE)</f>
        <v>1.4276913099870301</v>
      </c>
      <c r="CJ367" s="6">
        <f>VLOOKUP(Table1[[#This Row],[Reference]],metron,24,FALSE)</f>
        <v>1.940985732814527</v>
      </c>
      <c r="CK367" s="6">
        <f>VLOOKUP(Table1[[#This Row],[Reference]],metron,25,FALSE)</f>
        <v>8.0739299610894946E-2</v>
      </c>
      <c r="CL367" s="6">
        <f>VLOOKUP(Table1[[#This Row],[Reference]],metron,26,FALSE)</f>
        <v>0.12743190661478601</v>
      </c>
    </row>
    <row r="368" spans="1:90" hidden="1" x14ac:dyDescent="0.45">
      <c r="A368" t="s">
        <v>1346</v>
      </c>
      <c r="B368">
        <v>1596938400</v>
      </c>
      <c r="C368" s="23" t="s">
        <v>738</v>
      </c>
      <c r="D368" t="s">
        <v>65</v>
      </c>
      <c r="E368" t="s">
        <v>66</v>
      </c>
      <c r="F368" t="s">
        <v>90</v>
      </c>
      <c r="G368" t="s">
        <v>102</v>
      </c>
      <c r="H368" t="s">
        <v>74</v>
      </c>
      <c r="I368">
        <f>MROUND(Table1[[#This Row],[ProbH]]*100,2)/100</f>
        <v>0.46</v>
      </c>
      <c r="J368">
        <f>1/Table1[[#This Row],[odds_ft_home_team_win]]-Table1[[#This Row],[Margin]]</f>
        <v>0.46207576918672766</v>
      </c>
      <c r="K368">
        <f>1/Table1[[#This Row],[odds_ft_draw]]-Table1[[#This Row],[Margin]]</f>
        <v>0.28196319883025484</v>
      </c>
      <c r="L368">
        <f>1/Table1[[#This Row],[odds_ft_away_team_win]]-Table1[[#This Row],[Margin]]</f>
        <v>0.25596103198301756</v>
      </c>
      <c r="M368">
        <v>3</v>
      </c>
      <c r="N368">
        <v>1</v>
      </c>
      <c r="O368">
        <v>3</v>
      </c>
      <c r="P368">
        <v>1.6</v>
      </c>
      <c r="Q368">
        <v>1.33</v>
      </c>
      <c r="R368" t="str" cm="1">
        <f t="array" ref="R3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Z368">
        <v>63</v>
      </c>
      <c r="AA368">
        <v>4</v>
      </c>
      <c r="AB368">
        <v>6</v>
      </c>
      <c r="AC368">
        <v>1</v>
      </c>
      <c r="AD368">
        <v>1</v>
      </c>
      <c r="AE368">
        <v>1</v>
      </c>
      <c r="AF368">
        <v>0</v>
      </c>
      <c r="AG368">
        <v>2</v>
      </c>
      <c r="AH368">
        <v>0</v>
      </c>
      <c r="AI368">
        <v>1</v>
      </c>
      <c r="AJ368">
        <v>0</v>
      </c>
      <c r="AK368">
        <v>15</v>
      </c>
      <c r="AL368">
        <v>16</v>
      </c>
      <c r="AM368">
        <v>4</v>
      </c>
      <c r="AN368">
        <v>5</v>
      </c>
      <c r="AO368">
        <v>11</v>
      </c>
      <c r="AP368">
        <v>11</v>
      </c>
      <c r="AQ368">
        <v>9</v>
      </c>
      <c r="AR368">
        <v>13</v>
      </c>
      <c r="AS368">
        <v>44</v>
      </c>
      <c r="AT368">
        <v>56</v>
      </c>
      <c r="AU368">
        <v>1.45</v>
      </c>
      <c r="AV368">
        <v>1.58</v>
      </c>
      <c r="AW368">
        <v>2.5</v>
      </c>
      <c r="AX368">
        <v>50</v>
      </c>
      <c r="AY368">
        <v>50</v>
      </c>
      <c r="AZ368">
        <v>50</v>
      </c>
      <c r="BA368">
        <v>50</v>
      </c>
      <c r="BB368">
        <v>50</v>
      </c>
      <c r="BC368">
        <v>50</v>
      </c>
      <c r="BD368">
        <v>50</v>
      </c>
      <c r="BE368">
        <v>50</v>
      </c>
      <c r="BF368">
        <v>50</v>
      </c>
      <c r="BG368">
        <v>3</v>
      </c>
      <c r="BH368">
        <v>4</v>
      </c>
      <c r="BI368">
        <v>2.0499999999999998</v>
      </c>
      <c r="BJ368">
        <v>3.25</v>
      </c>
      <c r="BK368">
        <v>3.55</v>
      </c>
      <c r="BL368">
        <f>(1/Table1[[#This Row],[odds_ft_home_team_win]]+1/Table1[[#This Row],[odds_ft_draw]]+1/Table1[[#This Row],[odds_ft_away_team_win]]-1)/3</f>
        <v>2.5729108862052891E-2</v>
      </c>
      <c r="BM368">
        <v>1.34</v>
      </c>
      <c r="BN368">
        <v>2.0499999999999998</v>
      </c>
      <c r="BO368">
        <v>3.75</v>
      </c>
      <c r="BP368">
        <v>7.25</v>
      </c>
      <c r="BQ368">
        <v>1.83</v>
      </c>
      <c r="BR368">
        <v>1.87</v>
      </c>
      <c r="BS368" t="s">
        <v>94</v>
      </c>
      <c r="BT368">
        <f>VLOOKUP(Table1[[#This Row],[Reference]],metron,8,FALSE)</f>
        <v>1.6955772349985931</v>
      </c>
      <c r="BU368">
        <f>VLOOKUP(Table1[[#This Row],[Reference]],metron,9,FALSE)</f>
        <v>1.0239029519551039</v>
      </c>
      <c r="BV368">
        <f>VLOOKUP(Table1[[#This Row],[Reference]],metron,10,FALSE)</f>
        <v>2.5405629139072849</v>
      </c>
      <c r="BW368">
        <f>VLOOKUP(Table1[[#This Row],[Reference]],metron,11,FALSE)</f>
        <v>1.4888836329233679</v>
      </c>
      <c r="BX368">
        <f>VLOOKUP(Table1[[#This Row],[Reference]],metron,12,FALSE)</f>
        <v>1.0516792809839171</v>
      </c>
      <c r="BY368" s="6">
        <f>VLOOKUP(Table1[[#This Row],[Reference]],metron,13,FALSE)</f>
        <v>0.64581362346263005</v>
      </c>
      <c r="BZ368" s="6">
        <f>VLOOKUP(Table1[[#This Row],[Reference]],metron,14,FALSE)</f>
        <v>0.45364238410596031</v>
      </c>
      <c r="CA368" s="6">
        <f>VLOOKUP(Table1[[#This Row],[Reference]],metron,15,FALSE)</f>
        <v>12.686892177589851</v>
      </c>
      <c r="CB368" s="6">
        <f>VLOOKUP(Table1[[#This Row],[Reference]],metron,16,FALSE)</f>
        <v>9.8059196617336148</v>
      </c>
      <c r="CC368" s="6">
        <f>VLOOKUP(Table1[[#This Row],[Reference]],metron,17,FALSE)</f>
        <v>5.3198121263877027</v>
      </c>
      <c r="CD368" s="6">
        <f>VLOOKUP(Table1[[#This Row],[Reference]],metron,18,FALSE)</f>
        <v>4.0954312553373189</v>
      </c>
      <c r="CE368" s="6">
        <f>VLOOKUP(Table1[[#This Row],[Reference]],metron,19,FALSE)</f>
        <v>7.3670800512021479</v>
      </c>
      <c r="CF368" s="6">
        <f>VLOOKUP(Table1[[#This Row],[Reference]],metron,20,FALSE)</f>
        <v>5.710488406396296</v>
      </c>
      <c r="CG368" s="6">
        <f>VLOOKUP(Table1[[#This Row],[Reference]],metron,21,FALSE)</f>
        <v>13.0488908033599</v>
      </c>
      <c r="CH368" s="6">
        <f>VLOOKUP(Table1[[#This Row],[Reference]],metron,22,FALSE)</f>
        <v>13.714839543398661</v>
      </c>
      <c r="CI368" s="6">
        <f>VLOOKUP(Table1[[#This Row],[Reference]],metron,23,FALSE)</f>
        <v>1.567523459812322</v>
      </c>
      <c r="CJ368" s="6">
        <f>VLOOKUP(Table1[[#This Row],[Reference]],metron,24,FALSE)</f>
        <v>1.951040391676867</v>
      </c>
      <c r="CK368" s="6">
        <f>VLOOKUP(Table1[[#This Row],[Reference]],metron,25,FALSE)</f>
        <v>8.3027335781313744E-2</v>
      </c>
      <c r="CL368" s="6">
        <f>VLOOKUP(Table1[[#This Row],[Reference]],metron,26,FALSE)</f>
        <v>0.13117095063239501</v>
      </c>
    </row>
    <row r="369" spans="1:90" hidden="1" x14ac:dyDescent="0.45">
      <c r="A369" t="s">
        <v>1346</v>
      </c>
      <c r="B369">
        <v>1596992400</v>
      </c>
      <c r="C369" s="23" t="s">
        <v>739</v>
      </c>
      <c r="D369" t="s">
        <v>65</v>
      </c>
      <c r="E369" t="s">
        <v>66</v>
      </c>
      <c r="F369" t="s">
        <v>96</v>
      </c>
      <c r="G369" t="s">
        <v>78</v>
      </c>
      <c r="H369" t="s">
        <v>108</v>
      </c>
      <c r="I369">
        <f>MROUND(Table1[[#This Row],[ProbH]]*100,2)/100</f>
        <v>0.54</v>
      </c>
      <c r="J369">
        <f>1/Table1[[#This Row],[odds_ft_home_team_win]]-Table1[[#This Row],[Margin]]</f>
        <v>0.53231280060548358</v>
      </c>
      <c r="K369">
        <f>1/Table1[[#This Row],[odds_ft_draw]]-Table1[[#This Row],[Margin]]</f>
        <v>0.24702751532019823</v>
      </c>
      <c r="L369">
        <f>1/Table1[[#This Row],[odds_ft_away_team_win]]-Table1[[#This Row],[Margin]]</f>
        <v>0.22065968407431827</v>
      </c>
      <c r="M369">
        <v>3</v>
      </c>
      <c r="N369">
        <v>3</v>
      </c>
      <c r="O369">
        <v>1</v>
      </c>
      <c r="P369">
        <v>1.65</v>
      </c>
      <c r="Q369">
        <v>0.59</v>
      </c>
      <c r="R369" t="str" cm="1">
        <f t="array" ref="R3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0</v>
      </c>
      <c r="Y369">
        <v>54</v>
      </c>
      <c r="Z369">
        <v>65</v>
      </c>
      <c r="AA369">
        <v>11</v>
      </c>
      <c r="AB369">
        <v>3</v>
      </c>
      <c r="AC369">
        <v>2</v>
      </c>
      <c r="AD369">
        <v>0</v>
      </c>
      <c r="AE369">
        <v>0</v>
      </c>
      <c r="AF369">
        <v>2</v>
      </c>
      <c r="AG369">
        <v>0</v>
      </c>
      <c r="AH369">
        <v>2</v>
      </c>
      <c r="AI369">
        <v>2</v>
      </c>
      <c r="AJ369">
        <v>0</v>
      </c>
      <c r="AK369">
        <v>23</v>
      </c>
      <c r="AL369">
        <v>8</v>
      </c>
      <c r="AM369">
        <v>3</v>
      </c>
      <c r="AN369">
        <v>3</v>
      </c>
      <c r="AO369">
        <v>20</v>
      </c>
      <c r="AP369">
        <v>5</v>
      </c>
      <c r="AQ369">
        <v>17</v>
      </c>
      <c r="AR369">
        <v>10</v>
      </c>
      <c r="AS369">
        <v>68</v>
      </c>
      <c r="AT369">
        <v>32</v>
      </c>
      <c r="AU369">
        <v>2.0299999999999998</v>
      </c>
      <c r="AV369">
        <v>0.9</v>
      </c>
      <c r="AW369">
        <v>3.5</v>
      </c>
      <c r="AX369">
        <v>100</v>
      </c>
      <c r="AY369">
        <v>100</v>
      </c>
      <c r="AZ369">
        <v>50</v>
      </c>
      <c r="BA369">
        <v>50</v>
      </c>
      <c r="BB369">
        <v>50</v>
      </c>
      <c r="BC369">
        <v>0</v>
      </c>
      <c r="BD369">
        <v>100</v>
      </c>
      <c r="BE369">
        <v>50</v>
      </c>
      <c r="BF369">
        <v>100</v>
      </c>
      <c r="BG369">
        <v>12</v>
      </c>
      <c r="BH369">
        <v>5</v>
      </c>
      <c r="BI369">
        <v>1.8</v>
      </c>
      <c r="BJ369">
        <v>3.7</v>
      </c>
      <c r="BK369">
        <v>4.0999999999999996</v>
      </c>
      <c r="BL369">
        <f>(1/Table1[[#This Row],[odds_ft_home_team_win]]+1/Table1[[#This Row],[odds_ft_draw]]+1/Table1[[#This Row],[odds_ft_away_team_win]]-1)/3</f>
        <v>2.3242754950071998E-2</v>
      </c>
      <c r="BM369">
        <v>1.24</v>
      </c>
      <c r="BN369">
        <v>1.77</v>
      </c>
      <c r="BO369">
        <v>2.95</v>
      </c>
      <c r="BP369">
        <v>5.45</v>
      </c>
      <c r="BQ369">
        <v>1.69</v>
      </c>
      <c r="BR369">
        <v>2.0499999999999998</v>
      </c>
      <c r="BS369" t="s">
        <v>99</v>
      </c>
      <c r="BT369">
        <f>VLOOKUP(Table1[[#This Row],[Reference]],metron,8,FALSE)</f>
        <v>1.915666026436746</v>
      </c>
      <c r="BU369">
        <f>VLOOKUP(Table1[[#This Row],[Reference]],metron,9,FALSE)</f>
        <v>0.82283834599204153</v>
      </c>
      <c r="BV369">
        <f>VLOOKUP(Table1[[#This Row],[Reference]],metron,10,FALSE)</f>
        <v>2.6359702267612941</v>
      </c>
      <c r="BW369">
        <f>VLOOKUP(Table1[[#This Row],[Reference]],metron,11,FALSE)</f>
        <v>1.684957590444867</v>
      </c>
      <c r="BX369">
        <f>VLOOKUP(Table1[[#This Row],[Reference]],metron,12,FALSE)</f>
        <v>0.95101263631642718</v>
      </c>
      <c r="BY369" s="6">
        <f>VLOOKUP(Table1[[#This Row],[Reference]],metron,13,FALSE)</f>
        <v>0.72650164445213783</v>
      </c>
      <c r="BZ369" s="6">
        <f>VLOOKUP(Table1[[#This Row],[Reference]],metron,14,FALSE)</f>
        <v>0.42097974727367138</v>
      </c>
      <c r="CA369" s="6">
        <f>VLOOKUP(Table1[[#This Row],[Reference]],metron,15,FALSE)</f>
        <v>13.338806970509379</v>
      </c>
      <c r="CB369" s="6">
        <f>VLOOKUP(Table1[[#This Row],[Reference]],metron,16,FALSE)</f>
        <v>9.2530160857908843</v>
      </c>
      <c r="CC369" s="6">
        <f>VLOOKUP(Table1[[#This Row],[Reference]],metron,17,FALSE)</f>
        <v>5.9915081521739131</v>
      </c>
      <c r="CD369" s="6">
        <f>VLOOKUP(Table1[[#This Row],[Reference]],metron,18,FALSE)</f>
        <v>3.9772418478260869</v>
      </c>
      <c r="CE369" s="6">
        <f>VLOOKUP(Table1[[#This Row],[Reference]],metron,19,FALSE)</f>
        <v>7.3472988183354664</v>
      </c>
      <c r="CF369" s="6">
        <f>VLOOKUP(Table1[[#This Row],[Reference]],metron,20,FALSE)</f>
        <v>5.2757742379647974</v>
      </c>
      <c r="CG369" s="6">
        <f>VLOOKUP(Table1[[#This Row],[Reference]],metron,21,FALSE)</f>
        <v>12.59428182437032</v>
      </c>
      <c r="CH369" s="6">
        <f>VLOOKUP(Table1[[#This Row],[Reference]],metron,22,FALSE)</f>
        <v>13.577944179714089</v>
      </c>
      <c r="CI369" s="6">
        <f>VLOOKUP(Table1[[#This Row],[Reference]],metron,23,FALSE)</f>
        <v>1.4276913099870301</v>
      </c>
      <c r="CJ369" s="6">
        <f>VLOOKUP(Table1[[#This Row],[Reference]],metron,24,FALSE)</f>
        <v>1.940985732814527</v>
      </c>
      <c r="CK369" s="6">
        <f>VLOOKUP(Table1[[#This Row],[Reference]],metron,25,FALSE)</f>
        <v>8.0739299610894946E-2</v>
      </c>
      <c r="CL369" s="6">
        <f>VLOOKUP(Table1[[#This Row],[Reference]],metron,26,FALSE)</f>
        <v>0.12743190661478601</v>
      </c>
    </row>
    <row r="370" spans="1:90" hidden="1" x14ac:dyDescent="0.45">
      <c r="A370" t="s">
        <v>1346</v>
      </c>
      <c r="B370">
        <v>1597017600</v>
      </c>
      <c r="C370" s="23" t="s">
        <v>740</v>
      </c>
      <c r="D370" t="s">
        <v>65</v>
      </c>
      <c r="E370" t="s">
        <v>66</v>
      </c>
      <c r="F370" t="s">
        <v>91</v>
      </c>
      <c r="G370" t="s">
        <v>97</v>
      </c>
      <c r="H370" t="s">
        <v>130</v>
      </c>
      <c r="I370">
        <f>MROUND(Table1[[#This Row],[ProbH]]*100,2)/100</f>
        <v>0.44</v>
      </c>
      <c r="J370">
        <f>1/Table1[[#This Row],[odds_ft_home_team_win]]-Table1[[#This Row],[Margin]]</f>
        <v>0.43983664913897474</v>
      </c>
      <c r="K370">
        <f>1/Table1[[#This Row],[odds_ft_draw]]-Table1[[#This Row],[Margin]]</f>
        <v>0.27775067309951035</v>
      </c>
      <c r="L370">
        <f>1/Table1[[#This Row],[odds_ft_away_team_win]]-Table1[[#This Row],[Margin]]</f>
        <v>0.28241267776151502</v>
      </c>
      <c r="M370">
        <v>3</v>
      </c>
      <c r="N370">
        <v>1</v>
      </c>
      <c r="O370">
        <v>0</v>
      </c>
      <c r="P370">
        <v>1</v>
      </c>
      <c r="Q370">
        <v>1.06</v>
      </c>
      <c r="R370" t="str" cm="1">
        <f t="array" ref="R3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70">
        <v>1</v>
      </c>
      <c r="T370">
        <v>1</v>
      </c>
      <c r="U370">
        <v>2</v>
      </c>
      <c r="V370">
        <v>2</v>
      </c>
      <c r="W370">
        <v>1</v>
      </c>
      <c r="X370">
        <v>1</v>
      </c>
      <c r="Y370">
        <v>35</v>
      </c>
      <c r="Z370">
        <v>19</v>
      </c>
      <c r="AA370">
        <v>6</v>
      </c>
      <c r="AB370">
        <v>11</v>
      </c>
      <c r="AC370">
        <v>4</v>
      </c>
      <c r="AD370">
        <v>0</v>
      </c>
      <c r="AE370">
        <v>2</v>
      </c>
      <c r="AF370">
        <v>0</v>
      </c>
      <c r="AG370">
        <v>3</v>
      </c>
      <c r="AH370">
        <v>1</v>
      </c>
      <c r="AI370">
        <v>0</v>
      </c>
      <c r="AJ370">
        <v>2</v>
      </c>
      <c r="AK370">
        <v>15</v>
      </c>
      <c r="AL370">
        <v>13</v>
      </c>
      <c r="AM370">
        <v>2</v>
      </c>
      <c r="AN370">
        <v>3</v>
      </c>
      <c r="AO370">
        <v>13</v>
      </c>
      <c r="AP370">
        <v>10</v>
      </c>
      <c r="AQ370">
        <v>19</v>
      </c>
      <c r="AR370">
        <v>10</v>
      </c>
      <c r="AS370">
        <v>37</v>
      </c>
      <c r="AT370">
        <v>63</v>
      </c>
      <c r="AU370">
        <v>1.39</v>
      </c>
      <c r="AV370">
        <v>1.41</v>
      </c>
      <c r="AW370">
        <v>3</v>
      </c>
      <c r="AX370">
        <v>100</v>
      </c>
      <c r="AY370">
        <v>100</v>
      </c>
      <c r="AZ370">
        <v>50</v>
      </c>
      <c r="BA370">
        <v>50</v>
      </c>
      <c r="BB370">
        <v>0</v>
      </c>
      <c r="BC370">
        <v>50</v>
      </c>
      <c r="BD370">
        <v>100</v>
      </c>
      <c r="BE370">
        <v>50</v>
      </c>
      <c r="BF370">
        <v>100</v>
      </c>
      <c r="BG370">
        <v>8</v>
      </c>
      <c r="BH370">
        <v>7</v>
      </c>
      <c r="BI370">
        <v>2.15</v>
      </c>
      <c r="BJ370">
        <v>3.3</v>
      </c>
      <c r="BK370">
        <v>3.25</v>
      </c>
      <c r="BL370">
        <f>(1/Table1[[#This Row],[odds_ft_home_team_win]]+1/Table1[[#This Row],[odds_ft_draw]]+1/Table1[[#This Row],[odds_ft_away_team_win]]-1)/3</f>
        <v>2.5279629930792691E-2</v>
      </c>
      <c r="BM370">
        <v>1.27</v>
      </c>
      <c r="BN370">
        <v>1.87</v>
      </c>
      <c r="BO370">
        <v>3.2</v>
      </c>
      <c r="BP370">
        <v>6</v>
      </c>
      <c r="BQ370">
        <v>1.69</v>
      </c>
      <c r="BR370">
        <v>2.0499999999999998</v>
      </c>
      <c r="BS370" t="s">
        <v>144</v>
      </c>
      <c r="BT370">
        <f>VLOOKUP(Table1[[#This Row],[Reference]],metron,8,FALSE)</f>
        <v>1.6395459745305552</v>
      </c>
      <c r="BU370">
        <f>VLOOKUP(Table1[[#This Row],[Reference]],metron,9,FALSE)</f>
        <v>1.0758429359324786</v>
      </c>
      <c r="BV370">
        <f>VLOOKUP(Table1[[#This Row],[Reference]],metron,10,FALSE)</f>
        <v>2.4807646356033461</v>
      </c>
      <c r="BW370">
        <f>VLOOKUP(Table1[[#This Row],[Reference]],metron,11,FALSE)</f>
        <v>1.4140979689366791</v>
      </c>
      <c r="BX370">
        <f>VLOOKUP(Table1[[#This Row],[Reference]],metron,12,FALSE)</f>
        <v>1.0666666666666671</v>
      </c>
      <c r="BY370" s="6">
        <f>VLOOKUP(Table1[[#This Row],[Reference]],metron,13,FALSE)</f>
        <v>0.62712066905615294</v>
      </c>
      <c r="BZ370" s="6">
        <f>VLOOKUP(Table1[[#This Row],[Reference]],metron,14,FALSE)</f>
        <v>0.46009557945041818</v>
      </c>
      <c r="CA370" s="6">
        <f>VLOOKUP(Table1[[#This Row],[Reference]],metron,15,FALSE)</f>
        <v>12.56969280146722</v>
      </c>
      <c r="CB370" s="6">
        <f>VLOOKUP(Table1[[#This Row],[Reference]],metron,16,FALSE)</f>
        <v>9.8695552498853729</v>
      </c>
      <c r="CC370" s="6">
        <f>VLOOKUP(Table1[[#This Row],[Reference]],metron,17,FALSE)</f>
        <v>5.2754256787850897</v>
      </c>
      <c r="CD370" s="6">
        <f>VLOOKUP(Table1[[#This Row],[Reference]],metron,18,FALSE)</f>
        <v>4.1279337321675103</v>
      </c>
      <c r="CE370" s="6">
        <f>VLOOKUP(Table1[[#This Row],[Reference]],metron,19,FALSE)</f>
        <v>7.2942671226821298</v>
      </c>
      <c r="CF370" s="6">
        <f>VLOOKUP(Table1[[#This Row],[Reference]],metron,20,FALSE)</f>
        <v>5.7416215177178627</v>
      </c>
      <c r="CG370" s="6">
        <f>VLOOKUP(Table1[[#This Row],[Reference]],metron,21,FALSE)</f>
        <v>12.897246007868549</v>
      </c>
      <c r="CH370" s="6">
        <f>VLOOKUP(Table1[[#This Row],[Reference]],metron,22,FALSE)</f>
        <v>13.507058551261281</v>
      </c>
      <c r="CI370" s="6">
        <f>VLOOKUP(Table1[[#This Row],[Reference]],metron,23,FALSE)</f>
        <v>1.576522702104098</v>
      </c>
      <c r="CJ370" s="6">
        <f>VLOOKUP(Table1[[#This Row],[Reference]],metron,24,FALSE)</f>
        <v>1.917165005537099</v>
      </c>
      <c r="CK370" s="6">
        <f>VLOOKUP(Table1[[#This Row],[Reference]],metron,25,FALSE)</f>
        <v>8.4385382059800659E-2</v>
      </c>
      <c r="CL370" s="6">
        <f>VLOOKUP(Table1[[#This Row],[Reference]],metron,26,FALSE)</f>
        <v>0.1233665559246955</v>
      </c>
    </row>
    <row r="371" spans="1:90" hidden="1" x14ac:dyDescent="0.45">
      <c r="A371" t="s">
        <v>1346</v>
      </c>
      <c r="B371">
        <v>1597183200</v>
      </c>
      <c r="C371" s="23" t="s">
        <v>741</v>
      </c>
      <c r="D371" t="s">
        <v>65</v>
      </c>
      <c r="E371" t="s">
        <v>66</v>
      </c>
      <c r="F371" t="s">
        <v>72</v>
      </c>
      <c r="G371" t="s">
        <v>113</v>
      </c>
      <c r="H371" t="s">
        <v>74</v>
      </c>
      <c r="I371">
        <f>MROUND(Table1[[#This Row],[ProbH]]*100,2)/100</f>
        <v>0.48</v>
      </c>
      <c r="J371">
        <f>1/Table1[[#This Row],[odds_ft_home_team_win]]-Table1[[#This Row],[Margin]]</f>
        <v>0.47883597883597884</v>
      </c>
      <c r="K371">
        <f>1/Table1[[#This Row],[odds_ft_draw]]-Table1[[#This Row],[Margin]]</f>
        <v>0.26455026455026454</v>
      </c>
      <c r="L371">
        <f>1/Table1[[#This Row],[odds_ft_away_team_win]]-Table1[[#This Row],[Margin]]</f>
        <v>0.25661375661375663</v>
      </c>
      <c r="M371">
        <v>4</v>
      </c>
      <c r="N371">
        <v>0.5</v>
      </c>
      <c r="O371">
        <v>1</v>
      </c>
      <c r="P371">
        <v>1.29</v>
      </c>
      <c r="Q371">
        <v>0.65</v>
      </c>
      <c r="R371" t="str" cm="1">
        <f t="array" ref="R3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43</v>
      </c>
      <c r="AA371">
        <v>4</v>
      </c>
      <c r="AB371">
        <v>2</v>
      </c>
      <c r="AC371">
        <v>3</v>
      </c>
      <c r="AD371">
        <v>0</v>
      </c>
      <c r="AE371">
        <v>2</v>
      </c>
      <c r="AF371">
        <v>0</v>
      </c>
      <c r="AG371">
        <v>1</v>
      </c>
      <c r="AH371">
        <v>2</v>
      </c>
      <c r="AI371">
        <v>1</v>
      </c>
      <c r="AJ371">
        <v>1</v>
      </c>
      <c r="AK371">
        <v>8</v>
      </c>
      <c r="AL371">
        <v>14</v>
      </c>
      <c r="AM371">
        <v>2</v>
      </c>
      <c r="AN371">
        <v>0</v>
      </c>
      <c r="AO371">
        <v>6</v>
      </c>
      <c r="AP371">
        <v>14</v>
      </c>
      <c r="AQ371">
        <v>18</v>
      </c>
      <c r="AR371">
        <v>14</v>
      </c>
      <c r="AS371">
        <v>41</v>
      </c>
      <c r="AT371">
        <v>59</v>
      </c>
      <c r="AU371">
        <v>0.96</v>
      </c>
      <c r="AV371">
        <v>1.19</v>
      </c>
      <c r="AW371">
        <v>2.25</v>
      </c>
      <c r="AX371">
        <v>75</v>
      </c>
      <c r="AY371">
        <v>100</v>
      </c>
      <c r="AZ371">
        <v>25</v>
      </c>
      <c r="BA371">
        <v>0</v>
      </c>
      <c r="BB371">
        <v>0</v>
      </c>
      <c r="BC371">
        <v>25</v>
      </c>
      <c r="BD371">
        <v>50</v>
      </c>
      <c r="BE371">
        <v>50</v>
      </c>
      <c r="BF371">
        <v>100</v>
      </c>
      <c r="BG371">
        <v>7.5</v>
      </c>
      <c r="BH371">
        <v>7</v>
      </c>
      <c r="BI371">
        <v>2</v>
      </c>
      <c r="BJ371">
        <v>3.5</v>
      </c>
      <c r="BK371">
        <v>3.6</v>
      </c>
      <c r="BL371">
        <f>(1/Table1[[#This Row],[odds_ft_home_team_win]]+1/Table1[[#This Row],[odds_ft_draw]]+1/Table1[[#This Row],[odds_ft_away_team_win]]-1)/3</f>
        <v>2.1164021164021163E-2</v>
      </c>
      <c r="BM371">
        <v>0</v>
      </c>
      <c r="BN371">
        <v>1.9</v>
      </c>
      <c r="BO371">
        <v>0</v>
      </c>
      <c r="BP371">
        <v>0</v>
      </c>
      <c r="BQ371">
        <v>0</v>
      </c>
      <c r="BR371">
        <v>0</v>
      </c>
      <c r="BS371" t="s">
        <v>76</v>
      </c>
      <c r="BT371">
        <f>VLOOKUP(Table1[[#This Row],[Reference]],metron,8,FALSE)</f>
        <v>1.743992017160418</v>
      </c>
      <c r="BU371">
        <f>VLOOKUP(Table1[[#This Row],[Reference]],metron,9,FALSE)</f>
        <v>0.97803937284245479</v>
      </c>
      <c r="BV371">
        <f>VLOOKUP(Table1[[#This Row],[Reference]],metron,10,FALSE)</f>
        <v>2.5271929824561399</v>
      </c>
      <c r="BW371">
        <f>VLOOKUP(Table1[[#This Row],[Reference]],metron,11,FALSE)</f>
        <v>1.510877192982456</v>
      </c>
      <c r="BX371">
        <f>VLOOKUP(Table1[[#This Row],[Reference]],metron,12,FALSE)</f>
        <v>1.0163157894736841</v>
      </c>
      <c r="BY371" s="6">
        <f>VLOOKUP(Table1[[#This Row],[Reference]],metron,13,FALSE)</f>
        <v>0.67350877192982461</v>
      </c>
      <c r="BZ371" s="6">
        <f>VLOOKUP(Table1[[#This Row],[Reference]],metron,14,FALSE)</f>
        <v>0.4442105263157895</v>
      </c>
      <c r="CA371" s="6">
        <f>VLOOKUP(Table1[[#This Row],[Reference]],metron,15,FALSE)</f>
        <v>12.80980392156863</v>
      </c>
      <c r="CB371" s="6">
        <f>VLOOKUP(Table1[[#This Row],[Reference]],metron,16,FALSE)</f>
        <v>9.6872549019607845</v>
      </c>
      <c r="CC371" s="6">
        <f>VLOOKUP(Table1[[#This Row],[Reference]],metron,17,FALSE)</f>
        <v>5.6491169610129957</v>
      </c>
      <c r="CD371" s="6">
        <f>VLOOKUP(Table1[[#This Row],[Reference]],metron,18,FALSE)</f>
        <v>4.1379540153282237</v>
      </c>
      <c r="CE371" s="6">
        <f>VLOOKUP(Table1[[#This Row],[Reference]],metron,19,FALSE)</f>
        <v>7.1606869605556343</v>
      </c>
      <c r="CF371" s="6">
        <f>VLOOKUP(Table1[[#This Row],[Reference]],metron,20,FALSE)</f>
        <v>5.5493008866325608</v>
      </c>
      <c r="CG371" s="6">
        <f>VLOOKUP(Table1[[#This Row],[Reference]],metron,21,FALSE)</f>
        <v>12.9029029029029</v>
      </c>
      <c r="CH371" s="6">
        <f>VLOOKUP(Table1[[#This Row],[Reference]],metron,22,FALSE)</f>
        <v>13.75508842175509</v>
      </c>
      <c r="CI371" s="6">
        <f>VLOOKUP(Table1[[#This Row],[Reference]],metron,23,FALSE)</f>
        <v>1.5287356321839081</v>
      </c>
      <c r="CJ371" s="6">
        <f>VLOOKUP(Table1[[#This Row],[Reference]],metron,24,FALSE)</f>
        <v>1.9664750957854411</v>
      </c>
      <c r="CK371" s="6">
        <f>VLOOKUP(Table1[[#This Row],[Reference]],metron,25,FALSE)</f>
        <v>8.8441890166028103E-2</v>
      </c>
      <c r="CL371" s="6">
        <f>VLOOKUP(Table1[[#This Row],[Reference]],metron,26,FALSE)</f>
        <v>0.13409961685823751</v>
      </c>
    </row>
    <row r="372" spans="1:90" hidden="1" x14ac:dyDescent="0.45">
      <c r="A372" t="s">
        <v>1346</v>
      </c>
      <c r="B372">
        <v>1597190400</v>
      </c>
      <c r="C372" s="23" t="s">
        <v>742</v>
      </c>
      <c r="D372" t="s">
        <v>65</v>
      </c>
      <c r="E372" t="s">
        <v>66</v>
      </c>
      <c r="F372" t="s">
        <v>84</v>
      </c>
      <c r="G372" t="s">
        <v>85</v>
      </c>
      <c r="H372" t="s">
        <v>92</v>
      </c>
      <c r="I372">
        <f>MROUND(Table1[[#This Row],[ProbH]]*100,2)/100</f>
        <v>0.34</v>
      </c>
      <c r="J372">
        <f>1/Table1[[#This Row],[odds_ft_home_team_win]]-Table1[[#This Row],[Margin]]</f>
        <v>0.34434947768281099</v>
      </c>
      <c r="K372">
        <f>1/Table1[[#This Row],[odds_ft_draw]]-Table1[[#This Row],[Margin]]</f>
        <v>0.28167141500474835</v>
      </c>
      <c r="L372">
        <f>1/Table1[[#This Row],[odds_ft_away_team_win]]-Table1[[#This Row],[Margin]]</f>
        <v>0.37397910731244066</v>
      </c>
      <c r="M372">
        <v>4</v>
      </c>
      <c r="N372">
        <v>1.5</v>
      </c>
      <c r="O372">
        <v>0.5</v>
      </c>
      <c r="P372">
        <v>1.43</v>
      </c>
      <c r="Q372">
        <v>1.5</v>
      </c>
      <c r="R372" t="str" cm="1">
        <f t="array" ref="R3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Z372">
        <v>70</v>
      </c>
      <c r="AA372">
        <v>2</v>
      </c>
      <c r="AB372">
        <v>2</v>
      </c>
      <c r="AC372">
        <v>3</v>
      </c>
      <c r="AD372">
        <v>1</v>
      </c>
      <c r="AE372">
        <v>3</v>
      </c>
      <c r="AF372">
        <v>0</v>
      </c>
      <c r="AG372">
        <v>1</v>
      </c>
      <c r="AH372">
        <v>3</v>
      </c>
      <c r="AI372">
        <v>1</v>
      </c>
      <c r="AJ372">
        <v>2</v>
      </c>
      <c r="AK372">
        <v>7</v>
      </c>
      <c r="AL372">
        <v>17</v>
      </c>
      <c r="AM372">
        <v>2</v>
      </c>
      <c r="AN372">
        <v>4</v>
      </c>
      <c r="AO372">
        <v>5</v>
      </c>
      <c r="AP372">
        <v>13</v>
      </c>
      <c r="AQ372">
        <v>21</v>
      </c>
      <c r="AR372">
        <v>17</v>
      </c>
      <c r="AS372">
        <v>45</v>
      </c>
      <c r="AT372">
        <v>55</v>
      </c>
      <c r="AU372">
        <v>0.84</v>
      </c>
      <c r="AV372">
        <v>1.72</v>
      </c>
      <c r="AW372">
        <v>1.5</v>
      </c>
      <c r="AX372">
        <v>25</v>
      </c>
      <c r="AY372">
        <v>50</v>
      </c>
      <c r="AZ372">
        <v>25</v>
      </c>
      <c r="BA372">
        <v>0</v>
      </c>
      <c r="BB372">
        <v>0</v>
      </c>
      <c r="BC372">
        <v>0</v>
      </c>
      <c r="BD372">
        <v>50</v>
      </c>
      <c r="BE372">
        <v>25</v>
      </c>
      <c r="BF372">
        <v>50</v>
      </c>
      <c r="BG372">
        <v>9.5</v>
      </c>
      <c r="BH372">
        <v>6</v>
      </c>
      <c r="BI372">
        <v>2.7</v>
      </c>
      <c r="BJ372">
        <v>3.25</v>
      </c>
      <c r="BK372">
        <v>2.5</v>
      </c>
      <c r="BL372">
        <f>(1/Table1[[#This Row],[odds_ft_home_team_win]]+1/Table1[[#This Row],[odds_ft_draw]]+1/Table1[[#This Row],[odds_ft_away_team_win]]-1)/3</f>
        <v>2.602089268755936E-2</v>
      </c>
      <c r="BM372">
        <v>1.28</v>
      </c>
      <c r="BN372">
        <v>1.91</v>
      </c>
      <c r="BO372">
        <v>3.25</v>
      </c>
      <c r="BP372">
        <v>6.25</v>
      </c>
      <c r="BQ372">
        <v>1.71</v>
      </c>
      <c r="BR372">
        <v>2.0499999999999998</v>
      </c>
      <c r="BS372" t="s">
        <v>88</v>
      </c>
      <c r="BT372">
        <f>VLOOKUP(Table1[[#This Row],[Reference]],metron,8,FALSE)</f>
        <v>1.3382439854569812</v>
      </c>
      <c r="BU372">
        <f>VLOOKUP(Table1[[#This Row],[Reference]],metron,9,FALSE)</f>
        <v>1.3740319615582339</v>
      </c>
      <c r="BV372">
        <f>VLOOKUP(Table1[[#This Row],[Reference]],metron,10,FALSE)</f>
        <v>2.5229727551184897</v>
      </c>
      <c r="BW372">
        <f>VLOOKUP(Table1[[#This Row],[Reference]],metron,11,FALSE)</f>
        <v>1.228921489601805</v>
      </c>
      <c r="BX372">
        <f>VLOOKUP(Table1[[#This Row],[Reference]],metron,12,FALSE)</f>
        <v>1.2940512655166849</v>
      </c>
      <c r="BY372" s="6">
        <f>VLOOKUP(Table1[[#This Row],[Reference]],metron,13,FALSE)</f>
        <v>0.53240890035472432</v>
      </c>
      <c r="BZ372" s="6">
        <f>VLOOKUP(Table1[[#This Row],[Reference]],metron,14,FALSE)</f>
        <v>0.56514027732989358</v>
      </c>
      <c r="CA372" s="6">
        <f>VLOOKUP(Table1[[#This Row],[Reference]],metron,15,FALSE)</f>
        <v>11.417888124439131</v>
      </c>
      <c r="CB372" s="6">
        <f>VLOOKUP(Table1[[#This Row],[Reference]],metron,16,FALSE)</f>
        <v>10.76308704756207</v>
      </c>
      <c r="CC372" s="6">
        <f>VLOOKUP(Table1[[#This Row],[Reference]],metron,17,FALSE)</f>
        <v>4.8317672021824798</v>
      </c>
      <c r="CD372" s="6">
        <f>VLOOKUP(Table1[[#This Row],[Reference]],metron,18,FALSE)</f>
        <v>4.6698999696877843</v>
      </c>
      <c r="CE372" s="6">
        <f>VLOOKUP(Table1[[#This Row],[Reference]],metron,19,FALSE)</f>
        <v>6.5861209222566508</v>
      </c>
      <c r="CF372" s="6">
        <f>VLOOKUP(Table1[[#This Row],[Reference]],metron,20,FALSE)</f>
        <v>6.093187077874286</v>
      </c>
      <c r="CG372" s="6">
        <f>VLOOKUP(Table1[[#This Row],[Reference]],metron,21,FALSE)</f>
        <v>12.685679611650491</v>
      </c>
      <c r="CH372" s="6">
        <f>VLOOKUP(Table1[[#This Row],[Reference]],metron,22,FALSE)</f>
        <v>13.02639563106796</v>
      </c>
      <c r="CI372" s="6">
        <f>VLOOKUP(Table1[[#This Row],[Reference]],metron,23,FALSE)</f>
        <v>1.6481211768132831</v>
      </c>
      <c r="CJ372" s="6">
        <f>VLOOKUP(Table1[[#This Row],[Reference]],metron,24,FALSE)</f>
        <v>1.8572676958928049</v>
      </c>
      <c r="CK372" s="6">
        <f>VLOOKUP(Table1[[#This Row],[Reference]],metron,25,FALSE)</f>
        <v>9.641712787649287E-2</v>
      </c>
      <c r="CL372" s="6">
        <f>VLOOKUP(Table1[[#This Row],[Reference]],metron,26,FALSE)</f>
        <v>0.11302068161957469</v>
      </c>
    </row>
    <row r="373" spans="1:90" hidden="1" x14ac:dyDescent="0.45">
      <c r="A373" t="s">
        <v>1346</v>
      </c>
      <c r="B373">
        <v>1597197600</v>
      </c>
      <c r="C373" s="23" t="s">
        <v>743</v>
      </c>
      <c r="D373" t="s">
        <v>65</v>
      </c>
      <c r="E373" t="s">
        <v>66</v>
      </c>
      <c r="F373" t="s">
        <v>107</v>
      </c>
      <c r="G373" t="s">
        <v>102</v>
      </c>
      <c r="H373" t="s">
        <v>215</v>
      </c>
      <c r="I373">
        <f>MROUND(Table1[[#This Row],[ProbH]]*100,2)/100</f>
        <v>0.68</v>
      </c>
      <c r="J373">
        <f>1/Table1[[#This Row],[odds_ft_home_team_win]]-Table1[[#This Row],[Margin]]</f>
        <v>0.67061393890662191</v>
      </c>
      <c r="K373">
        <f>1/Table1[[#This Row],[odds_ft_draw]]-Table1[[#This Row],[Margin]]</f>
        <v>0.2152156786303128</v>
      </c>
      <c r="L373">
        <f>1/Table1[[#This Row],[odds_ft_away_team_win]]-Table1[[#This Row],[Margin]]</f>
        <v>0.11417038246306538</v>
      </c>
      <c r="M373">
        <v>4</v>
      </c>
      <c r="N373">
        <v>1</v>
      </c>
      <c r="O373">
        <v>3</v>
      </c>
      <c r="P373">
        <v>1.53</v>
      </c>
      <c r="Q373">
        <v>1.33</v>
      </c>
      <c r="R373" t="str" cm="1">
        <f t="array" ref="R3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3">
        <v>2</v>
      </c>
      <c r="T373">
        <v>1</v>
      </c>
      <c r="U373">
        <v>3</v>
      </c>
      <c r="V373">
        <v>2</v>
      </c>
      <c r="W373">
        <v>2</v>
      </c>
      <c r="X373">
        <v>0</v>
      </c>
      <c r="Y373" t="s">
        <v>744</v>
      </c>
      <c r="Z373">
        <v>57</v>
      </c>
      <c r="AA373">
        <v>3</v>
      </c>
      <c r="AB373">
        <v>6</v>
      </c>
      <c r="AC373">
        <v>2</v>
      </c>
      <c r="AD373">
        <v>1</v>
      </c>
      <c r="AE373">
        <v>0</v>
      </c>
      <c r="AF373">
        <v>0</v>
      </c>
      <c r="AG373">
        <v>1</v>
      </c>
      <c r="AH373">
        <v>2</v>
      </c>
      <c r="AI373">
        <v>0</v>
      </c>
      <c r="AJ373">
        <v>0</v>
      </c>
      <c r="AK373">
        <v>6</v>
      </c>
      <c r="AL373">
        <v>18</v>
      </c>
      <c r="AM373">
        <v>3</v>
      </c>
      <c r="AN373">
        <v>8</v>
      </c>
      <c r="AO373">
        <v>3</v>
      </c>
      <c r="AP373">
        <v>10</v>
      </c>
      <c r="AQ373">
        <v>11</v>
      </c>
      <c r="AR373">
        <v>15</v>
      </c>
      <c r="AS373">
        <v>50</v>
      </c>
      <c r="AT373">
        <v>50</v>
      </c>
      <c r="AU373">
        <v>0.83</v>
      </c>
      <c r="AV373">
        <v>1.91</v>
      </c>
      <c r="AW373">
        <v>2.5</v>
      </c>
      <c r="AX373">
        <v>75</v>
      </c>
      <c r="AY373">
        <v>75</v>
      </c>
      <c r="AZ373">
        <v>25</v>
      </c>
      <c r="BA373">
        <v>25</v>
      </c>
      <c r="BB373">
        <v>25</v>
      </c>
      <c r="BC373">
        <v>25</v>
      </c>
      <c r="BD373">
        <v>25</v>
      </c>
      <c r="BE373">
        <v>75</v>
      </c>
      <c r="BF373">
        <v>100</v>
      </c>
      <c r="BG373">
        <v>7.5</v>
      </c>
      <c r="BH373">
        <v>5</v>
      </c>
      <c r="BI373">
        <v>1.43</v>
      </c>
      <c r="BJ373">
        <v>4.0999999999999996</v>
      </c>
      <c r="BK373">
        <v>7</v>
      </c>
      <c r="BL373">
        <f>(1/Table1[[#This Row],[odds_ft_home_team_win]]+1/Table1[[#This Row],[odds_ft_draw]]+1/Table1[[#This Row],[odds_ft_away_team_win]]-1)/3</f>
        <v>2.8686760394077471E-2</v>
      </c>
      <c r="BM373">
        <v>1.28</v>
      </c>
      <c r="BN373">
        <v>1.91</v>
      </c>
      <c r="BO373">
        <v>3.25</v>
      </c>
      <c r="BP373">
        <v>6.25</v>
      </c>
      <c r="BQ373">
        <v>2</v>
      </c>
      <c r="BR373">
        <v>1.71</v>
      </c>
      <c r="BS373" t="s">
        <v>161</v>
      </c>
      <c r="BT373">
        <f>VLOOKUP(Table1[[#This Row],[Reference]],metron,8,FALSE)</f>
        <v>2.2809240428978073</v>
      </c>
      <c r="BU373">
        <f>VLOOKUP(Table1[[#This Row],[Reference]],metron,9,FALSE)</f>
        <v>0.51285766971545521</v>
      </c>
      <c r="BV373">
        <f>VLOOKUP(Table1[[#This Row],[Reference]],metron,10,FALSE)</f>
        <v>2.9107565011820329</v>
      </c>
      <c r="BW373">
        <f>VLOOKUP(Table1[[#This Row],[Reference]],metron,11,FALSE)</f>
        <v>2.1359338061465718</v>
      </c>
      <c r="BX373">
        <f>VLOOKUP(Table1[[#This Row],[Reference]],metron,12,FALSE)</f>
        <v>0.77482269503546097</v>
      </c>
      <c r="BY373" s="6">
        <f>VLOOKUP(Table1[[#This Row],[Reference]],metron,13,FALSE)</f>
        <v>0.93380614657210403</v>
      </c>
      <c r="BZ373" s="6">
        <f>VLOOKUP(Table1[[#This Row],[Reference]],metron,14,FALSE)</f>
        <v>0.33747044917257679</v>
      </c>
      <c r="CA373" s="6">
        <f>VLOOKUP(Table1[[#This Row],[Reference]],metron,15,FALSE)</f>
        <v>15.783723522853959</v>
      </c>
      <c r="CB373" s="6">
        <f>VLOOKUP(Table1[[#This Row],[Reference]],metron,16,FALSE)</f>
        <v>8.5830546265328866</v>
      </c>
      <c r="CC373" s="6">
        <f>VLOOKUP(Table1[[#This Row],[Reference]],metron,17,FALSE)</f>
        <v>6.7338618346545864</v>
      </c>
      <c r="CD373" s="6">
        <f>VLOOKUP(Table1[[#This Row],[Reference]],metron,18,FALSE)</f>
        <v>3.2842582106455271</v>
      </c>
      <c r="CE373" s="6">
        <f>VLOOKUP(Table1[[#This Row],[Reference]],metron,19,FALSE)</f>
        <v>9.049861688199373</v>
      </c>
      <c r="CF373" s="6">
        <f>VLOOKUP(Table1[[#This Row],[Reference]],metron,20,FALSE)</f>
        <v>5.2987964158873595</v>
      </c>
      <c r="CG373" s="6">
        <f>VLOOKUP(Table1[[#This Row],[Reference]],metron,21,FALSE)</f>
        <v>12.362500000000001</v>
      </c>
      <c r="CH373" s="6">
        <f>VLOOKUP(Table1[[#This Row],[Reference]],metron,22,FALSE)</f>
        <v>13.904545454545451</v>
      </c>
      <c r="CI373" s="6">
        <f>VLOOKUP(Table1[[#This Row],[Reference]],metron,23,FALSE)</f>
        <v>1.353005464480874</v>
      </c>
      <c r="CJ373" s="6">
        <f>VLOOKUP(Table1[[#This Row],[Reference]],metron,24,FALSE)</f>
        <v>2.0185792349726781</v>
      </c>
      <c r="CK373" s="6">
        <f>VLOOKUP(Table1[[#This Row],[Reference]],metron,25,FALSE)</f>
        <v>6.6666666666666666E-2</v>
      </c>
      <c r="CL373" s="6">
        <f>VLOOKUP(Table1[[#This Row],[Reference]],metron,26,FALSE)</f>
        <v>0.1213114754098361</v>
      </c>
    </row>
    <row r="374" spans="1:90" hidden="1" x14ac:dyDescent="0.45">
      <c r="A374" t="s">
        <v>1346</v>
      </c>
      <c r="B374">
        <v>1597269600</v>
      </c>
      <c r="C374" s="23" t="s">
        <v>745</v>
      </c>
      <c r="D374" t="s">
        <v>65</v>
      </c>
      <c r="E374" t="s">
        <v>66</v>
      </c>
      <c r="F374" t="s">
        <v>67</v>
      </c>
      <c r="G374" t="s">
        <v>112</v>
      </c>
      <c r="H374" t="s">
        <v>80</v>
      </c>
      <c r="I374">
        <f>MROUND(Table1[[#This Row],[ProbH]]*100,2)/100</f>
        <v>0.22</v>
      </c>
      <c r="J374">
        <f>1/Table1[[#This Row],[odds_ft_home_team_win]]-Table1[[#This Row],[Margin]]</f>
        <v>0.214307885071713</v>
      </c>
      <c r="K374">
        <f>1/Table1[[#This Row],[odds_ft_draw]]-Table1[[#This Row],[Margin]]</f>
        <v>0.27472010966304206</v>
      </c>
      <c r="L374">
        <f>1/Table1[[#This Row],[odds_ft_away_team_win]]-Table1[[#This Row],[Margin]]</f>
        <v>0.51097200526524489</v>
      </c>
      <c r="M374">
        <v>4</v>
      </c>
      <c r="N374">
        <v>1</v>
      </c>
      <c r="O374">
        <v>1</v>
      </c>
      <c r="P374">
        <v>1.82</v>
      </c>
      <c r="Q374">
        <v>1.77</v>
      </c>
      <c r="R374" t="str" cm="1">
        <f t="array" ref="R3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29</v>
      </c>
      <c r="AA374">
        <v>3</v>
      </c>
      <c r="AB374">
        <v>16</v>
      </c>
      <c r="AC374">
        <v>1</v>
      </c>
      <c r="AD374">
        <v>0</v>
      </c>
      <c r="AE374">
        <v>2</v>
      </c>
      <c r="AF374">
        <v>0</v>
      </c>
      <c r="AG374">
        <v>0</v>
      </c>
      <c r="AH374">
        <v>1</v>
      </c>
      <c r="AI374">
        <v>2</v>
      </c>
      <c r="AJ374">
        <v>0</v>
      </c>
      <c r="AK374">
        <v>6</v>
      </c>
      <c r="AL374">
        <v>12</v>
      </c>
      <c r="AM374">
        <v>3</v>
      </c>
      <c r="AN374">
        <v>6</v>
      </c>
      <c r="AO374">
        <v>3</v>
      </c>
      <c r="AP374">
        <v>6</v>
      </c>
      <c r="AQ374">
        <v>15</v>
      </c>
      <c r="AR374">
        <v>11</v>
      </c>
      <c r="AS374">
        <v>27</v>
      </c>
      <c r="AT374">
        <v>73</v>
      </c>
      <c r="AU374">
        <v>0.96</v>
      </c>
      <c r="AV374">
        <v>2.09</v>
      </c>
      <c r="AW374">
        <v>2</v>
      </c>
      <c r="AX374">
        <v>100</v>
      </c>
      <c r="AY374">
        <v>100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100</v>
      </c>
      <c r="BF374">
        <v>100</v>
      </c>
      <c r="BG374">
        <v>12</v>
      </c>
      <c r="BH374">
        <v>6</v>
      </c>
      <c r="BI374">
        <v>4.2</v>
      </c>
      <c r="BJ374">
        <v>3.35</v>
      </c>
      <c r="BK374">
        <v>1.87</v>
      </c>
      <c r="BL374">
        <f>(1/Table1[[#This Row],[odds_ft_home_team_win]]+1/Table1[[#This Row],[odds_ft_draw]]+1/Table1[[#This Row],[odds_ft_away_team_win]]-1)/3</f>
        <v>2.3787353023525082E-2</v>
      </c>
      <c r="BM374">
        <v>1.31</v>
      </c>
      <c r="BN374">
        <v>1.95</v>
      </c>
      <c r="BO374">
        <v>3.5</v>
      </c>
      <c r="BP374">
        <v>6.7</v>
      </c>
      <c r="BQ374">
        <v>1.83</v>
      </c>
      <c r="BR374">
        <v>1.91</v>
      </c>
      <c r="BS374" t="s">
        <v>70</v>
      </c>
      <c r="BT374">
        <f>VLOOKUP(Table1[[#This Row],[Reference]],metron,8,FALSE)</f>
        <v>0.95722909461760497</v>
      </c>
      <c r="BU374">
        <f>VLOOKUP(Table1[[#This Row],[Reference]],metron,9,FALSE)</f>
        <v>1.7723830340511415</v>
      </c>
      <c r="BV374">
        <f>VLOOKUP(Table1[[#This Row],[Reference]],metron,10,FALSE)</f>
        <v>2.7115135834411381</v>
      </c>
      <c r="BW374">
        <f>VLOOKUP(Table1[[#This Row],[Reference]],metron,11,FALSE)</f>
        <v>1.0633893919793009</v>
      </c>
      <c r="BX374">
        <f>VLOOKUP(Table1[[#This Row],[Reference]],metron,12,FALSE)</f>
        <v>1.648124191461837</v>
      </c>
      <c r="BY374" s="6">
        <f>VLOOKUP(Table1[[#This Row],[Reference]],metron,13,FALSE)</f>
        <v>0.47218628719275552</v>
      </c>
      <c r="BZ374" s="6">
        <f>VLOOKUP(Table1[[#This Row],[Reference]],metron,14,FALSE)</f>
        <v>0.70181112548512292</v>
      </c>
      <c r="CA374" s="6">
        <f>VLOOKUP(Table1[[#This Row],[Reference]],metron,15,FALSE)</f>
        <v>10.38488783943329</v>
      </c>
      <c r="CB374" s="6">
        <f>VLOOKUP(Table1[[#This Row],[Reference]],metron,16,FALSE)</f>
        <v>12.349468713105081</v>
      </c>
      <c r="CC374" s="6">
        <f>VLOOKUP(Table1[[#This Row],[Reference]],metron,17,FALSE)</f>
        <v>4.0990453460620522</v>
      </c>
      <c r="CD374" s="6">
        <f>VLOOKUP(Table1[[#This Row],[Reference]],metron,18,FALSE)</f>
        <v>5.2720763723150359</v>
      </c>
      <c r="CE374" s="6">
        <f>VLOOKUP(Table1[[#This Row],[Reference]],metron,19,FALSE)</f>
        <v>6.2858424933712378</v>
      </c>
      <c r="CF374" s="6">
        <f>VLOOKUP(Table1[[#This Row],[Reference]],metron,20,FALSE)</f>
        <v>7.0773923407900448</v>
      </c>
      <c r="CG374" s="6">
        <f>VLOOKUP(Table1[[#This Row],[Reference]],metron,21,FALSE)</f>
        <v>13.235083532219569</v>
      </c>
      <c r="CH374" s="6">
        <f>VLOOKUP(Table1[[#This Row],[Reference]],metron,22,FALSE)</f>
        <v>13.05131264916468</v>
      </c>
      <c r="CI374" s="6">
        <f>VLOOKUP(Table1[[#This Row],[Reference]],metron,23,FALSE)</f>
        <v>1.834292289988493</v>
      </c>
      <c r="CJ374" s="6">
        <f>VLOOKUP(Table1[[#This Row],[Reference]],metron,24,FALSE)</f>
        <v>1.806674338319908</v>
      </c>
      <c r="CK374" s="6">
        <f>VLOOKUP(Table1[[#This Row],[Reference]],metron,25,FALSE)</f>
        <v>0.1196777905638665</v>
      </c>
      <c r="CL374" s="6">
        <f>VLOOKUP(Table1[[#This Row],[Reference]],metron,26,FALSE)</f>
        <v>0.1185270425776755</v>
      </c>
    </row>
    <row r="375" spans="1:90" hidden="1" x14ac:dyDescent="0.45">
      <c r="A375" t="s">
        <v>1346</v>
      </c>
      <c r="B375">
        <v>1597276800</v>
      </c>
      <c r="C375" s="23" t="s">
        <v>746</v>
      </c>
      <c r="D375" t="s">
        <v>65</v>
      </c>
      <c r="E375" t="s">
        <v>66</v>
      </c>
      <c r="F375" t="s">
        <v>78</v>
      </c>
      <c r="G375" t="s">
        <v>90</v>
      </c>
      <c r="H375" t="s">
        <v>133</v>
      </c>
      <c r="I375">
        <f>MROUND(Table1[[#This Row],[ProbH]]*100,2)/100</f>
        <v>0.34</v>
      </c>
      <c r="J375">
        <f>1/Table1[[#This Row],[odds_ft_home_team_win]]-Table1[[#This Row],[Margin]]</f>
        <v>0.34517113257189547</v>
      </c>
      <c r="K375">
        <f>1/Table1[[#This Row],[odds_ft_draw]]-Table1[[#This Row],[Margin]]</f>
        <v>0.30266961466054154</v>
      </c>
      <c r="L375">
        <f>1/Table1[[#This Row],[odds_ft_away_team_win]]-Table1[[#This Row],[Margin]]</f>
        <v>0.35215925276756288</v>
      </c>
      <c r="M375">
        <v>4</v>
      </c>
      <c r="N375">
        <v>3</v>
      </c>
      <c r="O375">
        <v>0</v>
      </c>
      <c r="P375">
        <v>1.41</v>
      </c>
      <c r="Q375">
        <v>1.35</v>
      </c>
      <c r="R375" t="str" cm="1">
        <f t="array" ref="R3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5">
        <v>0</v>
      </c>
      <c r="T375">
        <v>2</v>
      </c>
      <c r="U375">
        <v>2</v>
      </c>
      <c r="V375">
        <v>0</v>
      </c>
      <c r="W375">
        <v>0</v>
      </c>
      <c r="X375">
        <v>0</v>
      </c>
      <c r="Z375" t="s">
        <v>747</v>
      </c>
      <c r="AA375">
        <v>5</v>
      </c>
      <c r="AB375">
        <v>2</v>
      </c>
      <c r="AC375">
        <v>2</v>
      </c>
      <c r="AD375">
        <v>0</v>
      </c>
      <c r="AE375">
        <v>4</v>
      </c>
      <c r="AF375">
        <v>1</v>
      </c>
      <c r="AG375">
        <v>0</v>
      </c>
      <c r="AH375">
        <v>2</v>
      </c>
      <c r="AI375">
        <v>1</v>
      </c>
      <c r="AJ375">
        <v>4</v>
      </c>
      <c r="AK375">
        <v>8</v>
      </c>
      <c r="AL375">
        <v>7</v>
      </c>
      <c r="AM375">
        <v>3</v>
      </c>
      <c r="AN375">
        <v>4</v>
      </c>
      <c r="AO375">
        <v>5</v>
      </c>
      <c r="AP375">
        <v>3</v>
      </c>
      <c r="AQ375">
        <v>6</v>
      </c>
      <c r="AR375">
        <v>13</v>
      </c>
      <c r="AS375">
        <v>47</v>
      </c>
      <c r="AT375">
        <v>53</v>
      </c>
      <c r="AU375">
        <v>1.2</v>
      </c>
      <c r="AV375">
        <v>1.1100000000000001</v>
      </c>
      <c r="AW375">
        <v>1.5</v>
      </c>
      <c r="AX375">
        <v>0</v>
      </c>
      <c r="AY375">
        <v>50</v>
      </c>
      <c r="AZ375">
        <v>0</v>
      </c>
      <c r="BA375">
        <v>0</v>
      </c>
      <c r="BB375">
        <v>0</v>
      </c>
      <c r="BC375">
        <v>0</v>
      </c>
      <c r="BD375">
        <v>50</v>
      </c>
      <c r="BE375">
        <v>0</v>
      </c>
      <c r="BF375">
        <v>100</v>
      </c>
      <c r="BG375">
        <v>8</v>
      </c>
      <c r="BH375">
        <v>7</v>
      </c>
      <c r="BI375">
        <v>2.7</v>
      </c>
      <c r="BJ375">
        <v>3.05</v>
      </c>
      <c r="BK375">
        <v>2.65</v>
      </c>
      <c r="BL375">
        <f>(1/Table1[[#This Row],[odds_ft_home_team_win]]+1/Table1[[#This Row],[odds_ft_draw]]+1/Table1[[#This Row],[odds_ft_away_team_win]]-1)/3</f>
        <v>2.5199237798474883E-2</v>
      </c>
      <c r="BM375">
        <v>1.42</v>
      </c>
      <c r="BN375">
        <v>2.2999999999999998</v>
      </c>
      <c r="BO375">
        <v>4.4000000000000004</v>
      </c>
      <c r="BP375">
        <v>8.75</v>
      </c>
      <c r="BQ375">
        <v>1.95</v>
      </c>
      <c r="BR375">
        <v>1.77</v>
      </c>
      <c r="BS375" t="s">
        <v>82</v>
      </c>
      <c r="BT375">
        <f>VLOOKUP(Table1[[#This Row],[Reference]],metron,8,FALSE)</f>
        <v>1.3382439854569812</v>
      </c>
      <c r="BU375">
        <f>VLOOKUP(Table1[[#This Row],[Reference]],metron,9,FALSE)</f>
        <v>1.3740319615582339</v>
      </c>
      <c r="BV375">
        <f>VLOOKUP(Table1[[#This Row],[Reference]],metron,10,FALSE)</f>
        <v>2.5229727551184897</v>
      </c>
      <c r="BW375">
        <f>VLOOKUP(Table1[[#This Row],[Reference]],metron,11,FALSE)</f>
        <v>1.228921489601805</v>
      </c>
      <c r="BX375">
        <f>VLOOKUP(Table1[[#This Row],[Reference]],metron,12,FALSE)</f>
        <v>1.2940512655166849</v>
      </c>
      <c r="BY375" s="6">
        <f>VLOOKUP(Table1[[#This Row],[Reference]],metron,13,FALSE)</f>
        <v>0.53240890035472432</v>
      </c>
      <c r="BZ375" s="6">
        <f>VLOOKUP(Table1[[#This Row],[Reference]],metron,14,FALSE)</f>
        <v>0.56514027732989358</v>
      </c>
      <c r="CA375" s="6">
        <f>VLOOKUP(Table1[[#This Row],[Reference]],metron,15,FALSE)</f>
        <v>11.417888124439131</v>
      </c>
      <c r="CB375" s="6">
        <f>VLOOKUP(Table1[[#This Row],[Reference]],metron,16,FALSE)</f>
        <v>10.76308704756207</v>
      </c>
      <c r="CC375" s="6">
        <f>VLOOKUP(Table1[[#This Row],[Reference]],metron,17,FALSE)</f>
        <v>4.8317672021824798</v>
      </c>
      <c r="CD375" s="6">
        <f>VLOOKUP(Table1[[#This Row],[Reference]],metron,18,FALSE)</f>
        <v>4.6698999696877843</v>
      </c>
      <c r="CE375" s="6">
        <f>VLOOKUP(Table1[[#This Row],[Reference]],metron,19,FALSE)</f>
        <v>6.5861209222566508</v>
      </c>
      <c r="CF375" s="6">
        <f>VLOOKUP(Table1[[#This Row],[Reference]],metron,20,FALSE)</f>
        <v>6.093187077874286</v>
      </c>
      <c r="CG375" s="6">
        <f>VLOOKUP(Table1[[#This Row],[Reference]],metron,21,FALSE)</f>
        <v>12.685679611650491</v>
      </c>
      <c r="CH375" s="6">
        <f>VLOOKUP(Table1[[#This Row],[Reference]],metron,22,FALSE)</f>
        <v>13.02639563106796</v>
      </c>
      <c r="CI375" s="6">
        <f>VLOOKUP(Table1[[#This Row],[Reference]],metron,23,FALSE)</f>
        <v>1.6481211768132831</v>
      </c>
      <c r="CJ375" s="6">
        <f>VLOOKUP(Table1[[#This Row],[Reference]],metron,24,FALSE)</f>
        <v>1.8572676958928049</v>
      </c>
      <c r="CK375" s="6">
        <f>VLOOKUP(Table1[[#This Row],[Reference]],metron,25,FALSE)</f>
        <v>9.641712787649287E-2</v>
      </c>
      <c r="CL375" s="6">
        <f>VLOOKUP(Table1[[#This Row],[Reference]],metron,26,FALSE)</f>
        <v>0.11302068161957469</v>
      </c>
    </row>
    <row r="376" spans="1:90" hidden="1" x14ac:dyDescent="0.45">
      <c r="A376" t="s">
        <v>1346</v>
      </c>
      <c r="B376">
        <v>1597284000</v>
      </c>
      <c r="C376" s="23" t="s">
        <v>748</v>
      </c>
      <c r="D376" t="s">
        <v>65</v>
      </c>
      <c r="E376" t="s">
        <v>66</v>
      </c>
      <c r="F376" t="s">
        <v>96</v>
      </c>
      <c r="G376" t="s">
        <v>101</v>
      </c>
      <c r="H376" t="s">
        <v>114</v>
      </c>
      <c r="I376">
        <f>MROUND(Table1[[#This Row],[ProbH]]*100,2)/100</f>
        <v>0.3</v>
      </c>
      <c r="J376">
        <f>1/Table1[[#This Row],[odds_ft_home_team_win]]-Table1[[#This Row],[Margin]]</f>
        <v>0.29331642779569983</v>
      </c>
      <c r="K376">
        <f>1/Table1[[#This Row],[odds_ft_draw]]-Table1[[#This Row],[Margin]]</f>
        <v>0.26571118279915051</v>
      </c>
      <c r="L376">
        <f>1/Table1[[#This Row],[odds_ft_away_team_win]]-Table1[[#This Row],[Margin]]</f>
        <v>0.44097238940514982</v>
      </c>
      <c r="M376">
        <v>4</v>
      </c>
      <c r="N376">
        <v>2</v>
      </c>
      <c r="O376">
        <v>0</v>
      </c>
      <c r="P376">
        <v>1.65</v>
      </c>
      <c r="Q376">
        <v>1.39</v>
      </c>
      <c r="R376" t="str" cm="1">
        <f t="array" ref="R3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76">
        <v>1</v>
      </c>
      <c r="T376">
        <v>1</v>
      </c>
      <c r="U376">
        <v>2</v>
      </c>
      <c r="V376">
        <v>1</v>
      </c>
      <c r="W376">
        <v>1</v>
      </c>
      <c r="X376">
        <v>0</v>
      </c>
      <c r="Y376">
        <v>43</v>
      </c>
      <c r="Z376">
        <v>62</v>
      </c>
      <c r="AA376">
        <v>8</v>
      </c>
      <c r="AB376">
        <v>5</v>
      </c>
      <c r="AC376">
        <v>4</v>
      </c>
      <c r="AD376">
        <v>0</v>
      </c>
      <c r="AE376">
        <v>3</v>
      </c>
      <c r="AF376">
        <v>0</v>
      </c>
      <c r="AG376">
        <v>0</v>
      </c>
      <c r="AH376">
        <v>4</v>
      </c>
      <c r="AI376">
        <v>1</v>
      </c>
      <c r="AJ376">
        <v>2</v>
      </c>
      <c r="AK376">
        <v>15</v>
      </c>
      <c r="AL376">
        <v>11</v>
      </c>
      <c r="AM376">
        <v>5</v>
      </c>
      <c r="AN376">
        <v>4</v>
      </c>
      <c r="AO376">
        <v>10</v>
      </c>
      <c r="AP376">
        <v>7</v>
      </c>
      <c r="AQ376">
        <v>11</v>
      </c>
      <c r="AR376">
        <v>7</v>
      </c>
      <c r="AS376">
        <v>47</v>
      </c>
      <c r="AT376">
        <v>53</v>
      </c>
      <c r="AU376">
        <v>1.87</v>
      </c>
      <c r="AV376">
        <v>1.59</v>
      </c>
      <c r="AW376">
        <v>2.25</v>
      </c>
      <c r="AX376">
        <v>50</v>
      </c>
      <c r="AY376">
        <v>50</v>
      </c>
      <c r="AZ376">
        <v>25</v>
      </c>
      <c r="BA376">
        <v>25</v>
      </c>
      <c r="BB376">
        <v>25</v>
      </c>
      <c r="BC376">
        <v>0</v>
      </c>
      <c r="BD376">
        <v>25</v>
      </c>
      <c r="BE376">
        <v>50</v>
      </c>
      <c r="BF376">
        <v>100</v>
      </c>
      <c r="BG376">
        <v>13.5</v>
      </c>
      <c r="BH376">
        <v>4</v>
      </c>
      <c r="BI376">
        <v>3.15</v>
      </c>
      <c r="BJ376">
        <v>3.45</v>
      </c>
      <c r="BK376">
        <v>2.15</v>
      </c>
      <c r="BL376">
        <f>(1/Table1[[#This Row],[odds_ft_home_team_win]]+1/Table1[[#This Row],[odds_ft_draw]]+1/Table1[[#This Row],[odds_ft_away_team_win]]-1)/3</f>
        <v>2.414388966461763E-2</v>
      </c>
      <c r="BM376">
        <v>1.23</v>
      </c>
      <c r="BN376">
        <v>1.74</v>
      </c>
      <c r="BO376">
        <v>2.9</v>
      </c>
      <c r="BP376">
        <v>5.35</v>
      </c>
      <c r="BQ376">
        <v>1.62</v>
      </c>
      <c r="BR376">
        <v>2.2000000000000002</v>
      </c>
      <c r="BS376" t="s">
        <v>99</v>
      </c>
      <c r="BT376">
        <f>VLOOKUP(Table1[[#This Row],[Reference]],metron,8,FALSE)</f>
        <v>1.2142445227270171</v>
      </c>
      <c r="BU376">
        <f>VLOOKUP(Table1[[#This Row],[Reference]],metron,9,FALSE)</f>
        <v>1.4993969533036628</v>
      </c>
      <c r="BV376">
        <f>VLOOKUP(Table1[[#This Row],[Reference]],metron,10,FALSE)</f>
        <v>2.5726407816919519</v>
      </c>
      <c r="BW376">
        <f>VLOOKUP(Table1[[#This Row],[Reference]],metron,11,FALSE)</f>
        <v>1.1805091283106199</v>
      </c>
      <c r="BX376">
        <f>VLOOKUP(Table1[[#This Row],[Reference]],metron,12,FALSE)</f>
        <v>1.3921316533813319</v>
      </c>
      <c r="BY376" s="6">
        <f>VLOOKUP(Table1[[#This Row],[Reference]],metron,13,FALSE)</f>
        <v>0.5209673269873939</v>
      </c>
      <c r="BZ376" s="6">
        <f>VLOOKUP(Table1[[#This Row],[Reference]],metron,14,FALSE)</f>
        <v>0.61847182917417032</v>
      </c>
      <c r="CA376" s="6">
        <f>VLOOKUP(Table1[[#This Row],[Reference]],metron,15,FALSE)</f>
        <v>11.149200710479571</v>
      </c>
      <c r="CB376" s="6">
        <f>VLOOKUP(Table1[[#This Row],[Reference]],metron,16,FALSE)</f>
        <v>11.444049733570161</v>
      </c>
      <c r="CC376" s="6">
        <f>VLOOKUP(Table1[[#This Row],[Reference]],metron,17,FALSE)</f>
        <v>4.5257270693512304</v>
      </c>
      <c r="CD376" s="6">
        <f>VLOOKUP(Table1[[#This Row],[Reference]],metron,18,FALSE)</f>
        <v>4.8465324384787474</v>
      </c>
      <c r="CE376" s="6">
        <f>VLOOKUP(Table1[[#This Row],[Reference]],metron,19,FALSE)</f>
        <v>6.6234736411283404</v>
      </c>
      <c r="CF376" s="6">
        <f>VLOOKUP(Table1[[#This Row],[Reference]],metron,20,FALSE)</f>
        <v>6.5975172950914134</v>
      </c>
      <c r="CG376" s="6">
        <f>VLOOKUP(Table1[[#This Row],[Reference]],metron,21,FALSE)</f>
        <v>12.90081154192967</v>
      </c>
      <c r="CH376" s="6">
        <f>VLOOKUP(Table1[[#This Row],[Reference]],metron,22,FALSE)</f>
        <v>13.00360685302074</v>
      </c>
      <c r="CI376" s="6">
        <f>VLOOKUP(Table1[[#This Row],[Reference]],metron,23,FALSE)</f>
        <v>1.7502145922746779</v>
      </c>
      <c r="CJ376" s="6">
        <f>VLOOKUP(Table1[[#This Row],[Reference]],metron,24,FALSE)</f>
        <v>1.831402831402831</v>
      </c>
      <c r="CK376" s="6">
        <f>VLOOKUP(Table1[[#This Row],[Reference]],metron,25,FALSE)</f>
        <v>9.6525096525096526E-2</v>
      </c>
      <c r="CL376" s="6">
        <f>VLOOKUP(Table1[[#This Row],[Reference]],metron,26,FALSE)</f>
        <v>0.1244101244101244</v>
      </c>
    </row>
    <row r="377" spans="1:90" hidden="1" x14ac:dyDescent="0.45">
      <c r="A377" t="s">
        <v>1346</v>
      </c>
      <c r="B377">
        <v>1597284360</v>
      </c>
      <c r="C377" s="23" t="s">
        <v>749</v>
      </c>
      <c r="D377" t="s">
        <v>65</v>
      </c>
      <c r="E377" t="s">
        <v>66</v>
      </c>
      <c r="F377" t="s">
        <v>106</v>
      </c>
      <c r="G377" t="s">
        <v>91</v>
      </c>
      <c r="H377" t="s">
        <v>69</v>
      </c>
      <c r="I377">
        <f>MROUND(Table1[[#This Row],[ProbH]]*100,2)/100</f>
        <v>0.48</v>
      </c>
      <c r="J377">
        <f>1/Table1[[#This Row],[odds_ft_home_team_win]]-Table1[[#This Row],[Margin]]</f>
        <v>0.47619047619047622</v>
      </c>
      <c r="K377">
        <f>1/Table1[[#This Row],[odds_ft_draw]]-Table1[[#This Row],[Margin]]</f>
        <v>0.26190476190476192</v>
      </c>
      <c r="L377">
        <f>1/Table1[[#This Row],[odds_ft_away_team_win]]-Table1[[#This Row],[Margin]]</f>
        <v>0.26190476190476192</v>
      </c>
      <c r="M377">
        <v>4</v>
      </c>
      <c r="N377">
        <v>2</v>
      </c>
      <c r="O377">
        <v>0</v>
      </c>
      <c r="P377">
        <v>1.59</v>
      </c>
      <c r="Q377">
        <v>0.35</v>
      </c>
      <c r="R377" t="str" cm="1">
        <f t="array" ref="R3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7">
        <v>0</v>
      </c>
      <c r="T377">
        <v>2</v>
      </c>
      <c r="U377">
        <v>2</v>
      </c>
      <c r="V377">
        <v>1</v>
      </c>
      <c r="W377">
        <v>0</v>
      </c>
      <c r="X377">
        <v>1</v>
      </c>
      <c r="Z377" t="s">
        <v>750</v>
      </c>
      <c r="AA377">
        <v>8</v>
      </c>
      <c r="AB377">
        <v>6</v>
      </c>
      <c r="AC377">
        <v>2</v>
      </c>
      <c r="AD377">
        <v>0</v>
      </c>
      <c r="AE377">
        <v>4</v>
      </c>
      <c r="AF377">
        <v>0</v>
      </c>
      <c r="AG377">
        <v>1</v>
      </c>
      <c r="AH377">
        <v>1</v>
      </c>
      <c r="AI377">
        <v>3</v>
      </c>
      <c r="AJ377">
        <v>1</v>
      </c>
      <c r="AK377">
        <v>11</v>
      </c>
      <c r="AL377">
        <v>8</v>
      </c>
      <c r="AM377">
        <v>4</v>
      </c>
      <c r="AN377">
        <v>5</v>
      </c>
      <c r="AO377">
        <v>7</v>
      </c>
      <c r="AP377">
        <v>3</v>
      </c>
      <c r="AQ377">
        <v>16</v>
      </c>
      <c r="AR377">
        <v>19</v>
      </c>
      <c r="AS377">
        <v>70</v>
      </c>
      <c r="AT377">
        <v>30</v>
      </c>
      <c r="AU377">
        <v>1.82</v>
      </c>
      <c r="AV377">
        <v>1.23</v>
      </c>
      <c r="AW377">
        <v>3.5</v>
      </c>
      <c r="AX377">
        <v>75</v>
      </c>
      <c r="AY377">
        <v>75</v>
      </c>
      <c r="AZ377">
        <v>75</v>
      </c>
      <c r="BA377">
        <v>75</v>
      </c>
      <c r="BB377">
        <v>50</v>
      </c>
      <c r="BC377">
        <v>75</v>
      </c>
      <c r="BD377">
        <v>75</v>
      </c>
      <c r="BE377">
        <v>75</v>
      </c>
      <c r="BF377">
        <v>75</v>
      </c>
      <c r="BG377">
        <v>8</v>
      </c>
      <c r="BH377">
        <v>7.5</v>
      </c>
      <c r="BI377">
        <v>2</v>
      </c>
      <c r="BJ377">
        <v>3.5</v>
      </c>
      <c r="BK377">
        <v>3.5</v>
      </c>
      <c r="BL377">
        <f>(1/Table1[[#This Row],[odds_ft_home_team_win]]+1/Table1[[#This Row],[odds_ft_draw]]+1/Table1[[#This Row],[odds_ft_away_team_win]]-1)/3</f>
        <v>2.3809523809523798E-2</v>
      </c>
      <c r="BM377">
        <v>1.29</v>
      </c>
      <c r="BN377">
        <v>1.91</v>
      </c>
      <c r="BO377">
        <v>3.3</v>
      </c>
      <c r="BP377">
        <v>6.35</v>
      </c>
      <c r="BQ377">
        <v>1.77</v>
      </c>
      <c r="BR377">
        <v>2</v>
      </c>
      <c r="BS377" t="s">
        <v>110</v>
      </c>
      <c r="BT377">
        <f>VLOOKUP(Table1[[#This Row],[Reference]],metron,8,FALSE)</f>
        <v>1.743992017160418</v>
      </c>
      <c r="BU377">
        <f>VLOOKUP(Table1[[#This Row],[Reference]],metron,9,FALSE)</f>
        <v>0.97803937284245479</v>
      </c>
      <c r="BV377">
        <f>VLOOKUP(Table1[[#This Row],[Reference]],metron,10,FALSE)</f>
        <v>2.5271929824561399</v>
      </c>
      <c r="BW377">
        <f>VLOOKUP(Table1[[#This Row],[Reference]],metron,11,FALSE)</f>
        <v>1.510877192982456</v>
      </c>
      <c r="BX377">
        <f>VLOOKUP(Table1[[#This Row],[Reference]],metron,12,FALSE)</f>
        <v>1.0163157894736841</v>
      </c>
      <c r="BY377" s="6">
        <f>VLOOKUP(Table1[[#This Row],[Reference]],metron,13,FALSE)</f>
        <v>0.67350877192982461</v>
      </c>
      <c r="BZ377" s="6">
        <f>VLOOKUP(Table1[[#This Row],[Reference]],metron,14,FALSE)</f>
        <v>0.4442105263157895</v>
      </c>
      <c r="CA377" s="6">
        <f>VLOOKUP(Table1[[#This Row],[Reference]],metron,15,FALSE)</f>
        <v>12.80980392156863</v>
      </c>
      <c r="CB377" s="6">
        <f>VLOOKUP(Table1[[#This Row],[Reference]],metron,16,FALSE)</f>
        <v>9.6872549019607845</v>
      </c>
      <c r="CC377" s="6">
        <f>VLOOKUP(Table1[[#This Row],[Reference]],metron,17,FALSE)</f>
        <v>5.6491169610129957</v>
      </c>
      <c r="CD377" s="6">
        <f>VLOOKUP(Table1[[#This Row],[Reference]],metron,18,FALSE)</f>
        <v>4.1379540153282237</v>
      </c>
      <c r="CE377" s="6">
        <f>VLOOKUP(Table1[[#This Row],[Reference]],metron,19,FALSE)</f>
        <v>7.1606869605556343</v>
      </c>
      <c r="CF377" s="6">
        <f>VLOOKUP(Table1[[#This Row],[Reference]],metron,20,FALSE)</f>
        <v>5.5493008866325608</v>
      </c>
      <c r="CG377" s="6">
        <f>VLOOKUP(Table1[[#This Row],[Reference]],metron,21,FALSE)</f>
        <v>12.9029029029029</v>
      </c>
      <c r="CH377" s="6">
        <f>VLOOKUP(Table1[[#This Row],[Reference]],metron,22,FALSE)</f>
        <v>13.75508842175509</v>
      </c>
      <c r="CI377" s="6">
        <f>VLOOKUP(Table1[[#This Row],[Reference]],metron,23,FALSE)</f>
        <v>1.5287356321839081</v>
      </c>
      <c r="CJ377" s="6">
        <f>VLOOKUP(Table1[[#This Row],[Reference]],metron,24,FALSE)</f>
        <v>1.9664750957854411</v>
      </c>
      <c r="CK377" s="6">
        <f>VLOOKUP(Table1[[#This Row],[Reference]],metron,25,FALSE)</f>
        <v>8.8441890166028103E-2</v>
      </c>
      <c r="CL377" s="6">
        <f>VLOOKUP(Table1[[#This Row],[Reference]],metron,26,FALSE)</f>
        <v>0.13409961685823751</v>
      </c>
    </row>
    <row r="378" spans="1:90" hidden="1" x14ac:dyDescent="0.45">
      <c r="A378" t="s">
        <v>1346</v>
      </c>
      <c r="B378">
        <v>1597363200</v>
      </c>
      <c r="C378" s="23" t="s">
        <v>751</v>
      </c>
      <c r="D378" t="s">
        <v>65</v>
      </c>
      <c r="E378" t="s">
        <v>66</v>
      </c>
      <c r="F378" t="s">
        <v>97</v>
      </c>
      <c r="G378" t="s">
        <v>79</v>
      </c>
      <c r="H378" t="s">
        <v>98</v>
      </c>
      <c r="I378">
        <f>MROUND(Table1[[#This Row],[ProbH]]*100,2)/100</f>
        <v>0.4</v>
      </c>
      <c r="J378">
        <f>1/Table1[[#This Row],[odds_ft_home_team_win]]-Table1[[#This Row],[Margin]]</f>
        <v>0.4087433894992803</v>
      </c>
      <c r="K378">
        <f>1/Table1[[#This Row],[odds_ft_draw]]-Table1[[#This Row],[Margin]]</f>
        <v>0.27246824349019522</v>
      </c>
      <c r="L378">
        <f>1/Table1[[#This Row],[odds_ft_away_team_win]]-Table1[[#This Row],[Margin]]</f>
        <v>0.31878836701052465</v>
      </c>
      <c r="M378">
        <v>4</v>
      </c>
      <c r="N378">
        <v>0</v>
      </c>
      <c r="O378">
        <v>0</v>
      </c>
      <c r="P378">
        <v>1.21</v>
      </c>
      <c r="Q378">
        <v>0.55000000000000004</v>
      </c>
      <c r="R378" t="str" cm="1">
        <f t="array" ref="R3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8">
        <v>1</v>
      </c>
      <c r="T378">
        <v>2</v>
      </c>
      <c r="U378">
        <v>3</v>
      </c>
      <c r="V378">
        <v>2</v>
      </c>
      <c r="W378">
        <v>1</v>
      </c>
      <c r="X378">
        <v>1</v>
      </c>
      <c r="Y378">
        <v>28</v>
      </c>
      <c r="Z378" t="s">
        <v>752</v>
      </c>
      <c r="AA378">
        <v>3</v>
      </c>
      <c r="AB378">
        <v>2</v>
      </c>
      <c r="AC378">
        <v>2</v>
      </c>
      <c r="AD378">
        <v>0</v>
      </c>
      <c r="AE378">
        <v>4</v>
      </c>
      <c r="AF378">
        <v>0</v>
      </c>
      <c r="AG378">
        <v>1</v>
      </c>
      <c r="AH378">
        <v>1</v>
      </c>
      <c r="AI378">
        <v>2</v>
      </c>
      <c r="AJ378">
        <v>2</v>
      </c>
      <c r="AK378">
        <v>15</v>
      </c>
      <c r="AL378">
        <v>8</v>
      </c>
      <c r="AM378">
        <v>2</v>
      </c>
      <c r="AN378">
        <v>4</v>
      </c>
      <c r="AO378">
        <v>13</v>
      </c>
      <c r="AP378">
        <v>4</v>
      </c>
      <c r="AQ378">
        <v>6</v>
      </c>
      <c r="AR378">
        <v>14</v>
      </c>
      <c r="AS378">
        <v>62</v>
      </c>
      <c r="AT378">
        <v>38</v>
      </c>
      <c r="AU378">
        <v>1.45</v>
      </c>
      <c r="AV378">
        <v>1.03</v>
      </c>
      <c r="AW378">
        <v>3.25</v>
      </c>
      <c r="AX378">
        <v>100</v>
      </c>
      <c r="AY378">
        <v>100</v>
      </c>
      <c r="AZ378">
        <v>100</v>
      </c>
      <c r="BA378">
        <v>25</v>
      </c>
      <c r="BB378">
        <v>0</v>
      </c>
      <c r="BC378">
        <v>50</v>
      </c>
      <c r="BD378">
        <v>100</v>
      </c>
      <c r="BE378">
        <v>75</v>
      </c>
      <c r="BF378">
        <v>75</v>
      </c>
      <c r="BG378">
        <v>12.5</v>
      </c>
      <c r="BH378">
        <v>5</v>
      </c>
      <c r="BI378">
        <v>2.2999999999999998</v>
      </c>
      <c r="BJ378">
        <v>3.35</v>
      </c>
      <c r="BK378">
        <v>2.9</v>
      </c>
      <c r="BL378">
        <f>(1/Table1[[#This Row],[odds_ft_home_team_win]]+1/Table1[[#This Row],[odds_ft_draw]]+1/Table1[[#This Row],[odds_ft_away_team_win]]-1)/3</f>
        <v>2.6039219196371938E-2</v>
      </c>
      <c r="BM378">
        <v>1.26</v>
      </c>
      <c r="BN378">
        <v>1.83</v>
      </c>
      <c r="BO378">
        <v>3.15</v>
      </c>
      <c r="BP378">
        <v>5.9</v>
      </c>
      <c r="BQ378">
        <v>1.67</v>
      </c>
      <c r="BR378">
        <v>2.1</v>
      </c>
      <c r="BS378" t="s">
        <v>136</v>
      </c>
      <c r="BT378">
        <f>VLOOKUP(Table1[[#This Row],[Reference]],metron,8,FALSE)</f>
        <v>1.5181603563290151</v>
      </c>
      <c r="BU378">
        <f>VLOOKUP(Table1[[#This Row],[Reference]],metron,9,FALSE)</f>
        <v>1.1952730370775513</v>
      </c>
      <c r="BV378">
        <f>VLOOKUP(Table1[[#This Row],[Reference]],metron,10,FALSE)</f>
        <v>2.4956155335383219</v>
      </c>
      <c r="BW378">
        <f>VLOOKUP(Table1[[#This Row],[Reference]],metron,11,FALSE)</f>
        <v>1.344038264434575</v>
      </c>
      <c r="BX378">
        <f>VLOOKUP(Table1[[#This Row],[Reference]],metron,12,FALSE)</f>
        <v>1.1515772691037469</v>
      </c>
      <c r="BY378" s="6">
        <f>VLOOKUP(Table1[[#This Row],[Reference]],metron,13,FALSE)</f>
        <v>0.59936225942375587</v>
      </c>
      <c r="BZ378" s="6">
        <f>VLOOKUP(Table1[[#This Row],[Reference]],metron,14,FALSE)</f>
        <v>0.50723152260562576</v>
      </c>
      <c r="CA378" s="6">
        <f>VLOOKUP(Table1[[#This Row],[Reference]],metron,15,FALSE)</f>
        <v>11.99278846153846</v>
      </c>
      <c r="CB378" s="6">
        <f>VLOOKUP(Table1[[#This Row],[Reference]],metron,16,FALSE)</f>
        <v>10.0277534965035</v>
      </c>
      <c r="CC378" s="6">
        <f>VLOOKUP(Table1[[#This Row],[Reference]],metron,17,FALSE)</f>
        <v>5.2857459543338514</v>
      </c>
      <c r="CD378" s="6">
        <f>VLOOKUP(Table1[[#This Row],[Reference]],metron,18,FALSE)</f>
        <v>4.4067834183107957</v>
      </c>
      <c r="CE378" s="6">
        <f>VLOOKUP(Table1[[#This Row],[Reference]],metron,19,FALSE)</f>
        <v>6.7070425072046085</v>
      </c>
      <c r="CF378" s="6">
        <f>VLOOKUP(Table1[[#This Row],[Reference]],metron,20,FALSE)</f>
        <v>5.6209700781927046</v>
      </c>
      <c r="CG378" s="6">
        <f>VLOOKUP(Table1[[#This Row],[Reference]],metron,21,FALSE)</f>
        <v>13.04463690872752</v>
      </c>
      <c r="CH378" s="6">
        <f>VLOOKUP(Table1[[#This Row],[Reference]],metron,22,FALSE)</f>
        <v>13.49811236953142</v>
      </c>
      <c r="CI378" s="6">
        <f>VLOOKUP(Table1[[#This Row],[Reference]],metron,23,FALSE)</f>
        <v>1.5836526181353769</v>
      </c>
      <c r="CJ378" s="6">
        <f>VLOOKUP(Table1[[#This Row],[Reference]],metron,24,FALSE)</f>
        <v>1.8744146445295871</v>
      </c>
      <c r="CK378" s="6">
        <f>VLOOKUP(Table1[[#This Row],[Reference]],metron,25,FALSE)</f>
        <v>8.5994040017028525E-2</v>
      </c>
      <c r="CL378" s="6">
        <f>VLOOKUP(Table1[[#This Row],[Reference]],metron,26,FALSE)</f>
        <v>0.13452532992762881</v>
      </c>
    </row>
    <row r="379" spans="1:90" hidden="1" x14ac:dyDescent="0.45">
      <c r="A379" t="s">
        <v>1346</v>
      </c>
      <c r="B379">
        <v>1597370400</v>
      </c>
      <c r="C379" s="23" t="s">
        <v>753</v>
      </c>
      <c r="D379" t="s">
        <v>65</v>
      </c>
      <c r="E379" t="s">
        <v>66</v>
      </c>
      <c r="F379" t="s">
        <v>68</v>
      </c>
      <c r="G379" t="s">
        <v>73</v>
      </c>
      <c r="H379" t="s">
        <v>130</v>
      </c>
      <c r="I379">
        <f>MROUND(Table1[[#This Row],[ProbH]]*100,2)/100</f>
        <v>0.48</v>
      </c>
      <c r="J379">
        <f>1/Table1[[#This Row],[odds_ft_home_team_win]]-Table1[[#This Row],[Margin]]</f>
        <v>0.47326746548945414</v>
      </c>
      <c r="K379">
        <f>1/Table1[[#This Row],[odds_ft_draw]]-Table1[[#This Row],[Margin]]</f>
        <v>0.25495760633452458</v>
      </c>
      <c r="L379">
        <f>1/Table1[[#This Row],[odds_ft_away_team_win]]-Table1[[#This Row],[Margin]]</f>
        <v>0.27177492817602128</v>
      </c>
      <c r="M379">
        <v>4</v>
      </c>
      <c r="N379">
        <v>3</v>
      </c>
      <c r="O379">
        <v>0.5</v>
      </c>
      <c r="P379">
        <v>2.37</v>
      </c>
      <c r="Q379">
        <v>0.8</v>
      </c>
      <c r="R379" t="str" cm="1">
        <f t="array" ref="R3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9">
        <v>3</v>
      </c>
      <c r="T379">
        <v>1</v>
      </c>
      <c r="U379">
        <v>4</v>
      </c>
      <c r="V379">
        <v>3</v>
      </c>
      <c r="W379">
        <v>3</v>
      </c>
      <c r="X379">
        <v>0</v>
      </c>
      <c r="Y379" t="s">
        <v>754</v>
      </c>
      <c r="Z379">
        <v>67</v>
      </c>
      <c r="AA379">
        <v>4</v>
      </c>
      <c r="AB379">
        <v>3</v>
      </c>
      <c r="AC379">
        <v>3</v>
      </c>
      <c r="AD379">
        <v>0</v>
      </c>
      <c r="AE379">
        <v>1</v>
      </c>
      <c r="AF379">
        <v>0</v>
      </c>
      <c r="AG379">
        <v>1</v>
      </c>
      <c r="AH379">
        <v>2</v>
      </c>
      <c r="AI379">
        <v>1</v>
      </c>
      <c r="AJ379">
        <v>0</v>
      </c>
      <c r="AK379">
        <v>17</v>
      </c>
      <c r="AL379">
        <v>15</v>
      </c>
      <c r="AM379">
        <v>8</v>
      </c>
      <c r="AN379">
        <v>5</v>
      </c>
      <c r="AO379">
        <v>9</v>
      </c>
      <c r="AP379">
        <v>10</v>
      </c>
      <c r="AQ379">
        <v>18</v>
      </c>
      <c r="AR379">
        <v>14</v>
      </c>
      <c r="AS379">
        <v>54</v>
      </c>
      <c r="AT379">
        <v>46</v>
      </c>
      <c r="AU379">
        <v>1.94</v>
      </c>
      <c r="AV379">
        <v>1.65</v>
      </c>
      <c r="AW379">
        <v>3.5</v>
      </c>
      <c r="AX379">
        <v>25</v>
      </c>
      <c r="AY379">
        <v>100</v>
      </c>
      <c r="AZ379">
        <v>75</v>
      </c>
      <c r="BA379">
        <v>75</v>
      </c>
      <c r="BB379">
        <v>0</v>
      </c>
      <c r="BC379">
        <v>25</v>
      </c>
      <c r="BD379">
        <v>100</v>
      </c>
      <c r="BE379">
        <v>75</v>
      </c>
      <c r="BF379">
        <v>100</v>
      </c>
      <c r="BG379">
        <v>7</v>
      </c>
      <c r="BH379">
        <v>3</v>
      </c>
      <c r="BI379">
        <v>2</v>
      </c>
      <c r="BJ379">
        <v>3.55</v>
      </c>
      <c r="BK379">
        <v>3.35</v>
      </c>
      <c r="BL379">
        <f>(1/Table1[[#This Row],[odds_ft_home_team_win]]+1/Table1[[#This Row],[odds_ft_draw]]+1/Table1[[#This Row],[odds_ft_away_team_win]]-1)/3</f>
        <v>2.6732534510545875E-2</v>
      </c>
      <c r="BM379">
        <v>1.2</v>
      </c>
      <c r="BN379">
        <v>1.65</v>
      </c>
      <c r="BO379">
        <v>2.6</v>
      </c>
      <c r="BP379">
        <v>4.7</v>
      </c>
      <c r="BQ379">
        <v>1.54</v>
      </c>
      <c r="BR379">
        <v>2.35</v>
      </c>
      <c r="BS379" t="s">
        <v>99</v>
      </c>
      <c r="BT379">
        <f>VLOOKUP(Table1[[#This Row],[Reference]],metron,8,FALSE)</f>
        <v>1.743992017160418</v>
      </c>
      <c r="BU379">
        <f>VLOOKUP(Table1[[#This Row],[Reference]],metron,9,FALSE)</f>
        <v>0.97803937284245479</v>
      </c>
      <c r="BV379">
        <f>VLOOKUP(Table1[[#This Row],[Reference]],metron,10,FALSE)</f>
        <v>2.5271929824561399</v>
      </c>
      <c r="BW379">
        <f>VLOOKUP(Table1[[#This Row],[Reference]],metron,11,FALSE)</f>
        <v>1.510877192982456</v>
      </c>
      <c r="BX379">
        <f>VLOOKUP(Table1[[#This Row],[Reference]],metron,12,FALSE)</f>
        <v>1.0163157894736841</v>
      </c>
      <c r="BY379" s="6">
        <f>VLOOKUP(Table1[[#This Row],[Reference]],metron,13,FALSE)</f>
        <v>0.67350877192982461</v>
      </c>
      <c r="BZ379" s="6">
        <f>VLOOKUP(Table1[[#This Row],[Reference]],metron,14,FALSE)</f>
        <v>0.4442105263157895</v>
      </c>
      <c r="CA379" s="6">
        <f>VLOOKUP(Table1[[#This Row],[Reference]],metron,15,FALSE)</f>
        <v>12.80980392156863</v>
      </c>
      <c r="CB379" s="6">
        <f>VLOOKUP(Table1[[#This Row],[Reference]],metron,16,FALSE)</f>
        <v>9.6872549019607845</v>
      </c>
      <c r="CC379" s="6">
        <f>VLOOKUP(Table1[[#This Row],[Reference]],metron,17,FALSE)</f>
        <v>5.6491169610129957</v>
      </c>
      <c r="CD379" s="6">
        <f>VLOOKUP(Table1[[#This Row],[Reference]],metron,18,FALSE)</f>
        <v>4.1379540153282237</v>
      </c>
      <c r="CE379" s="6">
        <f>VLOOKUP(Table1[[#This Row],[Reference]],metron,19,FALSE)</f>
        <v>7.1606869605556343</v>
      </c>
      <c r="CF379" s="6">
        <f>VLOOKUP(Table1[[#This Row],[Reference]],metron,20,FALSE)</f>
        <v>5.5493008866325608</v>
      </c>
      <c r="CG379" s="6">
        <f>VLOOKUP(Table1[[#This Row],[Reference]],metron,21,FALSE)</f>
        <v>12.9029029029029</v>
      </c>
      <c r="CH379" s="6">
        <f>VLOOKUP(Table1[[#This Row],[Reference]],metron,22,FALSE)</f>
        <v>13.75508842175509</v>
      </c>
      <c r="CI379" s="6">
        <f>VLOOKUP(Table1[[#This Row],[Reference]],metron,23,FALSE)</f>
        <v>1.5287356321839081</v>
      </c>
      <c r="CJ379" s="6">
        <f>VLOOKUP(Table1[[#This Row],[Reference]],metron,24,FALSE)</f>
        <v>1.9664750957854411</v>
      </c>
      <c r="CK379" s="6">
        <f>VLOOKUP(Table1[[#This Row],[Reference]],metron,25,FALSE)</f>
        <v>8.8441890166028103E-2</v>
      </c>
      <c r="CL379" s="6">
        <f>VLOOKUP(Table1[[#This Row],[Reference]],metron,26,FALSE)</f>
        <v>0.13409961685823751</v>
      </c>
    </row>
    <row r="380" spans="1:90" hidden="1" x14ac:dyDescent="0.45">
      <c r="A380" t="s">
        <v>1346</v>
      </c>
      <c r="B380">
        <v>1597458600</v>
      </c>
      <c r="C380" s="23" t="s">
        <v>755</v>
      </c>
      <c r="D380" t="s">
        <v>65</v>
      </c>
      <c r="E380" t="s">
        <v>66</v>
      </c>
      <c r="F380" t="s">
        <v>102</v>
      </c>
      <c r="G380" t="s">
        <v>84</v>
      </c>
      <c r="H380" t="s">
        <v>122</v>
      </c>
      <c r="I380">
        <f>MROUND(Table1[[#This Row],[ProbH]]*100,2)/100</f>
        <v>0.3</v>
      </c>
      <c r="J380">
        <f>1/Table1[[#This Row],[odds_ft_home_team_win]]-Table1[[#This Row],[Margin]]</f>
        <v>0.29422590292155504</v>
      </c>
      <c r="K380">
        <f>1/Table1[[#This Row],[odds_ft_draw]]-Table1[[#This Row],[Margin]]</f>
        <v>0.29422590292155504</v>
      </c>
      <c r="L380">
        <f>1/Table1[[#This Row],[odds_ft_away_team_win]]-Table1[[#This Row],[Margin]]</f>
        <v>0.41154819415688981</v>
      </c>
      <c r="M380">
        <v>5</v>
      </c>
      <c r="N380">
        <v>1</v>
      </c>
      <c r="O380">
        <v>1</v>
      </c>
      <c r="P380">
        <v>1.5</v>
      </c>
      <c r="Q380">
        <v>1.38</v>
      </c>
      <c r="R380" t="str" cm="1">
        <f t="array" ref="R3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Z380">
        <v>61</v>
      </c>
      <c r="AA380">
        <v>2</v>
      </c>
      <c r="AB380">
        <v>6</v>
      </c>
      <c r="AC380">
        <v>1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9</v>
      </c>
      <c r="AL380">
        <v>9</v>
      </c>
      <c r="AM380">
        <v>2</v>
      </c>
      <c r="AN380">
        <v>4</v>
      </c>
      <c r="AO380">
        <v>7</v>
      </c>
      <c r="AP380">
        <v>5</v>
      </c>
      <c r="AQ380">
        <v>17</v>
      </c>
      <c r="AR380">
        <v>15</v>
      </c>
      <c r="AS380">
        <v>41</v>
      </c>
      <c r="AT380">
        <v>59</v>
      </c>
      <c r="AU380">
        <v>0.92</v>
      </c>
      <c r="AV380">
        <v>1.1299999999999999</v>
      </c>
      <c r="AW380">
        <v>2</v>
      </c>
      <c r="AX380">
        <v>100</v>
      </c>
      <c r="AY380">
        <v>100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100</v>
      </c>
      <c r="BF380">
        <v>100</v>
      </c>
      <c r="BG380">
        <v>7</v>
      </c>
      <c r="BH380">
        <v>7</v>
      </c>
      <c r="BI380">
        <v>3.15</v>
      </c>
      <c r="BJ380">
        <v>3.15</v>
      </c>
      <c r="BK380">
        <v>2.2999999999999998</v>
      </c>
      <c r="BL380">
        <f>(1/Table1[[#This Row],[odds_ft_home_team_win]]+1/Table1[[#This Row],[odds_ft_draw]]+1/Table1[[#This Row],[odds_ft_away_team_win]]-1)/3</f>
        <v>2.3234414538762405E-2</v>
      </c>
      <c r="BM380">
        <v>1.43</v>
      </c>
      <c r="BN380">
        <v>2.2999999999999998</v>
      </c>
      <c r="BO380">
        <v>4.4000000000000004</v>
      </c>
      <c r="BP380">
        <v>8.75</v>
      </c>
      <c r="BQ380">
        <v>2</v>
      </c>
      <c r="BR380">
        <v>1.77</v>
      </c>
      <c r="BS380" t="s">
        <v>124</v>
      </c>
      <c r="BT380">
        <f>VLOOKUP(Table1[[#This Row],[Reference]],metron,8,FALSE)</f>
        <v>1.2142445227270171</v>
      </c>
      <c r="BU380">
        <f>VLOOKUP(Table1[[#This Row],[Reference]],metron,9,FALSE)</f>
        <v>1.4993969533036628</v>
      </c>
      <c r="BV380">
        <f>VLOOKUP(Table1[[#This Row],[Reference]],metron,10,FALSE)</f>
        <v>2.5726407816919519</v>
      </c>
      <c r="BW380">
        <f>VLOOKUP(Table1[[#This Row],[Reference]],metron,11,FALSE)</f>
        <v>1.1805091283106199</v>
      </c>
      <c r="BX380">
        <f>VLOOKUP(Table1[[#This Row],[Reference]],metron,12,FALSE)</f>
        <v>1.3921316533813319</v>
      </c>
      <c r="BY380" s="6">
        <f>VLOOKUP(Table1[[#This Row],[Reference]],metron,13,FALSE)</f>
        <v>0.5209673269873939</v>
      </c>
      <c r="BZ380" s="6">
        <f>VLOOKUP(Table1[[#This Row],[Reference]],metron,14,FALSE)</f>
        <v>0.61847182917417032</v>
      </c>
      <c r="CA380" s="6">
        <f>VLOOKUP(Table1[[#This Row],[Reference]],metron,15,FALSE)</f>
        <v>11.149200710479571</v>
      </c>
      <c r="CB380" s="6">
        <f>VLOOKUP(Table1[[#This Row],[Reference]],metron,16,FALSE)</f>
        <v>11.444049733570161</v>
      </c>
      <c r="CC380" s="6">
        <f>VLOOKUP(Table1[[#This Row],[Reference]],metron,17,FALSE)</f>
        <v>4.5257270693512304</v>
      </c>
      <c r="CD380" s="6">
        <f>VLOOKUP(Table1[[#This Row],[Reference]],metron,18,FALSE)</f>
        <v>4.8465324384787474</v>
      </c>
      <c r="CE380" s="6">
        <f>VLOOKUP(Table1[[#This Row],[Reference]],metron,19,FALSE)</f>
        <v>6.6234736411283404</v>
      </c>
      <c r="CF380" s="6">
        <f>VLOOKUP(Table1[[#This Row],[Reference]],metron,20,FALSE)</f>
        <v>6.5975172950914134</v>
      </c>
      <c r="CG380" s="6">
        <f>VLOOKUP(Table1[[#This Row],[Reference]],metron,21,FALSE)</f>
        <v>12.90081154192967</v>
      </c>
      <c r="CH380" s="6">
        <f>VLOOKUP(Table1[[#This Row],[Reference]],metron,22,FALSE)</f>
        <v>13.00360685302074</v>
      </c>
      <c r="CI380" s="6">
        <f>VLOOKUP(Table1[[#This Row],[Reference]],metron,23,FALSE)</f>
        <v>1.7502145922746779</v>
      </c>
      <c r="CJ380" s="6">
        <f>VLOOKUP(Table1[[#This Row],[Reference]],metron,24,FALSE)</f>
        <v>1.831402831402831</v>
      </c>
      <c r="CK380" s="6">
        <f>VLOOKUP(Table1[[#This Row],[Reference]],metron,25,FALSE)</f>
        <v>9.6525096525096526E-2</v>
      </c>
      <c r="CL380" s="6">
        <f>VLOOKUP(Table1[[#This Row],[Reference]],metron,26,FALSE)</f>
        <v>0.1244101244101244</v>
      </c>
    </row>
    <row r="381" spans="1:90" hidden="1" x14ac:dyDescent="0.45">
      <c r="A381" t="s">
        <v>1346</v>
      </c>
      <c r="B381">
        <v>1597528800</v>
      </c>
      <c r="C381" s="23" t="s">
        <v>756</v>
      </c>
      <c r="D381" t="s">
        <v>65</v>
      </c>
      <c r="E381" t="s">
        <v>66</v>
      </c>
      <c r="F381" t="s">
        <v>90</v>
      </c>
      <c r="G381" t="s">
        <v>91</v>
      </c>
      <c r="H381" t="s">
        <v>158</v>
      </c>
      <c r="I381">
        <f>MROUND(Table1[[#This Row],[ProbH]]*100,2)/100</f>
        <v>0.5</v>
      </c>
      <c r="J381">
        <f>1/Table1[[#This Row],[odds_ft_home_team_win]]-Table1[[#This Row],[Margin]]</f>
        <v>0.49775417068302813</v>
      </c>
      <c r="K381">
        <f>1/Table1[[#This Row],[odds_ft_draw]]-Table1[[#This Row],[Margin]]</f>
        <v>0.2683116083177679</v>
      </c>
      <c r="L381">
        <f>1/Table1[[#This Row],[odds_ft_away_team_win]]-Table1[[#This Row],[Margin]]</f>
        <v>0.23393422099920411</v>
      </c>
      <c r="M381">
        <v>5</v>
      </c>
      <c r="N381">
        <v>0.5</v>
      </c>
      <c r="O381">
        <v>1.5</v>
      </c>
      <c r="P381">
        <v>1.6</v>
      </c>
      <c r="Q381">
        <v>0.35</v>
      </c>
      <c r="R381" s="9" t="str" cm="1">
        <f t="array" ref="R3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1">
        <v>2</v>
      </c>
      <c r="T381">
        <v>1</v>
      </c>
      <c r="U381">
        <v>3</v>
      </c>
      <c r="V381">
        <v>0</v>
      </c>
      <c r="W381">
        <v>0</v>
      </c>
      <c r="X381">
        <v>0</v>
      </c>
      <c r="Y381" t="s">
        <v>757</v>
      </c>
      <c r="Z381">
        <v>69</v>
      </c>
      <c r="AA381">
        <v>7</v>
      </c>
      <c r="AB381">
        <v>4</v>
      </c>
      <c r="AC381">
        <v>1</v>
      </c>
      <c r="AD381">
        <v>0</v>
      </c>
      <c r="AE381">
        <v>4</v>
      </c>
      <c r="AF381">
        <v>1</v>
      </c>
      <c r="AG381">
        <v>1</v>
      </c>
      <c r="AH381">
        <v>0</v>
      </c>
      <c r="AI381">
        <v>2</v>
      </c>
      <c r="AJ381">
        <v>3</v>
      </c>
      <c r="AK381">
        <v>16</v>
      </c>
      <c r="AL381">
        <v>12</v>
      </c>
      <c r="AM381">
        <v>7</v>
      </c>
      <c r="AN381">
        <v>4</v>
      </c>
      <c r="AO381">
        <v>9</v>
      </c>
      <c r="AP381">
        <v>8</v>
      </c>
      <c r="AQ381">
        <v>13</v>
      </c>
      <c r="AR381">
        <v>16</v>
      </c>
      <c r="AS381">
        <v>58</v>
      </c>
      <c r="AT381">
        <v>42</v>
      </c>
      <c r="AU381">
        <v>1.68</v>
      </c>
      <c r="AV381">
        <v>1.27</v>
      </c>
      <c r="AW381">
        <v>2</v>
      </c>
      <c r="AX381">
        <v>25</v>
      </c>
      <c r="AY381">
        <v>50</v>
      </c>
      <c r="AZ381">
        <v>25</v>
      </c>
      <c r="BA381">
        <v>25</v>
      </c>
      <c r="BB381">
        <v>25</v>
      </c>
      <c r="BC381">
        <v>25</v>
      </c>
      <c r="BD381">
        <v>50</v>
      </c>
      <c r="BE381">
        <v>25</v>
      </c>
      <c r="BF381">
        <v>75</v>
      </c>
      <c r="BG381">
        <v>8.5</v>
      </c>
      <c r="BH381">
        <v>6.5</v>
      </c>
      <c r="BI381">
        <v>1.91</v>
      </c>
      <c r="BJ381">
        <v>3.4</v>
      </c>
      <c r="BK381">
        <v>3.85</v>
      </c>
      <c r="BL381">
        <f>(1/Table1[[#This Row],[odds_ft_home_team_win]]+1/Table1[[#This Row],[odds_ft_draw]]+1/Table1[[#This Row],[odds_ft_away_team_win]]-1)/3</f>
        <v>2.580603874105562E-2</v>
      </c>
      <c r="BM381">
        <v>1.35</v>
      </c>
      <c r="BN381">
        <v>2.1</v>
      </c>
      <c r="BO381">
        <v>3.8</v>
      </c>
      <c r="BP381">
        <v>7.25</v>
      </c>
      <c r="BQ381">
        <v>1.87</v>
      </c>
      <c r="BR381">
        <v>1.83</v>
      </c>
      <c r="BS381" t="s">
        <v>94</v>
      </c>
      <c r="BT381">
        <f>VLOOKUP(Table1[[#This Row],[Reference]],metron,8,FALSE)</f>
        <v>1.8001937313313046</v>
      </c>
      <c r="BU381">
        <f>VLOOKUP(Table1[[#This Row],[Reference]],metron,9,FALSE)</f>
        <v>0.9268512077832276</v>
      </c>
      <c r="BV381">
        <f>VLOOKUP(Table1[[#This Row],[Reference]],metron,10,FALSE)</f>
        <v>2.5202079886551649</v>
      </c>
      <c r="BW381">
        <f>VLOOKUP(Table1[[#This Row],[Reference]],metron,11,FALSE)</f>
        <v>1.5342708579532029</v>
      </c>
      <c r="BX381">
        <f>VLOOKUP(Table1[[#This Row],[Reference]],metron,12,FALSE)</f>
        <v>0.98593713070196176</v>
      </c>
      <c r="BY381" s="6">
        <f>VLOOKUP(Table1[[#This Row],[Reference]],metron,13,FALSE)</f>
        <v>0.67513590167809023</v>
      </c>
      <c r="BZ381" s="6">
        <f>VLOOKUP(Table1[[#This Row],[Reference]],metron,14,FALSE)</f>
        <v>0.4286727337194185</v>
      </c>
      <c r="CA381" s="6">
        <f>VLOOKUP(Table1[[#This Row],[Reference]],metron,15,FALSE)</f>
        <v>12.98669114272602</v>
      </c>
      <c r="CB381" s="6">
        <f>VLOOKUP(Table1[[#This Row],[Reference]],metron,16,FALSE)</f>
        <v>9.4167049105094076</v>
      </c>
      <c r="CC381" s="6">
        <f>VLOOKUP(Table1[[#This Row],[Reference]],metron,17,FALSE)</f>
        <v>5.6645716945996272</v>
      </c>
      <c r="CD381" s="6">
        <f>VLOOKUP(Table1[[#This Row],[Reference]],metron,18,FALSE)</f>
        <v>4.0242085661080074</v>
      </c>
      <c r="CE381" s="6">
        <f>VLOOKUP(Table1[[#This Row],[Reference]],metron,19,FALSE)</f>
        <v>7.3221194481263927</v>
      </c>
      <c r="CF381" s="6">
        <f>VLOOKUP(Table1[[#This Row],[Reference]],metron,20,FALSE)</f>
        <v>5.3924963444014002</v>
      </c>
      <c r="CG381" s="6">
        <f>VLOOKUP(Table1[[#This Row],[Reference]],metron,21,FALSE)</f>
        <v>12.508162313432839</v>
      </c>
      <c r="CH381" s="6">
        <f>VLOOKUP(Table1[[#This Row],[Reference]],metron,22,FALSE)</f>
        <v>13.36963619402985</v>
      </c>
      <c r="CI381" s="6">
        <f>VLOOKUP(Table1[[#This Row],[Reference]],metron,23,FALSE)</f>
        <v>1.4438014689517029</v>
      </c>
      <c r="CJ381" s="6">
        <f>VLOOKUP(Table1[[#This Row],[Reference]],metron,24,FALSE)</f>
        <v>1.9410193634542621</v>
      </c>
      <c r="CK381" s="6">
        <f>VLOOKUP(Table1[[#This Row],[Reference]],metron,25,FALSE)</f>
        <v>8.4130870242599604E-2</v>
      </c>
      <c r="CL381" s="6">
        <f>VLOOKUP(Table1[[#This Row],[Reference]],metron,26,FALSE)</f>
        <v>0.1275317160026708</v>
      </c>
    </row>
    <row r="382" spans="1:90" hidden="1" x14ac:dyDescent="0.45">
      <c r="A382" t="s">
        <v>1346</v>
      </c>
      <c r="B382">
        <v>1597536000</v>
      </c>
      <c r="C382" s="23" t="s">
        <v>758</v>
      </c>
      <c r="D382" t="s">
        <v>65</v>
      </c>
      <c r="E382" t="s">
        <v>66</v>
      </c>
      <c r="F382" t="s">
        <v>112</v>
      </c>
      <c r="G382" t="s">
        <v>78</v>
      </c>
      <c r="H382" t="s">
        <v>74</v>
      </c>
      <c r="I382">
        <f>MROUND(Table1[[#This Row],[ProbH]]*100,2)/100</f>
        <v>0.7</v>
      </c>
      <c r="J382">
        <f>1/Table1[[#This Row],[odds_ft_home_team_win]]-Table1[[#This Row],[Margin]]</f>
        <v>0.70286651143726731</v>
      </c>
      <c r="K382">
        <f>1/Table1[[#This Row],[odds_ft_draw]]-Table1[[#This Row],[Margin]]</f>
        <v>0.19516172636021942</v>
      </c>
      <c r="L382">
        <f>1/Table1[[#This Row],[odds_ft_away_team_win]]-Table1[[#This Row],[Margin]]</f>
        <v>0.10197176220251332</v>
      </c>
      <c r="M382">
        <v>5</v>
      </c>
      <c r="N382">
        <v>3</v>
      </c>
      <c r="O382">
        <v>1</v>
      </c>
      <c r="P382">
        <v>2.1800000000000002</v>
      </c>
      <c r="Q382">
        <v>0.59</v>
      </c>
      <c r="R382" t="str" cm="1">
        <f t="array" ref="R3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2">
        <v>3</v>
      </c>
      <c r="T382">
        <v>2</v>
      </c>
      <c r="U382">
        <v>5</v>
      </c>
      <c r="V382">
        <v>2</v>
      </c>
      <c r="W382">
        <v>1</v>
      </c>
      <c r="X382">
        <v>1</v>
      </c>
      <c r="Y382" t="s">
        <v>759</v>
      </c>
      <c r="Z382" t="s">
        <v>760</v>
      </c>
      <c r="AA382">
        <v>6</v>
      </c>
      <c r="AB382">
        <v>3</v>
      </c>
      <c r="AC382">
        <v>3</v>
      </c>
      <c r="AD382">
        <v>0</v>
      </c>
      <c r="AE382">
        <v>3</v>
      </c>
      <c r="AF382">
        <v>0</v>
      </c>
      <c r="AG382">
        <v>0</v>
      </c>
      <c r="AH382">
        <v>3</v>
      </c>
      <c r="AI382">
        <v>1</v>
      </c>
      <c r="AJ382">
        <v>2</v>
      </c>
      <c r="AK382">
        <v>19</v>
      </c>
      <c r="AL382">
        <v>11</v>
      </c>
      <c r="AM382">
        <v>6</v>
      </c>
      <c r="AN382">
        <v>5</v>
      </c>
      <c r="AO382">
        <v>13</v>
      </c>
      <c r="AP382">
        <v>6</v>
      </c>
      <c r="AQ382">
        <v>27</v>
      </c>
      <c r="AR382">
        <v>14</v>
      </c>
      <c r="AS382">
        <v>58</v>
      </c>
      <c r="AT382">
        <v>42</v>
      </c>
      <c r="AU382">
        <v>2</v>
      </c>
      <c r="AV382">
        <v>1.32</v>
      </c>
      <c r="AW382">
        <v>2</v>
      </c>
      <c r="AX382">
        <v>50</v>
      </c>
      <c r="AY382">
        <v>100</v>
      </c>
      <c r="AZ382">
        <v>0</v>
      </c>
      <c r="BA382">
        <v>0</v>
      </c>
      <c r="BB382">
        <v>0</v>
      </c>
      <c r="BC382">
        <v>0</v>
      </c>
      <c r="BD382">
        <v>75</v>
      </c>
      <c r="BE382">
        <v>25</v>
      </c>
      <c r="BF382">
        <v>100</v>
      </c>
      <c r="BG382">
        <v>13</v>
      </c>
      <c r="BH382">
        <v>5</v>
      </c>
      <c r="BI382">
        <v>1.37</v>
      </c>
      <c r="BJ382">
        <v>4.5</v>
      </c>
      <c r="BK382">
        <v>7.75</v>
      </c>
      <c r="BL382">
        <f>(1/Table1[[#This Row],[odds_ft_home_team_win]]+1/Table1[[#This Row],[odds_ft_draw]]+1/Table1[[#This Row],[odds_ft_away_team_win]]-1)/3</f>
        <v>2.7060495862002803E-2</v>
      </c>
      <c r="BM382">
        <v>1.28</v>
      </c>
      <c r="BN382">
        <v>1.91</v>
      </c>
      <c r="BO382">
        <v>3.25</v>
      </c>
      <c r="BP382">
        <v>6.25</v>
      </c>
      <c r="BQ382">
        <v>2.15</v>
      </c>
      <c r="BR382">
        <v>1.65</v>
      </c>
      <c r="BS382" t="s">
        <v>116</v>
      </c>
      <c r="BT382">
        <f>VLOOKUP(Table1[[#This Row],[Reference]],metron,8,FALSE)</f>
        <v>2.3288743096422602</v>
      </c>
      <c r="BU382">
        <f>VLOOKUP(Table1[[#This Row],[Reference]],metron,9,FALSE)</f>
        <v>0.47695922076506025</v>
      </c>
      <c r="BV382">
        <f>VLOOKUP(Table1[[#This Row],[Reference]],metron,10,FALSE)</f>
        <v>2.9925826028320968</v>
      </c>
      <c r="BW382">
        <f>VLOOKUP(Table1[[#This Row],[Reference]],metron,11,FALSE)</f>
        <v>2.224544841537424</v>
      </c>
      <c r="BX382">
        <f>VLOOKUP(Table1[[#This Row],[Reference]],metron,12,FALSE)</f>
        <v>0.76803776129467294</v>
      </c>
      <c r="BY382" s="6">
        <f>VLOOKUP(Table1[[#This Row],[Reference]],metron,13,FALSE)</f>
        <v>0.96561024949426832</v>
      </c>
      <c r="BZ382" s="6">
        <f>VLOOKUP(Table1[[#This Row],[Reference]],metron,14,FALSE)</f>
        <v>0.34187457855697911</v>
      </c>
      <c r="CA382" s="6">
        <f>VLOOKUP(Table1[[#This Row],[Reference]],metron,15,FALSE)</f>
        <v>16.100000000000001</v>
      </c>
      <c r="CB382" s="6">
        <f>VLOOKUP(Table1[[#This Row],[Reference]],metron,16,FALSE)</f>
        <v>8.3493506493506491</v>
      </c>
      <c r="CC382" s="6">
        <f>VLOOKUP(Table1[[#This Row],[Reference]],metron,17,FALSE)</f>
        <v>7.2678100263852254</v>
      </c>
      <c r="CD382" s="6">
        <f>VLOOKUP(Table1[[#This Row],[Reference]],metron,18,FALSE)</f>
        <v>3.2770448548812658</v>
      </c>
      <c r="CE382" s="6">
        <f>VLOOKUP(Table1[[#This Row],[Reference]],metron,19,FALSE)</f>
        <v>8.832189973614776</v>
      </c>
      <c r="CF382" s="6">
        <f>VLOOKUP(Table1[[#This Row],[Reference]],metron,20,FALSE)</f>
        <v>5.0723057944693828</v>
      </c>
      <c r="CG382" s="6">
        <f>VLOOKUP(Table1[[#This Row],[Reference]],metron,21,FALSE)</f>
        <v>11.95872170439414</v>
      </c>
      <c r="CH382" s="6">
        <f>VLOOKUP(Table1[[#This Row],[Reference]],metron,22,FALSE)</f>
        <v>13.450066577896139</v>
      </c>
      <c r="CI382" s="6">
        <f>VLOOKUP(Table1[[#This Row],[Reference]],metron,23,FALSE)</f>
        <v>1.301526717557252</v>
      </c>
      <c r="CJ382" s="6">
        <f>VLOOKUP(Table1[[#This Row],[Reference]],metron,24,FALSE)</f>
        <v>1.9796437659033079</v>
      </c>
      <c r="CK382" s="6">
        <f>VLOOKUP(Table1[[#This Row],[Reference]],metron,25,FALSE)</f>
        <v>5.3435114503816793E-2</v>
      </c>
      <c r="CL382" s="6">
        <f>VLOOKUP(Table1[[#This Row],[Reference]],metron,26,FALSE)</f>
        <v>0.1183206106870229</v>
      </c>
    </row>
    <row r="383" spans="1:90" hidden="1" x14ac:dyDescent="0.45">
      <c r="A383" t="s">
        <v>1346</v>
      </c>
      <c r="B383">
        <v>1597543200</v>
      </c>
      <c r="C383" s="23" t="s">
        <v>761</v>
      </c>
      <c r="D383" t="s">
        <v>65</v>
      </c>
      <c r="E383" t="s">
        <v>66</v>
      </c>
      <c r="F383" t="s">
        <v>113</v>
      </c>
      <c r="G383" t="s">
        <v>96</v>
      </c>
      <c r="H383" t="s">
        <v>86</v>
      </c>
      <c r="I383">
        <f>MROUND(Table1[[#This Row],[ProbH]]*100,2)/100</f>
        <v>0.42</v>
      </c>
      <c r="J383">
        <f>1/Table1[[#This Row],[odds_ft_home_team_win]]-Table1[[#This Row],[Margin]]</f>
        <v>0.42643667123747292</v>
      </c>
      <c r="K383">
        <f>1/Table1[[#This Row],[odds_ft_draw]]-Table1[[#This Row],[Margin]]</f>
        <v>0.271844208952703</v>
      </c>
      <c r="L383">
        <f>1/Table1[[#This Row],[odds_ft_away_team_win]]-Table1[[#This Row],[Margin]]</f>
        <v>0.30171911980982385</v>
      </c>
      <c r="M383">
        <v>5</v>
      </c>
      <c r="N383">
        <v>1.5</v>
      </c>
      <c r="O383">
        <v>3</v>
      </c>
      <c r="P383">
        <v>1.53</v>
      </c>
      <c r="Q383">
        <v>1.25</v>
      </c>
      <c r="R383" t="str" cm="1">
        <f t="array" ref="R3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AA383">
        <v>1</v>
      </c>
      <c r="AB383">
        <v>8</v>
      </c>
      <c r="AC383">
        <v>2</v>
      </c>
      <c r="AD383">
        <v>0</v>
      </c>
      <c r="AE383">
        <v>4</v>
      </c>
      <c r="AF383">
        <v>0</v>
      </c>
      <c r="AG383">
        <v>1</v>
      </c>
      <c r="AH383">
        <v>1</v>
      </c>
      <c r="AI383">
        <v>0</v>
      </c>
      <c r="AJ383">
        <v>4</v>
      </c>
      <c r="AK383">
        <v>6</v>
      </c>
      <c r="AL383">
        <v>10</v>
      </c>
      <c r="AM383">
        <v>3</v>
      </c>
      <c r="AN383">
        <v>0</v>
      </c>
      <c r="AO383">
        <v>3</v>
      </c>
      <c r="AP383">
        <v>10</v>
      </c>
      <c r="AQ383">
        <v>10</v>
      </c>
      <c r="AR383">
        <v>17</v>
      </c>
      <c r="AS383">
        <v>52</v>
      </c>
      <c r="AT383">
        <v>48</v>
      </c>
      <c r="AU383">
        <v>0.82</v>
      </c>
      <c r="AV383">
        <v>0.85</v>
      </c>
      <c r="AW383">
        <v>3.5</v>
      </c>
      <c r="AX383">
        <v>100</v>
      </c>
      <c r="AY383">
        <v>100</v>
      </c>
      <c r="AZ383">
        <v>100</v>
      </c>
      <c r="BA383">
        <v>25</v>
      </c>
      <c r="BB383">
        <v>25</v>
      </c>
      <c r="BC383">
        <v>50</v>
      </c>
      <c r="BD383">
        <v>100</v>
      </c>
      <c r="BE383">
        <v>75</v>
      </c>
      <c r="BF383">
        <v>75</v>
      </c>
      <c r="BG383">
        <v>7</v>
      </c>
      <c r="BH383">
        <v>4.5</v>
      </c>
      <c r="BI383">
        <v>2.2200000000000002</v>
      </c>
      <c r="BJ383">
        <v>3.38</v>
      </c>
      <c r="BK383">
        <v>3.07</v>
      </c>
      <c r="BL383">
        <f>(1/Table1[[#This Row],[odds_ft_home_team_win]]+1/Table1[[#This Row],[odds_ft_draw]]+1/Table1[[#This Row],[odds_ft_away_team_win]]-1)/3</f>
        <v>2.4013779212977465E-2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 t="s">
        <v>120</v>
      </c>
      <c r="BT383">
        <f>VLOOKUP(Table1[[#This Row],[Reference]],metron,8,FALSE)</f>
        <v>1.5780106027030405</v>
      </c>
      <c r="BU383">
        <f>VLOOKUP(Table1[[#This Row],[Reference]],metron,9,FALSE)</f>
        <v>1.1353025412447635</v>
      </c>
      <c r="BV383">
        <f>VLOOKUP(Table1[[#This Row],[Reference]],metron,10,FALSE)</f>
        <v>2.4884649511978703</v>
      </c>
      <c r="BW383">
        <f>VLOOKUP(Table1[[#This Row],[Reference]],metron,11,FALSE)</f>
        <v>1.396960958296362</v>
      </c>
      <c r="BX383">
        <f>VLOOKUP(Table1[[#This Row],[Reference]],metron,12,FALSE)</f>
        <v>1.091503992901508</v>
      </c>
      <c r="BY383" s="6">
        <f>VLOOKUP(Table1[[#This Row],[Reference]],metron,13,FALSE)</f>
        <v>0.60765391014975045</v>
      </c>
      <c r="BZ383" s="6">
        <f>VLOOKUP(Table1[[#This Row],[Reference]],metron,14,FALSE)</f>
        <v>0.47276760953965608</v>
      </c>
      <c r="CA383" s="6">
        <f>VLOOKUP(Table1[[#This Row],[Reference]],metron,15,FALSE)</f>
        <v>12.29504785684561</v>
      </c>
      <c r="CB383" s="6">
        <f>VLOOKUP(Table1[[#This Row],[Reference]],metron,16,FALSE)</f>
        <v>10.047232625884311</v>
      </c>
      <c r="CC383" s="6">
        <f>VLOOKUP(Table1[[#This Row],[Reference]],metron,17,FALSE)</f>
        <v>5.2917192097519967</v>
      </c>
      <c r="CD383" s="6">
        <f>VLOOKUP(Table1[[#This Row],[Reference]],metron,18,FALSE)</f>
        <v>4.2580916351408158</v>
      </c>
      <c r="CE383" s="6">
        <f>VLOOKUP(Table1[[#This Row],[Reference]],metron,19,FALSE)</f>
        <v>7.0033286470936131</v>
      </c>
      <c r="CF383" s="6">
        <f>VLOOKUP(Table1[[#This Row],[Reference]],metron,20,FALSE)</f>
        <v>5.789140990743495</v>
      </c>
      <c r="CG383" s="6">
        <f>VLOOKUP(Table1[[#This Row],[Reference]],metron,21,FALSE)</f>
        <v>12.77041895895049</v>
      </c>
      <c r="CH383" s="6">
        <f>VLOOKUP(Table1[[#This Row],[Reference]],metron,22,FALSE)</f>
        <v>13.411129919593741</v>
      </c>
      <c r="CI383" s="6">
        <f>VLOOKUP(Table1[[#This Row],[Reference]],metron,23,FALSE)</f>
        <v>1.556141062018646</v>
      </c>
      <c r="CJ383" s="6">
        <f>VLOOKUP(Table1[[#This Row],[Reference]],metron,24,FALSE)</f>
        <v>1.9114308877178761</v>
      </c>
      <c r="CK383" s="6">
        <f>VLOOKUP(Table1[[#This Row],[Reference]],metron,25,FALSE)</f>
        <v>8.4920956627482766E-2</v>
      </c>
      <c r="CL383" s="6">
        <f>VLOOKUP(Table1[[#This Row],[Reference]],metron,26,FALSE)</f>
        <v>0.1323469801378192</v>
      </c>
    </row>
    <row r="384" spans="1:90" hidden="1" x14ac:dyDescent="0.45">
      <c r="A384" t="s">
        <v>1346</v>
      </c>
      <c r="B384">
        <v>1597543560</v>
      </c>
      <c r="C384" s="23" t="s">
        <v>762</v>
      </c>
      <c r="D384" t="s">
        <v>65</v>
      </c>
      <c r="E384" t="s">
        <v>66</v>
      </c>
      <c r="F384" t="s">
        <v>101</v>
      </c>
      <c r="G384" t="s">
        <v>72</v>
      </c>
      <c r="H384" t="s">
        <v>92</v>
      </c>
      <c r="I384">
        <f>MROUND(Table1[[#This Row],[ProbH]]*100,2)/100</f>
        <v>0.6</v>
      </c>
      <c r="J384">
        <f>1/Table1[[#This Row],[odds_ft_home_team_win]]-Table1[[#This Row],[Margin]]</f>
        <v>0.59721700371763686</v>
      </c>
      <c r="K384">
        <f>1/Table1[[#This Row],[odds_ft_draw]]-Table1[[#This Row],[Margin]]</f>
        <v>0.23250924770553311</v>
      </c>
      <c r="L384">
        <f>1/Table1[[#This Row],[odds_ft_away_team_win]]-Table1[[#This Row],[Margin]]</f>
        <v>0.17027374857683006</v>
      </c>
      <c r="M384">
        <v>5</v>
      </c>
      <c r="N384">
        <v>2</v>
      </c>
      <c r="O384">
        <v>0</v>
      </c>
      <c r="P384">
        <v>1.79</v>
      </c>
      <c r="Q384">
        <v>0.72</v>
      </c>
      <c r="R384" t="str" cm="1">
        <f t="array" ref="R3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4">
        <v>1</v>
      </c>
      <c r="T384">
        <v>1</v>
      </c>
      <c r="U384">
        <v>2</v>
      </c>
      <c r="V384">
        <v>0</v>
      </c>
      <c r="W384">
        <v>0</v>
      </c>
      <c r="X384">
        <v>0</v>
      </c>
      <c r="Y384">
        <v>59</v>
      </c>
      <c r="Z384">
        <v>76</v>
      </c>
      <c r="AA384">
        <v>6</v>
      </c>
      <c r="AB384">
        <v>4</v>
      </c>
      <c r="AC384">
        <v>2</v>
      </c>
      <c r="AD384">
        <v>0</v>
      </c>
      <c r="AE384">
        <v>2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20</v>
      </c>
      <c r="AL384">
        <v>14</v>
      </c>
      <c r="AM384">
        <v>11</v>
      </c>
      <c r="AN384">
        <v>5</v>
      </c>
      <c r="AO384">
        <v>9</v>
      </c>
      <c r="AP384">
        <v>9</v>
      </c>
      <c r="AQ384">
        <v>18</v>
      </c>
      <c r="AR384">
        <v>12</v>
      </c>
      <c r="AS384">
        <v>56</v>
      </c>
      <c r="AT384">
        <v>44</v>
      </c>
      <c r="AU384">
        <v>2.52</v>
      </c>
      <c r="AV384">
        <v>1.63</v>
      </c>
      <c r="AW384">
        <v>2.5</v>
      </c>
      <c r="AX384">
        <v>50</v>
      </c>
      <c r="AY384">
        <v>50</v>
      </c>
      <c r="AZ384">
        <v>50</v>
      </c>
      <c r="BA384">
        <v>50</v>
      </c>
      <c r="BB384">
        <v>0</v>
      </c>
      <c r="BC384">
        <v>50</v>
      </c>
      <c r="BD384">
        <v>50</v>
      </c>
      <c r="BE384">
        <v>50</v>
      </c>
      <c r="BF384">
        <v>100</v>
      </c>
      <c r="BG384">
        <v>9.5</v>
      </c>
      <c r="BH384">
        <v>6</v>
      </c>
      <c r="BI384">
        <v>1.61</v>
      </c>
      <c r="BJ384">
        <v>3.9</v>
      </c>
      <c r="BK384">
        <v>5.15</v>
      </c>
      <c r="BL384">
        <f>(1/Table1[[#This Row],[odds_ft_home_team_win]]+1/Table1[[#This Row],[odds_ft_draw]]+1/Table1[[#This Row],[odds_ft_away_team_win]]-1)/3</f>
        <v>2.3901008704723337E-2</v>
      </c>
      <c r="BM384">
        <v>1.23</v>
      </c>
      <c r="BN384">
        <v>1.74</v>
      </c>
      <c r="BO384">
        <v>2.9</v>
      </c>
      <c r="BP384">
        <v>5.35</v>
      </c>
      <c r="BQ384">
        <v>1.74</v>
      </c>
      <c r="BR384">
        <v>2</v>
      </c>
      <c r="BS384" t="s">
        <v>713</v>
      </c>
      <c r="BT384">
        <f>VLOOKUP(Table1[[#This Row],[Reference]],metron,8,FALSE)</f>
        <v>2.0749792289385525</v>
      </c>
      <c r="BU384">
        <f>VLOOKUP(Table1[[#This Row],[Reference]],metron,9,FALSE)</f>
        <v>0.68220664089703831</v>
      </c>
      <c r="BV384">
        <f>VLOOKUP(Table1[[#This Row],[Reference]],metron,10,FALSE)</f>
        <v>2.7310090702947849</v>
      </c>
      <c r="BW384">
        <f>VLOOKUP(Table1[[#This Row],[Reference]],metron,11,FALSE)</f>
        <v>1.841836734693878</v>
      </c>
      <c r="BX384">
        <f>VLOOKUP(Table1[[#This Row],[Reference]],metron,12,FALSE)</f>
        <v>0.88917233560090703</v>
      </c>
      <c r="BY384" s="6">
        <f>VLOOKUP(Table1[[#This Row],[Reference]],metron,13,FALSE)</f>
        <v>0.804822695035461</v>
      </c>
      <c r="BZ384" s="6">
        <f>VLOOKUP(Table1[[#This Row],[Reference]],metron,14,FALSE)</f>
        <v>0.38099290780141842</v>
      </c>
      <c r="CA384" s="6">
        <f>VLOOKUP(Table1[[#This Row],[Reference]],metron,15,FALSE)</f>
        <v>14.25174825174825</v>
      </c>
      <c r="CB384" s="6">
        <f>VLOOKUP(Table1[[#This Row],[Reference]],metron,16,FALSE)</f>
        <v>8.8316683316683324</v>
      </c>
      <c r="CC384" s="6">
        <f>VLOOKUP(Table1[[#This Row],[Reference]],metron,17,FALSE)</f>
        <v>6.2901265822784813</v>
      </c>
      <c r="CD384" s="6">
        <f>VLOOKUP(Table1[[#This Row],[Reference]],metron,18,FALSE)</f>
        <v>3.6162025316455702</v>
      </c>
      <c r="CE384" s="6">
        <f>VLOOKUP(Table1[[#This Row],[Reference]],metron,19,FALSE)</f>
        <v>7.9616216694697686</v>
      </c>
      <c r="CF384" s="6">
        <f>VLOOKUP(Table1[[#This Row],[Reference]],metron,20,FALSE)</f>
        <v>5.2154658000227627</v>
      </c>
      <c r="CG384" s="6">
        <f>VLOOKUP(Table1[[#This Row],[Reference]],metron,21,FALSE)</f>
        <v>12.444895886236671</v>
      </c>
      <c r="CH384" s="6">
        <f>VLOOKUP(Table1[[#This Row],[Reference]],metron,22,FALSE)</f>
        <v>13.620619603859829</v>
      </c>
      <c r="CI384" s="6">
        <f>VLOOKUP(Table1[[#This Row],[Reference]],metron,23,FALSE)</f>
        <v>1.406084017382907</v>
      </c>
      <c r="CJ384" s="6">
        <f>VLOOKUP(Table1[[#This Row],[Reference]],metron,24,FALSE)</f>
        <v>2.070980202800579</v>
      </c>
      <c r="CK384" s="6">
        <f>VLOOKUP(Table1[[#This Row],[Reference]],metron,25,FALSE)</f>
        <v>6.1323032351521013E-2</v>
      </c>
      <c r="CL384" s="6">
        <f>VLOOKUP(Table1[[#This Row],[Reference]],metron,26,FALSE)</f>
        <v>0.1313375181071946</v>
      </c>
    </row>
    <row r="385" spans="1:90" hidden="1" x14ac:dyDescent="0.45">
      <c r="A385" t="s">
        <v>1346</v>
      </c>
      <c r="B385">
        <v>1597597200</v>
      </c>
      <c r="C385" s="23" t="s">
        <v>763</v>
      </c>
      <c r="D385" t="s">
        <v>65</v>
      </c>
      <c r="E385" t="s">
        <v>66</v>
      </c>
      <c r="F385" t="s">
        <v>79</v>
      </c>
      <c r="G385" t="s">
        <v>107</v>
      </c>
      <c r="H385" t="s">
        <v>80</v>
      </c>
      <c r="I385">
        <f>MROUND(Table1[[#This Row],[ProbH]]*100,2)/100</f>
        <v>0.26</v>
      </c>
      <c r="J385">
        <f>1/Table1[[#This Row],[odds_ft_home_team_win]]-Table1[[#This Row],[Margin]]</f>
        <v>0.2589726392543294</v>
      </c>
      <c r="K385">
        <f>1/Table1[[#This Row],[odds_ft_draw]]-Table1[[#This Row],[Margin]]</f>
        <v>0.25494849438511413</v>
      </c>
      <c r="L385">
        <f>1/Table1[[#This Row],[odds_ft_away_team_win]]-Table1[[#This Row],[Margin]]</f>
        <v>0.48607886636055658</v>
      </c>
      <c r="M385">
        <v>5</v>
      </c>
      <c r="N385">
        <v>3</v>
      </c>
      <c r="O385">
        <v>2</v>
      </c>
      <c r="P385">
        <v>2</v>
      </c>
      <c r="Q385">
        <v>1.47</v>
      </c>
      <c r="R385" t="str" cm="1">
        <f t="array" ref="R3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5">
        <v>3</v>
      </c>
      <c r="T385">
        <v>2</v>
      </c>
      <c r="U385">
        <v>5</v>
      </c>
      <c r="V385">
        <v>2</v>
      </c>
      <c r="W385">
        <v>1</v>
      </c>
      <c r="X385">
        <v>1</v>
      </c>
      <c r="Y385" t="s">
        <v>764</v>
      </c>
      <c r="Z385" t="s">
        <v>765</v>
      </c>
      <c r="AA385">
        <v>4</v>
      </c>
      <c r="AB385">
        <v>4</v>
      </c>
      <c r="AC385">
        <v>3</v>
      </c>
      <c r="AD385">
        <v>0</v>
      </c>
      <c r="AE385">
        <v>2</v>
      </c>
      <c r="AF385">
        <v>0</v>
      </c>
      <c r="AG385">
        <v>2</v>
      </c>
      <c r="AH385">
        <v>1</v>
      </c>
      <c r="AI385">
        <v>0</v>
      </c>
      <c r="AJ385">
        <v>2</v>
      </c>
      <c r="AK385">
        <v>11</v>
      </c>
      <c r="AL385">
        <v>16</v>
      </c>
      <c r="AM385">
        <v>5</v>
      </c>
      <c r="AN385">
        <v>6</v>
      </c>
      <c r="AO385">
        <v>6</v>
      </c>
      <c r="AP385">
        <v>10</v>
      </c>
      <c r="AQ385">
        <v>9</v>
      </c>
      <c r="AR385">
        <v>12</v>
      </c>
      <c r="AS385">
        <v>48</v>
      </c>
      <c r="AT385">
        <v>52</v>
      </c>
      <c r="AU385">
        <v>1.32</v>
      </c>
      <c r="AV385">
        <v>1.79</v>
      </c>
      <c r="AW385">
        <v>3.25</v>
      </c>
      <c r="AX385">
        <v>50</v>
      </c>
      <c r="AY385">
        <v>75</v>
      </c>
      <c r="AZ385">
        <v>75</v>
      </c>
      <c r="BA385">
        <v>50</v>
      </c>
      <c r="BB385">
        <v>50</v>
      </c>
      <c r="BC385">
        <v>75</v>
      </c>
      <c r="BD385">
        <v>75</v>
      </c>
      <c r="BE385">
        <v>50</v>
      </c>
      <c r="BF385">
        <v>75</v>
      </c>
      <c r="BG385">
        <v>11</v>
      </c>
      <c r="BH385">
        <v>6</v>
      </c>
      <c r="BI385">
        <v>3.5</v>
      </c>
      <c r="BJ385">
        <v>3.55</v>
      </c>
      <c r="BK385">
        <v>1.95</v>
      </c>
      <c r="BL385">
        <f>(1/Table1[[#This Row],[odds_ft_home_team_win]]+1/Table1[[#This Row],[odds_ft_draw]]+1/Table1[[#This Row],[odds_ft_away_team_win]]-1)/3</f>
        <v>2.6741646459956286E-2</v>
      </c>
      <c r="BM385">
        <v>1.22</v>
      </c>
      <c r="BN385">
        <v>1.73</v>
      </c>
      <c r="BO385">
        <v>2.75</v>
      </c>
      <c r="BP385">
        <v>5.5</v>
      </c>
      <c r="BQ385">
        <v>1.65</v>
      </c>
      <c r="BR385">
        <v>2.16</v>
      </c>
      <c r="BS385" t="s">
        <v>140</v>
      </c>
      <c r="BT385">
        <f>VLOOKUP(Table1[[#This Row],[Reference]],metron,8,FALSE)</f>
        <v>1.0905313574236399</v>
      </c>
      <c r="BU385">
        <f>VLOOKUP(Table1[[#This Row],[Reference]],metron,9,FALSE)</f>
        <v>1.6289415604939639</v>
      </c>
      <c r="BV385">
        <f>VLOOKUP(Table1[[#This Row],[Reference]],metron,10,FALSE)</f>
        <v>2.569449507838133</v>
      </c>
      <c r="BW385">
        <f>VLOOKUP(Table1[[#This Row],[Reference]],metron,11,FALSE)</f>
        <v>1.0936930368209989</v>
      </c>
      <c r="BX385">
        <f>VLOOKUP(Table1[[#This Row],[Reference]],metron,12,FALSE)</f>
        <v>1.475756471017134</v>
      </c>
      <c r="BY385" s="6">
        <f>VLOOKUP(Table1[[#This Row],[Reference]],metron,13,FALSE)</f>
        <v>0.50018228217280347</v>
      </c>
      <c r="BZ385" s="6">
        <f>VLOOKUP(Table1[[#This Row],[Reference]],metron,14,FALSE)</f>
        <v>0.65220561429092239</v>
      </c>
      <c r="CA385" s="6">
        <f>VLOOKUP(Table1[[#This Row],[Reference]],metron,15,FALSE)</f>
        <v>10.905576679340941</v>
      </c>
      <c r="CB385" s="6">
        <f>VLOOKUP(Table1[[#This Row],[Reference]],metron,16,FALSE)</f>
        <v>12.06463878326996</v>
      </c>
      <c r="CC385" s="6">
        <f>VLOOKUP(Table1[[#This Row],[Reference]],metron,17,FALSE)</f>
        <v>4.2920127795527154</v>
      </c>
      <c r="CD385" s="6">
        <f>VLOOKUP(Table1[[#This Row],[Reference]],metron,18,FALSE)</f>
        <v>5.0095846645367406</v>
      </c>
      <c r="CE385" s="6">
        <f>VLOOKUP(Table1[[#This Row],[Reference]],metron,19,FALSE)</f>
        <v>6.6135638997882253</v>
      </c>
      <c r="CF385" s="6">
        <f>VLOOKUP(Table1[[#This Row],[Reference]],metron,20,FALSE)</f>
        <v>7.055054118733219</v>
      </c>
      <c r="CG385" s="6">
        <f>VLOOKUP(Table1[[#This Row],[Reference]],metron,21,FALSE)</f>
        <v>12.94865211810013</v>
      </c>
      <c r="CH385" s="6">
        <f>VLOOKUP(Table1[[#This Row],[Reference]],metron,22,FALSE)</f>
        <v>13.189345314505781</v>
      </c>
      <c r="CI385" s="6">
        <f>VLOOKUP(Table1[[#This Row],[Reference]],metron,23,FALSE)</f>
        <v>1.771446078431373</v>
      </c>
      <c r="CJ385" s="6">
        <f>VLOOKUP(Table1[[#This Row],[Reference]],metron,24,FALSE)</f>
        <v>1.809436274509804</v>
      </c>
      <c r="CK385" s="6">
        <f>VLOOKUP(Table1[[#This Row],[Reference]],metron,25,FALSE)</f>
        <v>0.1060049019607843</v>
      </c>
      <c r="CL385" s="6">
        <f>VLOOKUP(Table1[[#This Row],[Reference]],metron,26,FALSE)</f>
        <v>9.6813725490196081E-2</v>
      </c>
    </row>
    <row r="386" spans="1:90" hidden="1" x14ac:dyDescent="0.45">
      <c r="A386" t="s">
        <v>1346</v>
      </c>
      <c r="B386">
        <v>1597622760</v>
      </c>
      <c r="C386" s="23" t="s">
        <v>766</v>
      </c>
      <c r="D386" t="s">
        <v>65</v>
      </c>
      <c r="E386" t="s">
        <v>66</v>
      </c>
      <c r="F386" t="s">
        <v>73</v>
      </c>
      <c r="G386" t="s">
        <v>97</v>
      </c>
      <c r="H386" t="s">
        <v>103</v>
      </c>
      <c r="I386">
        <f>MROUND(Table1[[#This Row],[ProbH]]*100,2)/100</f>
        <v>0.57999999999999996</v>
      </c>
      <c r="J386">
        <f>1/Table1[[#This Row],[odds_ft_home_team_win]]-Table1[[#This Row],[Margin]]</f>
        <v>0.57532403634955087</v>
      </c>
      <c r="K386">
        <f>1/Table1[[#This Row],[odds_ft_draw]]-Table1[[#This Row],[Margin]]</f>
        <v>0.22343522138688357</v>
      </c>
      <c r="L386">
        <f>1/Table1[[#This Row],[odds_ft_away_team_win]]-Table1[[#This Row],[Margin]]</f>
        <v>0.20124074226356548</v>
      </c>
      <c r="M386">
        <v>5</v>
      </c>
      <c r="N386">
        <v>3</v>
      </c>
      <c r="O386">
        <v>0.5</v>
      </c>
      <c r="P386">
        <v>2.09</v>
      </c>
      <c r="Q386">
        <v>1.06</v>
      </c>
      <c r="R386" t="str" cm="1">
        <f t="array" ref="R3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AA386">
        <v>6</v>
      </c>
      <c r="AB386">
        <v>2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2</v>
      </c>
      <c r="AK386">
        <v>18</v>
      </c>
      <c r="AL386">
        <v>9</v>
      </c>
      <c r="AM386">
        <v>3</v>
      </c>
      <c r="AN386">
        <v>5</v>
      </c>
      <c r="AO386">
        <v>15</v>
      </c>
      <c r="AP386">
        <v>4</v>
      </c>
      <c r="AQ386">
        <v>13</v>
      </c>
      <c r="AR386">
        <v>16</v>
      </c>
      <c r="AS386">
        <v>64</v>
      </c>
      <c r="AT386">
        <v>36</v>
      </c>
      <c r="AU386">
        <v>1.84</v>
      </c>
      <c r="AV386">
        <v>1.1299999999999999</v>
      </c>
      <c r="AW386">
        <v>2.5</v>
      </c>
      <c r="AX386">
        <v>50</v>
      </c>
      <c r="AY386">
        <v>100</v>
      </c>
      <c r="AZ386">
        <v>25</v>
      </c>
      <c r="BA386">
        <v>25</v>
      </c>
      <c r="BB386">
        <v>0</v>
      </c>
      <c r="BC386">
        <v>50</v>
      </c>
      <c r="BD386">
        <v>100</v>
      </c>
      <c r="BE386">
        <v>25</v>
      </c>
      <c r="BF386">
        <v>75</v>
      </c>
      <c r="BG386">
        <v>14.5</v>
      </c>
      <c r="BH386">
        <v>7.5</v>
      </c>
      <c r="BI386">
        <v>1.67</v>
      </c>
      <c r="BJ386">
        <v>4.05</v>
      </c>
      <c r="BK386">
        <v>4.45</v>
      </c>
      <c r="BL386">
        <f>(1/Table1[[#This Row],[odds_ft_home_team_win]]+1/Table1[[#This Row],[odds_ft_draw]]+1/Table1[[#This Row],[odds_ft_away_team_win]]-1)/3</f>
        <v>2.3478358860030024E-2</v>
      </c>
      <c r="BM386">
        <v>1.2</v>
      </c>
      <c r="BN386">
        <v>1.66</v>
      </c>
      <c r="BO386">
        <v>2.62</v>
      </c>
      <c r="BP386">
        <v>5</v>
      </c>
      <c r="BQ386">
        <v>1.65</v>
      </c>
      <c r="BR386">
        <v>2.15</v>
      </c>
      <c r="BS386" t="s">
        <v>142</v>
      </c>
      <c r="BT386">
        <f>VLOOKUP(Table1[[#This Row],[Reference]],metron,8,FALSE)</f>
        <v>2.0230889143600308</v>
      </c>
      <c r="BU386">
        <f>VLOOKUP(Table1[[#This Row],[Reference]],metron,9,FALSE)</f>
        <v>0.72731480520165426</v>
      </c>
      <c r="BV386">
        <f>VLOOKUP(Table1[[#This Row],[Reference]],metron,10,FALSE)</f>
        <v>2.6362999299229148</v>
      </c>
      <c r="BW386">
        <f>VLOOKUP(Table1[[#This Row],[Reference]],metron,11,FALSE)</f>
        <v>1.7619715019855171</v>
      </c>
      <c r="BX386">
        <f>VLOOKUP(Table1[[#This Row],[Reference]],metron,12,FALSE)</f>
        <v>0.87432842793739785</v>
      </c>
      <c r="BY386" s="6">
        <f>VLOOKUP(Table1[[#This Row],[Reference]],metron,13,FALSE)</f>
        <v>0.78411214953271025</v>
      </c>
      <c r="BZ386" s="6">
        <f>VLOOKUP(Table1[[#This Row],[Reference]],metron,14,FALSE)</f>
        <v>0.38060747663551397</v>
      </c>
      <c r="CA386" s="6">
        <f>VLOOKUP(Table1[[#This Row],[Reference]],metron,15,FALSE)</f>
        <v>14.215499378367181</v>
      </c>
      <c r="CB386" s="6">
        <f>VLOOKUP(Table1[[#This Row],[Reference]],metron,16,FALSE)</f>
        <v>8.9523612261806136</v>
      </c>
      <c r="CC386" s="6">
        <f>VLOOKUP(Table1[[#This Row],[Reference]],metron,17,FALSE)</f>
        <v>6.3083121289228163</v>
      </c>
      <c r="CD386" s="6">
        <f>VLOOKUP(Table1[[#This Row],[Reference]],metron,18,FALSE)</f>
        <v>3.7757524374735061</v>
      </c>
      <c r="CE386" s="6">
        <f>VLOOKUP(Table1[[#This Row],[Reference]],metron,19,FALSE)</f>
        <v>7.9071872494443642</v>
      </c>
      <c r="CF386" s="6">
        <f>VLOOKUP(Table1[[#This Row],[Reference]],metron,20,FALSE)</f>
        <v>5.1766087887071075</v>
      </c>
      <c r="CG386" s="6">
        <f>VLOOKUP(Table1[[#This Row],[Reference]],metron,21,FALSE)</f>
        <v>12.634239592183521</v>
      </c>
      <c r="CH386" s="6">
        <f>VLOOKUP(Table1[[#This Row],[Reference]],metron,22,FALSE)</f>
        <v>13.597706032285471</v>
      </c>
      <c r="CI386" s="6">
        <f>VLOOKUP(Table1[[#This Row],[Reference]],metron,23,FALSE)</f>
        <v>1.365400161681487</v>
      </c>
      <c r="CJ386" s="6">
        <f>VLOOKUP(Table1[[#This Row],[Reference]],metron,24,FALSE)</f>
        <v>1.963621665319321</v>
      </c>
      <c r="CK386" s="6">
        <f>VLOOKUP(Table1[[#This Row],[Reference]],metron,25,FALSE)</f>
        <v>7.1544058205335492E-2</v>
      </c>
      <c r="CL386" s="6">
        <f>VLOOKUP(Table1[[#This Row],[Reference]],metron,26,FALSE)</f>
        <v>0.1216653193209378</v>
      </c>
    </row>
    <row r="387" spans="1:90" hidden="1" x14ac:dyDescent="0.45">
      <c r="A387" t="s">
        <v>1346</v>
      </c>
      <c r="B387">
        <v>1597629600</v>
      </c>
      <c r="C387" s="23" t="s">
        <v>767</v>
      </c>
      <c r="D387" t="s">
        <v>65</v>
      </c>
      <c r="E387" t="s">
        <v>66</v>
      </c>
      <c r="F387" t="s">
        <v>67</v>
      </c>
      <c r="G387" t="s">
        <v>68</v>
      </c>
      <c r="H387" t="s">
        <v>114</v>
      </c>
      <c r="I387">
        <f>MROUND(Table1[[#This Row],[ProbH]]*100,2)/100</f>
        <v>0.26</v>
      </c>
      <c r="J387">
        <f>1/Table1[[#This Row],[odds_ft_home_team_win]]-Table1[[#This Row],[Margin]]</f>
        <v>0.26958270487682245</v>
      </c>
      <c r="K387">
        <f>1/Table1[[#This Row],[odds_ft_draw]]-Table1[[#This Row],[Margin]]</f>
        <v>0.24213172448466561</v>
      </c>
      <c r="L387">
        <f>1/Table1[[#This Row],[odds_ft_away_team_win]]-Table1[[#This Row],[Margin]]</f>
        <v>0.4882855706385118</v>
      </c>
      <c r="M387">
        <v>5</v>
      </c>
      <c r="N387">
        <v>2</v>
      </c>
      <c r="O387">
        <v>2</v>
      </c>
      <c r="P387">
        <v>1.82</v>
      </c>
      <c r="Q387">
        <v>1.63</v>
      </c>
      <c r="R387" t="str" cm="1">
        <f t="array" ref="R3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7">
        <v>4</v>
      </c>
      <c r="T387">
        <v>1</v>
      </c>
      <c r="U387">
        <v>5</v>
      </c>
      <c r="V387">
        <v>1</v>
      </c>
      <c r="W387">
        <v>1</v>
      </c>
      <c r="X387">
        <v>0</v>
      </c>
      <c r="Y387" t="s">
        <v>768</v>
      </c>
      <c r="Z387">
        <v>58</v>
      </c>
      <c r="AA387">
        <v>4</v>
      </c>
      <c r="AB387">
        <v>8</v>
      </c>
      <c r="AC387">
        <v>3</v>
      </c>
      <c r="AD387">
        <v>0</v>
      </c>
      <c r="AE387">
        <v>2</v>
      </c>
      <c r="AF387">
        <v>1</v>
      </c>
      <c r="AG387">
        <v>2</v>
      </c>
      <c r="AH387">
        <v>1</v>
      </c>
      <c r="AI387">
        <v>2</v>
      </c>
      <c r="AJ387">
        <v>1</v>
      </c>
      <c r="AK387">
        <v>19</v>
      </c>
      <c r="AL387">
        <v>13</v>
      </c>
      <c r="AM387">
        <v>9</v>
      </c>
      <c r="AN387">
        <v>8</v>
      </c>
      <c r="AO387">
        <v>10</v>
      </c>
      <c r="AP387">
        <v>5</v>
      </c>
      <c r="AQ387">
        <v>21</v>
      </c>
      <c r="AR387">
        <v>12</v>
      </c>
      <c r="AS387">
        <v>36</v>
      </c>
      <c r="AT387">
        <v>64</v>
      </c>
      <c r="AU387">
        <v>2.09</v>
      </c>
      <c r="AV387">
        <v>1.69</v>
      </c>
      <c r="AW387">
        <v>2</v>
      </c>
      <c r="AX387">
        <v>75</v>
      </c>
      <c r="AY387">
        <v>75</v>
      </c>
      <c r="AZ387">
        <v>25</v>
      </c>
      <c r="BA387">
        <v>0</v>
      </c>
      <c r="BB387">
        <v>0</v>
      </c>
      <c r="BC387">
        <v>0</v>
      </c>
      <c r="BD387">
        <v>50</v>
      </c>
      <c r="BE387">
        <v>50</v>
      </c>
      <c r="BF387">
        <v>75</v>
      </c>
      <c r="BG387">
        <v>9.5</v>
      </c>
      <c r="BH387">
        <v>4</v>
      </c>
      <c r="BI387">
        <v>3.4</v>
      </c>
      <c r="BJ387">
        <v>3.75</v>
      </c>
      <c r="BK387">
        <v>1.95</v>
      </c>
      <c r="BL387">
        <f>(1/Table1[[#This Row],[odds_ft_home_team_win]]+1/Table1[[#This Row],[odds_ft_draw]]+1/Table1[[#This Row],[odds_ft_away_team_win]]-1)/3</f>
        <v>2.4534942182001068E-2</v>
      </c>
      <c r="BM387">
        <v>1.28</v>
      </c>
      <c r="BN387">
        <v>1.9</v>
      </c>
      <c r="BO387">
        <v>3.25</v>
      </c>
      <c r="BP387">
        <v>6</v>
      </c>
      <c r="BQ387">
        <v>1.66</v>
      </c>
      <c r="BR387">
        <v>2.1</v>
      </c>
      <c r="BS387" t="s">
        <v>70</v>
      </c>
      <c r="BT387">
        <f>VLOOKUP(Table1[[#This Row],[Reference]],metron,8,FALSE)</f>
        <v>1.0905313574236399</v>
      </c>
      <c r="BU387">
        <f>VLOOKUP(Table1[[#This Row],[Reference]],metron,9,FALSE)</f>
        <v>1.6289415604939639</v>
      </c>
      <c r="BV387">
        <f>VLOOKUP(Table1[[#This Row],[Reference]],metron,10,FALSE)</f>
        <v>2.569449507838133</v>
      </c>
      <c r="BW387">
        <f>VLOOKUP(Table1[[#This Row],[Reference]],metron,11,FALSE)</f>
        <v>1.0936930368209989</v>
      </c>
      <c r="BX387">
        <f>VLOOKUP(Table1[[#This Row],[Reference]],metron,12,FALSE)</f>
        <v>1.475756471017134</v>
      </c>
      <c r="BY387" s="6">
        <f>VLOOKUP(Table1[[#This Row],[Reference]],metron,13,FALSE)</f>
        <v>0.50018228217280347</v>
      </c>
      <c r="BZ387" s="6">
        <f>VLOOKUP(Table1[[#This Row],[Reference]],metron,14,FALSE)</f>
        <v>0.65220561429092239</v>
      </c>
      <c r="CA387" s="6">
        <f>VLOOKUP(Table1[[#This Row],[Reference]],metron,15,FALSE)</f>
        <v>10.905576679340941</v>
      </c>
      <c r="CB387" s="6">
        <f>VLOOKUP(Table1[[#This Row],[Reference]],metron,16,FALSE)</f>
        <v>12.06463878326996</v>
      </c>
      <c r="CC387" s="6">
        <f>VLOOKUP(Table1[[#This Row],[Reference]],metron,17,FALSE)</f>
        <v>4.2920127795527154</v>
      </c>
      <c r="CD387" s="6">
        <f>VLOOKUP(Table1[[#This Row],[Reference]],metron,18,FALSE)</f>
        <v>5.0095846645367406</v>
      </c>
      <c r="CE387" s="6">
        <f>VLOOKUP(Table1[[#This Row],[Reference]],metron,19,FALSE)</f>
        <v>6.6135638997882253</v>
      </c>
      <c r="CF387" s="6">
        <f>VLOOKUP(Table1[[#This Row],[Reference]],metron,20,FALSE)</f>
        <v>7.055054118733219</v>
      </c>
      <c r="CG387" s="6">
        <f>VLOOKUP(Table1[[#This Row],[Reference]],metron,21,FALSE)</f>
        <v>12.94865211810013</v>
      </c>
      <c r="CH387" s="6">
        <f>VLOOKUP(Table1[[#This Row],[Reference]],metron,22,FALSE)</f>
        <v>13.189345314505781</v>
      </c>
      <c r="CI387" s="6">
        <f>VLOOKUP(Table1[[#This Row],[Reference]],metron,23,FALSE)</f>
        <v>1.771446078431373</v>
      </c>
      <c r="CJ387" s="6">
        <f>VLOOKUP(Table1[[#This Row],[Reference]],metron,24,FALSE)</f>
        <v>1.809436274509804</v>
      </c>
      <c r="CK387" s="6">
        <f>VLOOKUP(Table1[[#This Row],[Reference]],metron,25,FALSE)</f>
        <v>0.1060049019607843</v>
      </c>
      <c r="CL387" s="6">
        <f>VLOOKUP(Table1[[#This Row],[Reference]],metron,26,FALSE)</f>
        <v>9.6813725490196081E-2</v>
      </c>
    </row>
    <row r="388" spans="1:90" hidden="1" x14ac:dyDescent="0.45">
      <c r="A388" t="s">
        <v>1346</v>
      </c>
      <c r="B388">
        <v>1597716000</v>
      </c>
      <c r="C388" s="23" t="s">
        <v>769</v>
      </c>
      <c r="D388" t="s">
        <v>65</v>
      </c>
      <c r="E388" t="s">
        <v>66</v>
      </c>
      <c r="F388" t="s">
        <v>85</v>
      </c>
      <c r="G388" t="s">
        <v>106</v>
      </c>
      <c r="H388" t="s">
        <v>215</v>
      </c>
      <c r="I388">
        <f>MROUND(Table1[[#This Row],[ProbH]]*100,2)/100</f>
        <v>0.66</v>
      </c>
      <c r="J388">
        <f>1/Table1[[#This Row],[odds_ft_home_team_win]]-Table1[[#This Row],[Margin]]</f>
        <v>0.65140615237476918</v>
      </c>
      <c r="K388">
        <f>1/Table1[[#This Row],[odds_ft_draw]]-Table1[[#This Row],[Margin]]</f>
        <v>0.20044957782268902</v>
      </c>
      <c r="L388">
        <f>1/Table1[[#This Row],[odds_ft_away_team_win]]-Table1[[#This Row],[Margin]]</f>
        <v>0.14814426980254181</v>
      </c>
      <c r="M388">
        <v>5</v>
      </c>
      <c r="N388">
        <v>3</v>
      </c>
      <c r="O388">
        <v>0</v>
      </c>
      <c r="P388">
        <v>2.29</v>
      </c>
      <c r="Q388">
        <v>0.47</v>
      </c>
      <c r="R388" t="str" cm="1">
        <f t="array" ref="R3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8">
        <v>2</v>
      </c>
      <c r="T388">
        <v>1</v>
      </c>
      <c r="U388">
        <v>3</v>
      </c>
      <c r="V388">
        <v>1</v>
      </c>
      <c r="W388">
        <v>0</v>
      </c>
      <c r="X388">
        <v>1</v>
      </c>
      <c r="Y388" t="s">
        <v>770</v>
      </c>
      <c r="Z388" t="s">
        <v>771</v>
      </c>
      <c r="AA388">
        <v>3</v>
      </c>
      <c r="AB388">
        <v>4</v>
      </c>
      <c r="AC388">
        <v>1</v>
      </c>
      <c r="AD388">
        <v>0</v>
      </c>
      <c r="AE388">
        <v>3</v>
      </c>
      <c r="AF388">
        <v>0</v>
      </c>
      <c r="AG388">
        <v>0</v>
      </c>
      <c r="AH388">
        <v>1</v>
      </c>
      <c r="AI388">
        <v>2</v>
      </c>
      <c r="AJ388">
        <v>1</v>
      </c>
      <c r="AK388">
        <v>13</v>
      </c>
      <c r="AL388">
        <v>14</v>
      </c>
      <c r="AM388">
        <v>6</v>
      </c>
      <c r="AN388">
        <v>4</v>
      </c>
      <c r="AO388">
        <v>7</v>
      </c>
      <c r="AP388">
        <v>10</v>
      </c>
      <c r="AQ388">
        <v>8</v>
      </c>
      <c r="AR388">
        <v>20</v>
      </c>
      <c r="AS388">
        <v>61</v>
      </c>
      <c r="AT388">
        <v>39</v>
      </c>
      <c r="AU388">
        <v>1.56</v>
      </c>
      <c r="AV388">
        <v>1.37</v>
      </c>
      <c r="AW388">
        <v>2.5</v>
      </c>
      <c r="AX388">
        <v>0</v>
      </c>
      <c r="AY388">
        <v>50</v>
      </c>
      <c r="AZ388">
        <v>50</v>
      </c>
      <c r="BA388">
        <v>50</v>
      </c>
      <c r="BB388">
        <v>0</v>
      </c>
      <c r="BC388">
        <v>0</v>
      </c>
      <c r="BD388">
        <v>50</v>
      </c>
      <c r="BE388">
        <v>50</v>
      </c>
      <c r="BF388">
        <v>100</v>
      </c>
      <c r="BG388">
        <v>7</v>
      </c>
      <c r="BH388">
        <v>6</v>
      </c>
      <c r="BI388">
        <v>1.48</v>
      </c>
      <c r="BJ388">
        <v>4.45</v>
      </c>
      <c r="BK388">
        <v>5.8</v>
      </c>
      <c r="BL388">
        <f>(1/Table1[[#This Row],[odds_ft_home_team_win]]+1/Table1[[#This Row],[odds_ft_draw]]+1/Table1[[#This Row],[odds_ft_away_team_win]]-1)/3</f>
        <v>2.4269523300906481E-2</v>
      </c>
      <c r="BM388">
        <v>1.21</v>
      </c>
      <c r="BN388">
        <v>1.69</v>
      </c>
      <c r="BO388">
        <v>2.75</v>
      </c>
      <c r="BP388">
        <v>5</v>
      </c>
      <c r="BQ388">
        <v>1.8</v>
      </c>
      <c r="BR388">
        <v>1.91</v>
      </c>
      <c r="BS388" t="s">
        <v>128</v>
      </c>
      <c r="BT388">
        <f>VLOOKUP(Table1[[#This Row],[Reference]],metron,8,FALSE)</f>
        <v>2.2311424831798083</v>
      </c>
      <c r="BU388">
        <f>VLOOKUP(Table1[[#This Row],[Reference]],metron,9,FALSE)</f>
        <v>0.55281092137037047</v>
      </c>
      <c r="BV388">
        <f>VLOOKUP(Table1[[#This Row],[Reference]],metron,10,FALSE)</f>
        <v>2.9251336898395728</v>
      </c>
      <c r="BW388">
        <f>VLOOKUP(Table1[[#This Row],[Reference]],metron,11,FALSE)</f>
        <v>2.089675030851502</v>
      </c>
      <c r="BX388">
        <f>VLOOKUP(Table1[[#This Row],[Reference]],metron,12,FALSE)</f>
        <v>0.8354586589880707</v>
      </c>
      <c r="BY388" s="6">
        <f>VLOOKUP(Table1[[#This Row],[Reference]],metron,13,FALSE)</f>
        <v>0.92472233648704238</v>
      </c>
      <c r="BZ388" s="6">
        <f>VLOOKUP(Table1[[#This Row],[Reference]],metron,14,FALSE)</f>
        <v>0.35252982311805842</v>
      </c>
      <c r="CA388" s="6">
        <f>VLOOKUP(Table1[[#This Row],[Reference]],metron,15,FALSE)</f>
        <v>15.366666666666671</v>
      </c>
      <c r="CB388" s="6">
        <f>VLOOKUP(Table1[[#This Row],[Reference]],metron,16,FALSE)</f>
        <v>8.5234848484848484</v>
      </c>
      <c r="CC388" s="6">
        <f>VLOOKUP(Table1[[#This Row],[Reference]],metron,17,FALSE)</f>
        <v>6.6873065015479876</v>
      </c>
      <c r="CD388" s="6">
        <f>VLOOKUP(Table1[[#This Row],[Reference]],metron,18,FALSE)</f>
        <v>3.3490712074303399</v>
      </c>
      <c r="CE388" s="6">
        <f>VLOOKUP(Table1[[#This Row],[Reference]],metron,19,FALSE)</f>
        <v>8.679360165118684</v>
      </c>
      <c r="CF388" s="6">
        <f>VLOOKUP(Table1[[#This Row],[Reference]],metron,20,FALSE)</f>
        <v>5.1744136410545085</v>
      </c>
      <c r="CG388" s="6">
        <f>VLOOKUP(Table1[[#This Row],[Reference]],metron,21,FALSE)</f>
        <v>12.62384615384615</v>
      </c>
      <c r="CH388" s="6">
        <f>VLOOKUP(Table1[[#This Row],[Reference]],metron,22,FALSE)</f>
        <v>13.844615384615381</v>
      </c>
      <c r="CI388" s="6">
        <f>VLOOKUP(Table1[[#This Row],[Reference]],metron,23,FALSE)</f>
        <v>1.369710467706013</v>
      </c>
      <c r="CJ388" s="6">
        <f>VLOOKUP(Table1[[#This Row],[Reference]],metron,24,FALSE)</f>
        <v>2.0920564216778019</v>
      </c>
      <c r="CK388" s="6">
        <f>VLOOKUP(Table1[[#This Row],[Reference]],metron,25,FALSE)</f>
        <v>7.126948775055679E-2</v>
      </c>
      <c r="CL388" s="6">
        <f>VLOOKUP(Table1[[#This Row],[Reference]],metron,26,FALSE)</f>
        <v>0.13214550853749071</v>
      </c>
    </row>
    <row r="389" spans="1:90" hidden="1" x14ac:dyDescent="0.45">
      <c r="A389" t="s">
        <v>1346</v>
      </c>
      <c r="B389">
        <v>1598056200</v>
      </c>
      <c r="C389" s="23" t="s">
        <v>772</v>
      </c>
      <c r="D389" t="s">
        <v>65</v>
      </c>
      <c r="E389" t="s">
        <v>66</v>
      </c>
      <c r="F389" t="s">
        <v>72</v>
      </c>
      <c r="G389" t="s">
        <v>73</v>
      </c>
      <c r="H389" t="s">
        <v>133</v>
      </c>
      <c r="I389">
        <f>MROUND(Table1[[#This Row],[ProbH]]*100,2)/100</f>
        <v>0.34</v>
      </c>
      <c r="J389">
        <f>1/Table1[[#This Row],[odds_ft_home_team_win]]-Table1[[#This Row],[Margin]]</f>
        <v>0.33152958152958151</v>
      </c>
      <c r="K389">
        <f>1/Table1[[#This Row],[odds_ft_draw]]-Table1[[#This Row],[Margin]]</f>
        <v>0.2774170274170274</v>
      </c>
      <c r="L389">
        <f>1/Table1[[#This Row],[odds_ft_away_team_win]]-Table1[[#This Row],[Margin]]</f>
        <v>0.39105339105339104</v>
      </c>
      <c r="M389">
        <v>6</v>
      </c>
      <c r="N389">
        <v>1.33</v>
      </c>
      <c r="O389">
        <v>0.33</v>
      </c>
      <c r="P389">
        <v>1.29</v>
      </c>
      <c r="Q389">
        <v>0.8</v>
      </c>
      <c r="R389" t="str" cm="1">
        <f t="array" ref="R3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9">
        <v>2</v>
      </c>
      <c r="T389">
        <v>1</v>
      </c>
      <c r="U389">
        <v>3</v>
      </c>
      <c r="V389">
        <v>1</v>
      </c>
      <c r="W389">
        <v>0</v>
      </c>
      <c r="X389">
        <v>1</v>
      </c>
      <c r="Y389" t="s">
        <v>773</v>
      </c>
      <c r="Z389">
        <v>35</v>
      </c>
      <c r="AA389">
        <v>5</v>
      </c>
      <c r="AB389">
        <v>5</v>
      </c>
      <c r="AC389">
        <v>3</v>
      </c>
      <c r="AD389">
        <v>0</v>
      </c>
      <c r="AE389">
        <v>0</v>
      </c>
      <c r="AF389">
        <v>0</v>
      </c>
      <c r="AG389">
        <v>1</v>
      </c>
      <c r="AH389">
        <v>2</v>
      </c>
      <c r="AI389">
        <v>0</v>
      </c>
      <c r="AJ389">
        <v>0</v>
      </c>
      <c r="AK389">
        <v>16</v>
      </c>
      <c r="AL389">
        <v>13</v>
      </c>
      <c r="AM389">
        <v>6</v>
      </c>
      <c r="AN389">
        <v>4</v>
      </c>
      <c r="AO389">
        <v>10</v>
      </c>
      <c r="AP389">
        <v>9</v>
      </c>
      <c r="AQ389">
        <v>16</v>
      </c>
      <c r="AR389">
        <v>19</v>
      </c>
      <c r="AS389">
        <v>54</v>
      </c>
      <c r="AT389">
        <v>46</v>
      </c>
      <c r="AU389">
        <v>1.69</v>
      </c>
      <c r="AV389">
        <v>1.45</v>
      </c>
      <c r="AW389">
        <v>2.67</v>
      </c>
      <c r="AX389">
        <v>50</v>
      </c>
      <c r="AY389">
        <v>84</v>
      </c>
      <c r="AZ389">
        <v>50</v>
      </c>
      <c r="BA389">
        <v>34</v>
      </c>
      <c r="BB389">
        <v>0</v>
      </c>
      <c r="BC389">
        <v>50</v>
      </c>
      <c r="BD389">
        <v>100</v>
      </c>
      <c r="BE389">
        <v>17</v>
      </c>
      <c r="BF389">
        <v>84</v>
      </c>
      <c r="BG389">
        <v>8.67</v>
      </c>
      <c r="BH389">
        <v>5.34</v>
      </c>
      <c r="BI389">
        <v>2.8</v>
      </c>
      <c r="BJ389">
        <v>3.3</v>
      </c>
      <c r="BK389">
        <v>2.4</v>
      </c>
      <c r="BL389">
        <f>(1/Table1[[#This Row],[odds_ft_home_team_win]]+1/Table1[[#This Row],[odds_ft_draw]]+1/Table1[[#This Row],[odds_ft_away_team_win]]-1)/3</f>
        <v>2.5613275613275643E-2</v>
      </c>
      <c r="BM389">
        <v>1.25</v>
      </c>
      <c r="BN389">
        <v>1.8</v>
      </c>
      <c r="BO389">
        <v>3.05</v>
      </c>
      <c r="BP389">
        <v>5.7</v>
      </c>
      <c r="BQ389">
        <v>1.65</v>
      </c>
      <c r="BR389">
        <v>2.15</v>
      </c>
      <c r="BS389" t="s">
        <v>76</v>
      </c>
      <c r="BT389">
        <f>VLOOKUP(Table1[[#This Row],[Reference]],metron,8,FALSE)</f>
        <v>1.3382439854569812</v>
      </c>
      <c r="BU389">
        <f>VLOOKUP(Table1[[#This Row],[Reference]],metron,9,FALSE)</f>
        <v>1.3740319615582339</v>
      </c>
      <c r="BV389">
        <f>VLOOKUP(Table1[[#This Row],[Reference]],metron,10,FALSE)</f>
        <v>2.5229727551184897</v>
      </c>
      <c r="BW389">
        <f>VLOOKUP(Table1[[#This Row],[Reference]],metron,11,FALSE)</f>
        <v>1.228921489601805</v>
      </c>
      <c r="BX389">
        <f>VLOOKUP(Table1[[#This Row],[Reference]],metron,12,FALSE)</f>
        <v>1.2940512655166849</v>
      </c>
      <c r="BY389" s="6">
        <f>VLOOKUP(Table1[[#This Row],[Reference]],metron,13,FALSE)</f>
        <v>0.53240890035472432</v>
      </c>
      <c r="BZ389" s="6">
        <f>VLOOKUP(Table1[[#This Row],[Reference]],metron,14,FALSE)</f>
        <v>0.56514027732989358</v>
      </c>
      <c r="CA389" s="6">
        <f>VLOOKUP(Table1[[#This Row],[Reference]],metron,15,FALSE)</f>
        <v>11.417888124439131</v>
      </c>
      <c r="CB389" s="6">
        <f>VLOOKUP(Table1[[#This Row],[Reference]],metron,16,FALSE)</f>
        <v>10.76308704756207</v>
      </c>
      <c r="CC389" s="6">
        <f>VLOOKUP(Table1[[#This Row],[Reference]],metron,17,FALSE)</f>
        <v>4.8317672021824798</v>
      </c>
      <c r="CD389" s="6">
        <f>VLOOKUP(Table1[[#This Row],[Reference]],metron,18,FALSE)</f>
        <v>4.6698999696877843</v>
      </c>
      <c r="CE389" s="6">
        <f>VLOOKUP(Table1[[#This Row],[Reference]],metron,19,FALSE)</f>
        <v>6.5861209222566508</v>
      </c>
      <c r="CF389" s="6">
        <f>VLOOKUP(Table1[[#This Row],[Reference]],metron,20,FALSE)</f>
        <v>6.093187077874286</v>
      </c>
      <c r="CG389" s="6">
        <f>VLOOKUP(Table1[[#This Row],[Reference]],metron,21,FALSE)</f>
        <v>12.685679611650491</v>
      </c>
      <c r="CH389" s="6">
        <f>VLOOKUP(Table1[[#This Row],[Reference]],metron,22,FALSE)</f>
        <v>13.02639563106796</v>
      </c>
      <c r="CI389" s="6">
        <f>VLOOKUP(Table1[[#This Row],[Reference]],metron,23,FALSE)</f>
        <v>1.6481211768132831</v>
      </c>
      <c r="CJ389" s="6">
        <f>VLOOKUP(Table1[[#This Row],[Reference]],metron,24,FALSE)</f>
        <v>1.8572676958928049</v>
      </c>
      <c r="CK389" s="6">
        <f>VLOOKUP(Table1[[#This Row],[Reference]],metron,25,FALSE)</f>
        <v>9.641712787649287E-2</v>
      </c>
      <c r="CL389" s="6">
        <f>VLOOKUP(Table1[[#This Row],[Reference]],metron,26,FALSE)</f>
        <v>0.11302068161957469</v>
      </c>
    </row>
    <row r="390" spans="1:90" hidden="1" x14ac:dyDescent="0.45">
      <c r="A390" t="s">
        <v>1346</v>
      </c>
      <c r="B390">
        <v>1598063400</v>
      </c>
      <c r="C390" s="23" t="s">
        <v>774</v>
      </c>
      <c r="D390" t="s">
        <v>65</v>
      </c>
      <c r="E390" t="s">
        <v>66</v>
      </c>
      <c r="F390" t="s">
        <v>78</v>
      </c>
      <c r="G390" t="s">
        <v>85</v>
      </c>
      <c r="H390" t="s">
        <v>130</v>
      </c>
      <c r="I390">
        <f>MROUND(Table1[[#This Row],[ProbH]]*100,2)/100</f>
        <v>0.22</v>
      </c>
      <c r="J390">
        <f>1/Table1[[#This Row],[odds_ft_home_team_win]]-Table1[[#This Row],[Margin]]</f>
        <v>0.22106348243208077</v>
      </c>
      <c r="K390">
        <f>1/Table1[[#This Row],[odds_ft_draw]]-Table1[[#This Row],[Margin]]</f>
        <v>0.26701611587145863</v>
      </c>
      <c r="L390">
        <f>1/Table1[[#This Row],[odds_ft_away_team_win]]-Table1[[#This Row],[Margin]]</f>
        <v>0.51192040169646047</v>
      </c>
      <c r="M390">
        <v>6</v>
      </c>
      <c r="N390">
        <v>1.5</v>
      </c>
      <c r="O390">
        <v>1.33</v>
      </c>
      <c r="P390">
        <v>1.41</v>
      </c>
      <c r="Q390">
        <v>1.5</v>
      </c>
      <c r="R390" t="str" cm="1">
        <f t="array" ref="R3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AA390">
        <v>5</v>
      </c>
      <c r="AB390">
        <v>2</v>
      </c>
      <c r="AC390">
        <v>2</v>
      </c>
      <c r="AD390">
        <v>0</v>
      </c>
      <c r="AE390">
        <v>4</v>
      </c>
      <c r="AF390">
        <v>1</v>
      </c>
      <c r="AG390">
        <v>2</v>
      </c>
      <c r="AH390">
        <v>0</v>
      </c>
      <c r="AI390">
        <v>3</v>
      </c>
      <c r="AJ390">
        <v>2</v>
      </c>
      <c r="AK390">
        <v>12</v>
      </c>
      <c r="AL390">
        <v>13</v>
      </c>
      <c r="AM390">
        <v>5</v>
      </c>
      <c r="AN390">
        <v>6</v>
      </c>
      <c r="AO390">
        <v>7</v>
      </c>
      <c r="AP390">
        <v>7</v>
      </c>
      <c r="AQ390">
        <v>16</v>
      </c>
      <c r="AR390">
        <v>20</v>
      </c>
      <c r="AS390">
        <v>45</v>
      </c>
      <c r="AT390">
        <v>55</v>
      </c>
      <c r="AU390">
        <v>1.58</v>
      </c>
      <c r="AV390">
        <v>1.71</v>
      </c>
      <c r="AW390">
        <v>1.25</v>
      </c>
      <c r="AX390">
        <v>0</v>
      </c>
      <c r="AY390">
        <v>42</v>
      </c>
      <c r="AZ390">
        <v>0</v>
      </c>
      <c r="BA390">
        <v>0</v>
      </c>
      <c r="BB390">
        <v>0</v>
      </c>
      <c r="BC390">
        <v>0</v>
      </c>
      <c r="BD390">
        <v>17</v>
      </c>
      <c r="BE390">
        <v>25</v>
      </c>
      <c r="BF390">
        <v>84</v>
      </c>
      <c r="BG390">
        <v>8.17</v>
      </c>
      <c r="BH390">
        <v>5</v>
      </c>
      <c r="BI390">
        <v>4.0999999999999996</v>
      </c>
      <c r="BJ390">
        <v>3.45</v>
      </c>
      <c r="BK390">
        <v>1.87</v>
      </c>
      <c r="BL390">
        <f>(1/Table1[[#This Row],[odds_ft_home_team_win]]+1/Table1[[#This Row],[odds_ft_draw]]+1/Table1[[#This Row],[odds_ft_away_team_win]]-1)/3</f>
        <v>2.2838956592309501E-2</v>
      </c>
      <c r="BM390">
        <v>1.26</v>
      </c>
      <c r="BN390">
        <v>1.83</v>
      </c>
      <c r="BO390">
        <v>3.1</v>
      </c>
      <c r="BP390">
        <v>5.8</v>
      </c>
      <c r="BQ390">
        <v>1.71</v>
      </c>
      <c r="BR390">
        <v>2.0499999999999998</v>
      </c>
      <c r="BS390" t="s">
        <v>82</v>
      </c>
      <c r="BT390">
        <f>VLOOKUP(Table1[[#This Row],[Reference]],metron,8,FALSE)</f>
        <v>0.95722909461760497</v>
      </c>
      <c r="BU390">
        <f>VLOOKUP(Table1[[#This Row],[Reference]],metron,9,FALSE)</f>
        <v>1.7723830340511415</v>
      </c>
      <c r="BV390">
        <f>VLOOKUP(Table1[[#This Row],[Reference]],metron,10,FALSE)</f>
        <v>2.7115135834411381</v>
      </c>
      <c r="BW390">
        <f>VLOOKUP(Table1[[#This Row],[Reference]],metron,11,FALSE)</f>
        <v>1.0633893919793009</v>
      </c>
      <c r="BX390">
        <f>VLOOKUP(Table1[[#This Row],[Reference]],metron,12,FALSE)</f>
        <v>1.648124191461837</v>
      </c>
      <c r="BY390" s="6">
        <f>VLOOKUP(Table1[[#This Row],[Reference]],metron,13,FALSE)</f>
        <v>0.47218628719275552</v>
      </c>
      <c r="BZ390" s="6">
        <f>VLOOKUP(Table1[[#This Row],[Reference]],metron,14,FALSE)</f>
        <v>0.70181112548512292</v>
      </c>
      <c r="CA390" s="6">
        <f>VLOOKUP(Table1[[#This Row],[Reference]],metron,15,FALSE)</f>
        <v>10.38488783943329</v>
      </c>
      <c r="CB390" s="6">
        <f>VLOOKUP(Table1[[#This Row],[Reference]],metron,16,FALSE)</f>
        <v>12.349468713105081</v>
      </c>
      <c r="CC390" s="6">
        <f>VLOOKUP(Table1[[#This Row],[Reference]],metron,17,FALSE)</f>
        <v>4.0990453460620522</v>
      </c>
      <c r="CD390" s="6">
        <f>VLOOKUP(Table1[[#This Row],[Reference]],metron,18,FALSE)</f>
        <v>5.2720763723150359</v>
      </c>
      <c r="CE390" s="6">
        <f>VLOOKUP(Table1[[#This Row],[Reference]],metron,19,FALSE)</f>
        <v>6.2858424933712378</v>
      </c>
      <c r="CF390" s="6">
        <f>VLOOKUP(Table1[[#This Row],[Reference]],metron,20,FALSE)</f>
        <v>7.0773923407900448</v>
      </c>
      <c r="CG390" s="6">
        <f>VLOOKUP(Table1[[#This Row],[Reference]],metron,21,FALSE)</f>
        <v>13.235083532219569</v>
      </c>
      <c r="CH390" s="6">
        <f>VLOOKUP(Table1[[#This Row],[Reference]],metron,22,FALSE)</f>
        <v>13.05131264916468</v>
      </c>
      <c r="CI390" s="6">
        <f>VLOOKUP(Table1[[#This Row],[Reference]],metron,23,FALSE)</f>
        <v>1.834292289988493</v>
      </c>
      <c r="CJ390" s="6">
        <f>VLOOKUP(Table1[[#This Row],[Reference]],metron,24,FALSE)</f>
        <v>1.806674338319908</v>
      </c>
      <c r="CK390" s="6">
        <f>VLOOKUP(Table1[[#This Row],[Reference]],metron,25,FALSE)</f>
        <v>0.1196777905638665</v>
      </c>
      <c r="CL390" s="6">
        <f>VLOOKUP(Table1[[#This Row],[Reference]],metron,26,FALSE)</f>
        <v>0.1185270425776755</v>
      </c>
    </row>
    <row r="391" spans="1:90" hidden="1" x14ac:dyDescent="0.45">
      <c r="A391" t="s">
        <v>1346</v>
      </c>
      <c r="B391">
        <v>1598133600</v>
      </c>
      <c r="C391" s="23" t="s">
        <v>775</v>
      </c>
      <c r="D391" t="s">
        <v>65</v>
      </c>
      <c r="E391" t="s">
        <v>66</v>
      </c>
      <c r="F391" t="s">
        <v>97</v>
      </c>
      <c r="G391" t="s">
        <v>67</v>
      </c>
      <c r="H391" t="s">
        <v>86</v>
      </c>
      <c r="I391">
        <f>MROUND(Table1[[#This Row],[ProbH]]*100,2)/100</f>
        <v>0.38</v>
      </c>
      <c r="J391">
        <f>1/Table1[[#This Row],[odds_ft_home_team_win]]-Table1[[#This Row],[Margin]]</f>
        <v>0.3822278911564625</v>
      </c>
      <c r="K391">
        <f>1/Table1[[#This Row],[odds_ft_draw]]-Table1[[#This Row],[Margin]]</f>
        <v>0.28656462585034009</v>
      </c>
      <c r="L391">
        <f>1/Table1[[#This Row],[odds_ft_away_team_win]]-Table1[[#This Row],[Margin]]</f>
        <v>0.33120748299319724</v>
      </c>
      <c r="M391">
        <v>6</v>
      </c>
      <c r="N391">
        <v>0</v>
      </c>
      <c r="O391">
        <v>0</v>
      </c>
      <c r="P391">
        <v>1.21</v>
      </c>
      <c r="Q391">
        <v>0.17</v>
      </c>
      <c r="R391" t="str" cm="1">
        <f t="array" ref="R3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5</v>
      </c>
      <c r="AA391">
        <v>1</v>
      </c>
      <c r="AB391">
        <v>7</v>
      </c>
      <c r="AC391">
        <v>4</v>
      </c>
      <c r="AD391">
        <v>0</v>
      </c>
      <c r="AE391">
        <v>4</v>
      </c>
      <c r="AF391">
        <v>0</v>
      </c>
      <c r="AG391">
        <v>1</v>
      </c>
      <c r="AH391">
        <v>3</v>
      </c>
      <c r="AI391">
        <v>2</v>
      </c>
      <c r="AJ391">
        <v>2</v>
      </c>
      <c r="AK391">
        <v>8</v>
      </c>
      <c r="AL391">
        <v>13</v>
      </c>
      <c r="AM391">
        <v>3</v>
      </c>
      <c r="AN391">
        <v>3</v>
      </c>
      <c r="AO391">
        <v>5</v>
      </c>
      <c r="AP391">
        <v>10</v>
      </c>
      <c r="AQ391">
        <v>16</v>
      </c>
      <c r="AR391">
        <v>17</v>
      </c>
      <c r="AS391">
        <v>41</v>
      </c>
      <c r="AT391">
        <v>59</v>
      </c>
      <c r="AU391">
        <v>0.88</v>
      </c>
      <c r="AV391">
        <v>1.46</v>
      </c>
      <c r="AW391">
        <v>3</v>
      </c>
      <c r="AX391">
        <v>75</v>
      </c>
      <c r="AY391">
        <v>75</v>
      </c>
      <c r="AZ391">
        <v>75</v>
      </c>
      <c r="BA391">
        <v>25</v>
      </c>
      <c r="BB391">
        <v>25</v>
      </c>
      <c r="BC391">
        <v>25</v>
      </c>
      <c r="BD391">
        <v>100</v>
      </c>
      <c r="BE391">
        <v>50</v>
      </c>
      <c r="BF391">
        <v>75</v>
      </c>
      <c r="BG391">
        <v>9</v>
      </c>
      <c r="BH391">
        <v>5.5</v>
      </c>
      <c r="BI391">
        <v>2.4500000000000002</v>
      </c>
      <c r="BJ391">
        <v>3.2</v>
      </c>
      <c r="BK391">
        <v>2.8</v>
      </c>
      <c r="BL391">
        <f>(1/Table1[[#This Row],[odds_ft_home_team_win]]+1/Table1[[#This Row],[odds_ft_draw]]+1/Table1[[#This Row],[odds_ft_away_team_win]]-1)/3</f>
        <v>2.5935374149659889E-2</v>
      </c>
      <c r="BM391">
        <v>1.31</v>
      </c>
      <c r="BN391">
        <v>1.95</v>
      </c>
      <c r="BO391">
        <v>3.5</v>
      </c>
      <c r="BP391">
        <v>6.7</v>
      </c>
      <c r="BQ391">
        <v>1.74</v>
      </c>
      <c r="BR391">
        <v>2</v>
      </c>
      <c r="BS391" t="s">
        <v>136</v>
      </c>
      <c r="BT391">
        <f>VLOOKUP(Table1[[#This Row],[Reference]],metron,8,FALSE)</f>
        <v>1.464160929441638</v>
      </c>
      <c r="BU391">
        <f>VLOOKUP(Table1[[#This Row],[Reference]],metron,9,FALSE)</f>
        <v>1.2477119808919459</v>
      </c>
      <c r="BV391">
        <f>VLOOKUP(Table1[[#This Row],[Reference]],metron,10,FALSE)</f>
        <v>2.4900895140664963</v>
      </c>
      <c r="BW391">
        <f>VLOOKUP(Table1[[#This Row],[Reference]],metron,11,FALSE)</f>
        <v>1.330562659846547</v>
      </c>
      <c r="BX391">
        <f>VLOOKUP(Table1[[#This Row],[Reference]],metron,12,FALSE)</f>
        <v>1.1595268542199491</v>
      </c>
      <c r="BY391" s="6">
        <f>VLOOKUP(Table1[[#This Row],[Reference]],metron,13,FALSE)</f>
        <v>0.59053607588191415</v>
      </c>
      <c r="BZ391" s="6">
        <f>VLOOKUP(Table1[[#This Row],[Reference]],metron,14,FALSE)</f>
        <v>0.50069274219332838</v>
      </c>
      <c r="CA391" s="6">
        <f>VLOOKUP(Table1[[#This Row],[Reference]],metron,15,FALSE)</f>
        <v>11.79715236686391</v>
      </c>
      <c r="CB391" s="6">
        <f>VLOOKUP(Table1[[#This Row],[Reference]],metron,16,FALSE)</f>
        <v>10.317122781065089</v>
      </c>
      <c r="CC391" s="6">
        <f>VLOOKUP(Table1[[#This Row],[Reference]],metron,17,FALSE)</f>
        <v>5.0637025966747622</v>
      </c>
      <c r="CD391" s="6">
        <f>VLOOKUP(Table1[[#This Row],[Reference]],metron,18,FALSE)</f>
        <v>4.4674014571268454</v>
      </c>
      <c r="CE391" s="6">
        <f>VLOOKUP(Table1[[#This Row],[Reference]],metron,19,FALSE)</f>
        <v>6.7334497701891483</v>
      </c>
      <c r="CF391" s="6">
        <f>VLOOKUP(Table1[[#This Row],[Reference]],metron,20,FALSE)</f>
        <v>5.849721323938244</v>
      </c>
      <c r="CG391" s="6">
        <f>VLOOKUP(Table1[[#This Row],[Reference]],metron,21,FALSE)</f>
        <v>12.89644194756554</v>
      </c>
      <c r="CH391" s="6">
        <f>VLOOKUP(Table1[[#This Row],[Reference]],metron,22,FALSE)</f>
        <v>13.3434456928839</v>
      </c>
      <c r="CI391" s="6">
        <f>VLOOKUP(Table1[[#This Row],[Reference]],metron,23,FALSE)</f>
        <v>1.6144382124117971</v>
      </c>
      <c r="CJ391" s="6">
        <f>VLOOKUP(Table1[[#This Row],[Reference]],metron,24,FALSE)</f>
        <v>1.9032024606477289</v>
      </c>
      <c r="CK391" s="6">
        <f>VLOOKUP(Table1[[#This Row],[Reference]],metron,25,FALSE)</f>
        <v>9.372172969060974E-2</v>
      </c>
      <c r="CL391" s="6">
        <f>VLOOKUP(Table1[[#This Row],[Reference]],metron,26,FALSE)</f>
        <v>0.11669983716301791</v>
      </c>
    </row>
    <row r="392" spans="1:90" hidden="1" x14ac:dyDescent="0.45">
      <c r="A392" t="s">
        <v>1346</v>
      </c>
      <c r="B392">
        <v>1598140800</v>
      </c>
      <c r="C392" s="23" t="s">
        <v>776</v>
      </c>
      <c r="D392" t="s">
        <v>65</v>
      </c>
      <c r="E392" t="s">
        <v>66</v>
      </c>
      <c r="F392" t="s">
        <v>107</v>
      </c>
      <c r="G392" t="s">
        <v>96</v>
      </c>
      <c r="H392" t="s">
        <v>74</v>
      </c>
      <c r="I392">
        <f>MROUND(Table1[[#This Row],[ProbH]]*100,2)/100</f>
        <v>0.62</v>
      </c>
      <c r="J392">
        <f>1/Table1[[#This Row],[odds_ft_home_team_win]]-Table1[[#This Row],[Margin]]</f>
        <v>0.61296788844559535</v>
      </c>
      <c r="K392">
        <f>1/Table1[[#This Row],[odds_ft_draw]]-Table1[[#This Row],[Margin]]</f>
        <v>0.23243546969661619</v>
      </c>
      <c r="L392">
        <f>1/Table1[[#This Row],[odds_ft_away_team_win]]-Table1[[#This Row],[Margin]]</f>
        <v>0.15459664185778832</v>
      </c>
      <c r="M392">
        <v>6</v>
      </c>
      <c r="N392">
        <v>2</v>
      </c>
      <c r="O392">
        <v>2</v>
      </c>
      <c r="P392">
        <v>1.53</v>
      </c>
      <c r="Q392">
        <v>1.25</v>
      </c>
      <c r="R392" t="str" cm="1">
        <f t="array" ref="R3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92">
        <v>1</v>
      </c>
      <c r="T392">
        <v>1</v>
      </c>
      <c r="U392">
        <v>2</v>
      </c>
      <c r="V392">
        <v>0</v>
      </c>
      <c r="W392">
        <v>0</v>
      </c>
      <c r="X392">
        <v>0</v>
      </c>
      <c r="Y392">
        <v>77</v>
      </c>
      <c r="Z392" t="s">
        <v>193</v>
      </c>
      <c r="AA392">
        <v>6</v>
      </c>
      <c r="AB392">
        <v>6</v>
      </c>
      <c r="AC392">
        <v>1</v>
      </c>
      <c r="AD392">
        <v>0</v>
      </c>
      <c r="AE392">
        <v>4</v>
      </c>
      <c r="AF392">
        <v>0</v>
      </c>
      <c r="AG392">
        <v>0</v>
      </c>
      <c r="AH392">
        <v>1</v>
      </c>
      <c r="AI392">
        <v>1</v>
      </c>
      <c r="AJ392">
        <v>3</v>
      </c>
      <c r="AK392">
        <v>9</v>
      </c>
      <c r="AL392">
        <v>9</v>
      </c>
      <c r="AM392">
        <v>4</v>
      </c>
      <c r="AN392">
        <v>3</v>
      </c>
      <c r="AO392">
        <v>5</v>
      </c>
      <c r="AP392">
        <v>6</v>
      </c>
      <c r="AQ392">
        <v>11</v>
      </c>
      <c r="AR392">
        <v>20</v>
      </c>
      <c r="AS392">
        <v>55</v>
      </c>
      <c r="AT392">
        <v>45</v>
      </c>
      <c r="AU392">
        <v>1.1200000000000001</v>
      </c>
      <c r="AV392">
        <v>1.03</v>
      </c>
      <c r="AW392">
        <v>2</v>
      </c>
      <c r="AX392">
        <v>75</v>
      </c>
      <c r="AY392">
        <v>75</v>
      </c>
      <c r="AZ392">
        <v>50</v>
      </c>
      <c r="BA392">
        <v>0</v>
      </c>
      <c r="BB392">
        <v>0</v>
      </c>
      <c r="BC392">
        <v>25</v>
      </c>
      <c r="BD392">
        <v>50</v>
      </c>
      <c r="BE392">
        <v>50</v>
      </c>
      <c r="BF392">
        <v>75</v>
      </c>
      <c r="BG392">
        <v>8</v>
      </c>
      <c r="BH392">
        <v>6.5</v>
      </c>
      <c r="BI392">
        <v>1.57</v>
      </c>
      <c r="BJ392">
        <v>3.9</v>
      </c>
      <c r="BK392">
        <v>5.6</v>
      </c>
      <c r="BL392">
        <f>(1/Table1[[#This Row],[odds_ft_home_team_win]]+1/Table1[[#This Row],[odds_ft_draw]]+1/Table1[[#This Row],[odds_ft_away_team_win]]-1)/3</f>
        <v>2.3974786713640246E-2</v>
      </c>
      <c r="BM392">
        <v>1.21</v>
      </c>
      <c r="BN392">
        <v>1.69</v>
      </c>
      <c r="BO392">
        <v>2.75</v>
      </c>
      <c r="BP392">
        <v>5</v>
      </c>
      <c r="BQ392">
        <v>1.71</v>
      </c>
      <c r="BR392">
        <v>2.0499999999999998</v>
      </c>
      <c r="BS392" t="s">
        <v>161</v>
      </c>
      <c r="BT392">
        <f>VLOOKUP(Table1[[#This Row],[Reference]],metron,8,FALSE)</f>
        <v>2.1234388909289978</v>
      </c>
      <c r="BU392">
        <f>VLOOKUP(Table1[[#This Row],[Reference]],metron,9,FALSE)</f>
        <v>0.63925141338926716</v>
      </c>
      <c r="BV392">
        <f>VLOOKUP(Table1[[#This Row],[Reference]],metron,10,FALSE)</f>
        <v>2.7366666666666664</v>
      </c>
      <c r="BW392">
        <f>VLOOKUP(Table1[[#This Row],[Reference]],metron,11,FALSE)</f>
        <v>1.8681481481481479</v>
      </c>
      <c r="BX392">
        <f>VLOOKUP(Table1[[#This Row],[Reference]],metron,12,FALSE)</f>
        <v>0.86851851851851847</v>
      </c>
      <c r="BY392" s="6">
        <f>VLOOKUP(Table1[[#This Row],[Reference]],metron,13,FALSE)</f>
        <v>0.81333333333333335</v>
      </c>
      <c r="BZ392" s="6">
        <f>VLOOKUP(Table1[[#This Row],[Reference]],metron,14,FALSE)</f>
        <v>0.38925925925925919</v>
      </c>
      <c r="CA392" s="6">
        <f>VLOOKUP(Table1[[#This Row],[Reference]],metron,15,FALSE)</f>
        <v>14.53422724064926</v>
      </c>
      <c r="CB392" s="6">
        <f>VLOOKUP(Table1[[#This Row],[Reference]],metron,16,FALSE)</f>
        <v>8.7882851093860275</v>
      </c>
      <c r="CC392" s="6">
        <f>VLOOKUP(Table1[[#This Row],[Reference]],metron,17,FALSE)</f>
        <v>6.3007953723788868</v>
      </c>
      <c r="CD392" s="6">
        <f>VLOOKUP(Table1[[#This Row],[Reference]],metron,18,FALSE)</f>
        <v>3.681851048445409</v>
      </c>
      <c r="CE392" s="6">
        <f>VLOOKUP(Table1[[#This Row],[Reference]],metron,19,FALSE)</f>
        <v>8.2334318682703724</v>
      </c>
      <c r="CF392" s="6">
        <f>VLOOKUP(Table1[[#This Row],[Reference]],metron,20,FALSE)</f>
        <v>5.106434060940618</v>
      </c>
      <c r="CG392" s="6">
        <f>VLOOKUP(Table1[[#This Row],[Reference]],metron,21,FALSE)</f>
        <v>12.32150615496017</v>
      </c>
      <c r="CH392" s="6">
        <f>VLOOKUP(Table1[[#This Row],[Reference]],metron,22,FALSE)</f>
        <v>13.337436640115859</v>
      </c>
      <c r="CI392" s="6">
        <f>VLOOKUP(Table1[[#This Row],[Reference]],metron,23,FALSE)</f>
        <v>1.346101231190151</v>
      </c>
      <c r="CJ392" s="6">
        <f>VLOOKUP(Table1[[#This Row],[Reference]],metron,24,FALSE)</f>
        <v>1.995212038303694</v>
      </c>
      <c r="CK392" s="6">
        <f>VLOOKUP(Table1[[#This Row],[Reference]],metron,25,FALSE)</f>
        <v>6.1559507523939808E-2</v>
      </c>
      <c r="CL392" s="6">
        <f>VLOOKUP(Table1[[#This Row],[Reference]],metron,26,FALSE)</f>
        <v>0.13201094391244869</v>
      </c>
    </row>
    <row r="393" spans="1:90" hidden="1" x14ac:dyDescent="0.45">
      <c r="A393" t="s">
        <v>1346</v>
      </c>
      <c r="B393">
        <v>1598148000</v>
      </c>
      <c r="C393" s="23" t="s">
        <v>777</v>
      </c>
      <c r="D393" t="s">
        <v>65</v>
      </c>
      <c r="E393" t="s">
        <v>66</v>
      </c>
      <c r="F393" t="s">
        <v>68</v>
      </c>
      <c r="G393" t="s">
        <v>101</v>
      </c>
      <c r="H393" t="s">
        <v>122</v>
      </c>
      <c r="I393">
        <f>MROUND(Table1[[#This Row],[ProbH]]*100,2)/100</f>
        <v>0.4</v>
      </c>
      <c r="J393">
        <f>1/Table1[[#This Row],[odds_ft_home_team_win]]-Table1[[#This Row],[Margin]]</f>
        <v>0.40807957096995684</v>
      </c>
      <c r="K393">
        <f>1/Table1[[#This Row],[odds_ft_draw]]-Table1[[#This Row],[Margin]]</f>
        <v>0.25498710311937506</v>
      </c>
      <c r="L393">
        <f>1/Table1[[#This Row],[odds_ft_away_team_win]]-Table1[[#This Row],[Margin]]</f>
        <v>0.33693332591066827</v>
      </c>
      <c r="M393">
        <v>6</v>
      </c>
      <c r="N393">
        <v>3</v>
      </c>
      <c r="O393">
        <v>0.5</v>
      </c>
      <c r="P393">
        <v>2.37</v>
      </c>
      <c r="Q393">
        <v>1.39</v>
      </c>
      <c r="R393" t="str" cm="1">
        <f t="array" ref="R3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93">
        <v>1</v>
      </c>
      <c r="T393">
        <v>3</v>
      </c>
      <c r="U393">
        <v>4</v>
      </c>
      <c r="V393">
        <v>2</v>
      </c>
      <c r="W393">
        <v>0</v>
      </c>
      <c r="X393">
        <v>2</v>
      </c>
      <c r="Y393">
        <v>75</v>
      </c>
      <c r="Z393" t="s">
        <v>778</v>
      </c>
      <c r="AA393">
        <v>6</v>
      </c>
      <c r="AB393">
        <v>3</v>
      </c>
      <c r="AC393">
        <v>1</v>
      </c>
      <c r="AD393">
        <v>1</v>
      </c>
      <c r="AE393">
        <v>1</v>
      </c>
      <c r="AF393">
        <v>2</v>
      </c>
      <c r="AG393">
        <v>0</v>
      </c>
      <c r="AH393">
        <v>2</v>
      </c>
      <c r="AI393">
        <v>1</v>
      </c>
      <c r="AJ393">
        <v>2</v>
      </c>
      <c r="AK393">
        <v>14</v>
      </c>
      <c r="AL393">
        <v>10</v>
      </c>
      <c r="AM393">
        <v>5</v>
      </c>
      <c r="AN393">
        <v>7</v>
      </c>
      <c r="AO393">
        <v>9</v>
      </c>
      <c r="AP393">
        <v>3</v>
      </c>
      <c r="AQ393">
        <v>10</v>
      </c>
      <c r="AR393">
        <v>15</v>
      </c>
      <c r="AS393">
        <v>56</v>
      </c>
      <c r="AT393">
        <v>44</v>
      </c>
      <c r="AU393">
        <v>1.57</v>
      </c>
      <c r="AV393">
        <v>1.25</v>
      </c>
      <c r="AW393">
        <v>2.75</v>
      </c>
      <c r="AX393">
        <v>50</v>
      </c>
      <c r="AY393">
        <v>75</v>
      </c>
      <c r="AZ393">
        <v>50</v>
      </c>
      <c r="BA393">
        <v>50</v>
      </c>
      <c r="BB393">
        <v>0</v>
      </c>
      <c r="BC393">
        <v>25</v>
      </c>
      <c r="BD393">
        <v>75</v>
      </c>
      <c r="BE393">
        <v>25</v>
      </c>
      <c r="BF393">
        <v>100</v>
      </c>
      <c r="BG393">
        <v>9</v>
      </c>
      <c r="BH393">
        <v>4.5</v>
      </c>
      <c r="BI393">
        <v>2.2999999999999998</v>
      </c>
      <c r="BJ393">
        <v>3.55</v>
      </c>
      <c r="BK393">
        <v>2.75</v>
      </c>
      <c r="BL393">
        <f>(1/Table1[[#This Row],[odds_ft_home_team_win]]+1/Table1[[#This Row],[odds_ft_draw]]+1/Table1[[#This Row],[odds_ft_away_team_win]]-1)/3</f>
        <v>2.6703037725695378E-2</v>
      </c>
      <c r="BM393">
        <v>1.19</v>
      </c>
      <c r="BN393">
        <v>1.62</v>
      </c>
      <c r="BO393">
        <v>2.6</v>
      </c>
      <c r="BP393">
        <v>4.5999999999999996</v>
      </c>
      <c r="BQ393">
        <v>1.53</v>
      </c>
      <c r="BR393">
        <v>2.35</v>
      </c>
      <c r="BS393" t="s">
        <v>116</v>
      </c>
      <c r="BT393">
        <f>VLOOKUP(Table1[[#This Row],[Reference]],metron,8,FALSE)</f>
        <v>1.5181603563290151</v>
      </c>
      <c r="BU393">
        <f>VLOOKUP(Table1[[#This Row],[Reference]],metron,9,FALSE)</f>
        <v>1.1952730370775513</v>
      </c>
      <c r="BV393">
        <f>VLOOKUP(Table1[[#This Row],[Reference]],metron,10,FALSE)</f>
        <v>2.4956155335383219</v>
      </c>
      <c r="BW393">
        <f>VLOOKUP(Table1[[#This Row],[Reference]],metron,11,FALSE)</f>
        <v>1.344038264434575</v>
      </c>
      <c r="BX393">
        <f>VLOOKUP(Table1[[#This Row],[Reference]],metron,12,FALSE)</f>
        <v>1.1515772691037469</v>
      </c>
      <c r="BY393" s="6">
        <f>VLOOKUP(Table1[[#This Row],[Reference]],metron,13,FALSE)</f>
        <v>0.59936225942375587</v>
      </c>
      <c r="BZ393" s="6">
        <f>VLOOKUP(Table1[[#This Row],[Reference]],metron,14,FALSE)</f>
        <v>0.50723152260562576</v>
      </c>
      <c r="CA393" s="6">
        <f>VLOOKUP(Table1[[#This Row],[Reference]],metron,15,FALSE)</f>
        <v>11.99278846153846</v>
      </c>
      <c r="CB393" s="6">
        <f>VLOOKUP(Table1[[#This Row],[Reference]],metron,16,FALSE)</f>
        <v>10.0277534965035</v>
      </c>
      <c r="CC393" s="6">
        <f>VLOOKUP(Table1[[#This Row],[Reference]],metron,17,FALSE)</f>
        <v>5.2857459543338514</v>
      </c>
      <c r="CD393" s="6">
        <f>VLOOKUP(Table1[[#This Row],[Reference]],metron,18,FALSE)</f>
        <v>4.4067834183107957</v>
      </c>
      <c r="CE393" s="6">
        <f>VLOOKUP(Table1[[#This Row],[Reference]],metron,19,FALSE)</f>
        <v>6.7070425072046085</v>
      </c>
      <c r="CF393" s="6">
        <f>VLOOKUP(Table1[[#This Row],[Reference]],metron,20,FALSE)</f>
        <v>5.6209700781927046</v>
      </c>
      <c r="CG393" s="6">
        <f>VLOOKUP(Table1[[#This Row],[Reference]],metron,21,FALSE)</f>
        <v>13.04463690872752</v>
      </c>
      <c r="CH393" s="6">
        <f>VLOOKUP(Table1[[#This Row],[Reference]],metron,22,FALSE)</f>
        <v>13.49811236953142</v>
      </c>
      <c r="CI393" s="6">
        <f>VLOOKUP(Table1[[#This Row],[Reference]],metron,23,FALSE)</f>
        <v>1.5836526181353769</v>
      </c>
      <c r="CJ393" s="6">
        <f>VLOOKUP(Table1[[#This Row],[Reference]],metron,24,FALSE)</f>
        <v>1.8744146445295871</v>
      </c>
      <c r="CK393" s="6">
        <f>VLOOKUP(Table1[[#This Row],[Reference]],metron,25,FALSE)</f>
        <v>8.5994040017028525E-2</v>
      </c>
      <c r="CL393" s="6">
        <f>VLOOKUP(Table1[[#This Row],[Reference]],metron,26,FALSE)</f>
        <v>0.13452532992762881</v>
      </c>
    </row>
    <row r="394" spans="1:90" hidden="1" x14ac:dyDescent="0.45">
      <c r="A394" t="s">
        <v>1346</v>
      </c>
      <c r="B394">
        <v>1598221800</v>
      </c>
      <c r="C394" s="23" t="s">
        <v>779</v>
      </c>
      <c r="D394" t="s">
        <v>65</v>
      </c>
      <c r="E394" t="s">
        <v>66</v>
      </c>
      <c r="F394" t="s">
        <v>79</v>
      </c>
      <c r="G394" t="s">
        <v>90</v>
      </c>
      <c r="H394" t="s">
        <v>69</v>
      </c>
      <c r="I394">
        <f>MROUND(Table1[[#This Row],[ProbH]]*100,2)/100</f>
        <v>0.36</v>
      </c>
      <c r="J394">
        <f>1/Table1[[#This Row],[odds_ft_home_team_win]]-Table1[[#This Row],[Margin]]</f>
        <v>0.3587599178997028</v>
      </c>
      <c r="K394">
        <f>1/Table1[[#This Row],[odds_ft_draw]]-Table1[[#This Row],[Margin]]</f>
        <v>0.29672517844560853</v>
      </c>
      <c r="L394">
        <f>1/Table1[[#This Row],[odds_ft_away_team_win]]-Table1[[#This Row],[Margin]]</f>
        <v>0.34451490365468856</v>
      </c>
      <c r="M394">
        <v>6</v>
      </c>
      <c r="N394">
        <v>3</v>
      </c>
      <c r="O394">
        <v>1.5</v>
      </c>
      <c r="P394">
        <v>2</v>
      </c>
      <c r="Q394">
        <v>1.35</v>
      </c>
      <c r="R394" t="str" cm="1">
        <f t="array" ref="R3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60</v>
      </c>
      <c r="AA394">
        <v>2</v>
      </c>
      <c r="AB394">
        <v>6</v>
      </c>
      <c r="AC394">
        <v>3</v>
      </c>
      <c r="AD394">
        <v>0</v>
      </c>
      <c r="AE394">
        <v>2</v>
      </c>
      <c r="AF394">
        <v>0</v>
      </c>
      <c r="AG394">
        <v>0</v>
      </c>
      <c r="AH394">
        <v>3</v>
      </c>
      <c r="AI394">
        <v>0</v>
      </c>
      <c r="AJ394">
        <v>2</v>
      </c>
      <c r="AK394">
        <v>14</v>
      </c>
      <c r="AL394">
        <v>21</v>
      </c>
      <c r="AM394">
        <v>5</v>
      </c>
      <c r="AN394">
        <v>4</v>
      </c>
      <c r="AO394">
        <v>9</v>
      </c>
      <c r="AP394">
        <v>17</v>
      </c>
      <c r="AQ394">
        <v>12</v>
      </c>
      <c r="AR394">
        <v>13</v>
      </c>
      <c r="AS394">
        <v>46</v>
      </c>
      <c r="AT394">
        <v>54</v>
      </c>
      <c r="AU394">
        <v>1.52</v>
      </c>
      <c r="AV394">
        <v>2.0299999999999998</v>
      </c>
      <c r="AW394">
        <v>3.5</v>
      </c>
      <c r="AX394">
        <v>50</v>
      </c>
      <c r="AY394">
        <v>100</v>
      </c>
      <c r="AZ394">
        <v>50</v>
      </c>
      <c r="BA394">
        <v>50</v>
      </c>
      <c r="BB394">
        <v>50</v>
      </c>
      <c r="BC394">
        <v>50</v>
      </c>
      <c r="BD394">
        <v>75</v>
      </c>
      <c r="BE394">
        <v>75</v>
      </c>
      <c r="BF394">
        <v>100</v>
      </c>
      <c r="BG394">
        <v>8</v>
      </c>
      <c r="BH394">
        <v>7.5</v>
      </c>
      <c r="BI394">
        <v>2.6</v>
      </c>
      <c r="BJ394">
        <v>3.1</v>
      </c>
      <c r="BK394">
        <v>2.7</v>
      </c>
      <c r="BL394">
        <f>(1/Table1[[#This Row],[odds_ft_home_team_win]]+1/Table1[[#This Row],[odds_ft_draw]]+1/Table1[[#This Row],[odds_ft_away_team_win]]-1)/3</f>
        <v>2.5855466715681768E-2</v>
      </c>
      <c r="BM394">
        <v>1.29</v>
      </c>
      <c r="BN394">
        <v>1.91</v>
      </c>
      <c r="BO394">
        <v>3.3</v>
      </c>
      <c r="BP394">
        <v>6.35</v>
      </c>
      <c r="BQ394">
        <v>1.69</v>
      </c>
      <c r="BR394">
        <v>2.0499999999999998</v>
      </c>
      <c r="BS394" t="s">
        <v>140</v>
      </c>
      <c r="BT394">
        <f>VLOOKUP(Table1[[#This Row],[Reference]],metron,8,FALSE)</f>
        <v>1.4023864615972674</v>
      </c>
      <c r="BU394">
        <f>VLOOKUP(Table1[[#This Row],[Reference]],metron,9,FALSE)</f>
        <v>1.3093265904245279</v>
      </c>
      <c r="BV394">
        <f>VLOOKUP(Table1[[#This Row],[Reference]],metron,10,FALSE)</f>
        <v>2.5110350525197691</v>
      </c>
      <c r="BW394">
        <f>VLOOKUP(Table1[[#This Row],[Reference]],metron,11,FALSE)</f>
        <v>1.269326094653606</v>
      </c>
      <c r="BX394">
        <f>VLOOKUP(Table1[[#This Row],[Reference]],metron,12,FALSE)</f>
        <v>1.2417089578661631</v>
      </c>
      <c r="BY394" s="6">
        <f>VLOOKUP(Table1[[#This Row],[Reference]],metron,13,FALSE)</f>
        <v>0.56586402266288949</v>
      </c>
      <c r="BZ394" s="6">
        <f>VLOOKUP(Table1[[#This Row],[Reference]],metron,14,FALSE)</f>
        <v>0.55158168083097259</v>
      </c>
      <c r="CA394" s="6">
        <f>VLOOKUP(Table1[[#This Row],[Reference]],metron,15,FALSE)</f>
        <v>11.49400826446281</v>
      </c>
      <c r="CB394" s="6">
        <f>VLOOKUP(Table1[[#This Row],[Reference]],metron,16,FALSE)</f>
        <v>10.507231404958681</v>
      </c>
      <c r="CC394" s="6">
        <f>VLOOKUP(Table1[[#This Row],[Reference]],metron,17,FALSE)</f>
        <v>4.9238790406673623</v>
      </c>
      <c r="CD394" s="6">
        <f>VLOOKUP(Table1[[#This Row],[Reference]],metron,18,FALSE)</f>
        <v>4.6296141814389991</v>
      </c>
      <c r="CE394" s="6">
        <f>VLOOKUP(Table1[[#This Row],[Reference]],metron,19,FALSE)</f>
        <v>6.5701292237954476</v>
      </c>
      <c r="CF394" s="6">
        <f>VLOOKUP(Table1[[#This Row],[Reference]],metron,20,FALSE)</f>
        <v>5.8776172235196817</v>
      </c>
      <c r="CG394" s="6">
        <f>VLOOKUP(Table1[[#This Row],[Reference]],metron,21,FALSE)</f>
        <v>12.798739495798319</v>
      </c>
      <c r="CH394" s="6">
        <f>VLOOKUP(Table1[[#This Row],[Reference]],metron,22,FALSE)</f>
        <v>12.98844537815126</v>
      </c>
      <c r="CI394" s="6">
        <f>VLOOKUP(Table1[[#This Row],[Reference]],metron,23,FALSE)</f>
        <v>1.604928297313674</v>
      </c>
      <c r="CJ394" s="6">
        <f>VLOOKUP(Table1[[#This Row],[Reference]],metron,24,FALSE)</f>
        <v>1.791961219955565</v>
      </c>
      <c r="CK394" s="6">
        <f>VLOOKUP(Table1[[#This Row],[Reference]],metron,25,FALSE)</f>
        <v>8.887093516461321E-2</v>
      </c>
      <c r="CL394" s="6">
        <f>VLOOKUP(Table1[[#This Row],[Reference]],metron,26,FALSE)</f>
        <v>0.11694607150070691</v>
      </c>
    </row>
    <row r="395" spans="1:90" hidden="1" x14ac:dyDescent="0.45">
      <c r="A395" t="s">
        <v>1346</v>
      </c>
      <c r="B395">
        <v>1598229300</v>
      </c>
      <c r="C395" s="23" t="s">
        <v>780</v>
      </c>
      <c r="D395" t="s">
        <v>65</v>
      </c>
      <c r="E395" t="s">
        <v>66</v>
      </c>
      <c r="F395" t="s">
        <v>91</v>
      </c>
      <c r="G395" t="s">
        <v>112</v>
      </c>
      <c r="H395" t="s">
        <v>103</v>
      </c>
      <c r="I395">
        <f>MROUND(Table1[[#This Row],[ProbH]]*100,2)/100</f>
        <v>0.2</v>
      </c>
      <c r="J395">
        <f>1/Table1[[#This Row],[odds_ft_home_team_win]]-Table1[[#This Row],[Margin]]</f>
        <v>0.19483161588424747</v>
      </c>
      <c r="K395">
        <f>1/Table1[[#This Row],[odds_ft_draw]]-Table1[[#This Row],[Margin]]</f>
        <v>0.24532166637429792</v>
      </c>
      <c r="L395">
        <f>1/Table1[[#This Row],[odds_ft_away_team_win]]-Table1[[#This Row],[Margin]]</f>
        <v>0.55984671774145456</v>
      </c>
      <c r="M395">
        <v>6</v>
      </c>
      <c r="N395">
        <v>1</v>
      </c>
      <c r="O395">
        <v>0.5</v>
      </c>
      <c r="P395">
        <v>1</v>
      </c>
      <c r="Q395">
        <v>1.77</v>
      </c>
      <c r="R395" t="str" cm="1">
        <f t="array" ref="R3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95">
        <v>1</v>
      </c>
      <c r="T395">
        <v>3</v>
      </c>
      <c r="U395">
        <v>4</v>
      </c>
      <c r="V395">
        <v>3</v>
      </c>
      <c r="W395">
        <v>1</v>
      </c>
      <c r="X395">
        <v>2</v>
      </c>
      <c r="Y395">
        <v>45</v>
      </c>
      <c r="Z395" t="s">
        <v>781</v>
      </c>
      <c r="AA395">
        <v>7</v>
      </c>
      <c r="AB395">
        <v>2</v>
      </c>
      <c r="AC395">
        <v>0</v>
      </c>
      <c r="AD395">
        <v>0</v>
      </c>
      <c r="AE395">
        <v>3</v>
      </c>
      <c r="AF395">
        <v>0</v>
      </c>
      <c r="AG395">
        <v>0</v>
      </c>
      <c r="AH395">
        <v>0</v>
      </c>
      <c r="AI395">
        <v>2</v>
      </c>
      <c r="AJ395">
        <v>1</v>
      </c>
      <c r="AK395">
        <v>12</v>
      </c>
      <c r="AL395">
        <v>9</v>
      </c>
      <c r="AM395">
        <v>2</v>
      </c>
      <c r="AN395">
        <v>4</v>
      </c>
      <c r="AO395">
        <v>10</v>
      </c>
      <c r="AP395">
        <v>5</v>
      </c>
      <c r="AQ395">
        <v>15</v>
      </c>
      <c r="AR395">
        <v>10</v>
      </c>
      <c r="AS395">
        <v>55</v>
      </c>
      <c r="AT395">
        <v>45</v>
      </c>
      <c r="AU395">
        <v>1.25</v>
      </c>
      <c r="AV395">
        <v>1.28</v>
      </c>
      <c r="AW395">
        <v>1.75</v>
      </c>
      <c r="AX395">
        <v>75</v>
      </c>
      <c r="AY395">
        <v>75</v>
      </c>
      <c r="AZ395">
        <v>0</v>
      </c>
      <c r="BA395">
        <v>0</v>
      </c>
      <c r="BB395">
        <v>0</v>
      </c>
      <c r="BC395">
        <v>25</v>
      </c>
      <c r="BD395">
        <v>75</v>
      </c>
      <c r="BE395">
        <v>25</v>
      </c>
      <c r="BF395">
        <v>50</v>
      </c>
      <c r="BG395">
        <v>15.5</v>
      </c>
      <c r="BH395">
        <v>5.5</v>
      </c>
      <c r="BI395">
        <v>4.55</v>
      </c>
      <c r="BJ395">
        <v>3.7</v>
      </c>
      <c r="BK395">
        <v>1.71</v>
      </c>
      <c r="BL395">
        <f>(1/Table1[[#This Row],[odds_ft_home_team_win]]+1/Table1[[#This Row],[odds_ft_draw]]+1/Table1[[#This Row],[odds_ft_away_team_win]]-1)/3</f>
        <v>2.494860389597231E-2</v>
      </c>
      <c r="BM395">
        <v>1.25</v>
      </c>
      <c r="BN395">
        <v>1.8</v>
      </c>
      <c r="BO395">
        <v>3.05</v>
      </c>
      <c r="BP395">
        <v>5.7</v>
      </c>
      <c r="BQ395">
        <v>1.77</v>
      </c>
      <c r="BR395">
        <v>1.95</v>
      </c>
      <c r="BS395" t="s">
        <v>144</v>
      </c>
      <c r="BT395">
        <f>VLOOKUP(Table1[[#This Row],[Reference]],metron,8,FALSE)</f>
        <v>0.89040268062788797</v>
      </c>
      <c r="BU395">
        <f>VLOOKUP(Table1[[#This Row],[Reference]],metron,9,FALSE)</f>
        <v>1.8482406971105219</v>
      </c>
      <c r="BV395">
        <f>VLOOKUP(Table1[[#This Row],[Reference]],metron,10,FALSE)</f>
        <v>2.7065095398428731</v>
      </c>
      <c r="BW395">
        <f>VLOOKUP(Table1[[#This Row],[Reference]],metron,11,FALSE)</f>
        <v>1.0101010101010099</v>
      </c>
      <c r="BX395">
        <f>VLOOKUP(Table1[[#This Row],[Reference]],metron,12,FALSE)</f>
        <v>1.696408529741863</v>
      </c>
      <c r="BY395" s="6">
        <f>VLOOKUP(Table1[[#This Row],[Reference]],metron,13,FALSE)</f>
        <v>0.44044943820224719</v>
      </c>
      <c r="BZ395" s="6">
        <f>VLOOKUP(Table1[[#This Row],[Reference]],metron,14,FALSE)</f>
        <v>0.74606741573033708</v>
      </c>
      <c r="CA395" s="6">
        <f>VLOOKUP(Table1[[#This Row],[Reference]],metron,15,FALSE)</f>
        <v>10.265072765072761</v>
      </c>
      <c r="CB395" s="6">
        <f>VLOOKUP(Table1[[#This Row],[Reference]],metron,16,FALSE)</f>
        <v>13.023908523908521</v>
      </c>
      <c r="CC395" s="6">
        <f>VLOOKUP(Table1[[#This Row],[Reference]],metron,17,FALSE)</f>
        <v>4.0483193277310923</v>
      </c>
      <c r="CD395" s="6">
        <f>VLOOKUP(Table1[[#This Row],[Reference]],metron,18,FALSE)</f>
        <v>5.60609243697479</v>
      </c>
      <c r="CE395" s="6">
        <f>VLOOKUP(Table1[[#This Row],[Reference]],metron,19,FALSE)</f>
        <v>6.2167534373416684</v>
      </c>
      <c r="CF395" s="6">
        <f>VLOOKUP(Table1[[#This Row],[Reference]],metron,20,FALSE)</f>
        <v>7.4178160869337306</v>
      </c>
      <c r="CG395" s="6">
        <f>VLOOKUP(Table1[[#This Row],[Reference]],metron,21,FALSE)</f>
        <v>13.223628691983119</v>
      </c>
      <c r="CH395" s="6">
        <f>VLOOKUP(Table1[[#This Row],[Reference]],metron,22,FALSE)</f>
        <v>12.78586497890295</v>
      </c>
      <c r="CI395" s="6">
        <f>VLOOKUP(Table1[[#This Row],[Reference]],metron,23,FALSE)</f>
        <v>1.8442211055276381</v>
      </c>
      <c r="CJ395" s="6">
        <f>VLOOKUP(Table1[[#This Row],[Reference]],metron,24,FALSE)</f>
        <v>1.7989949748743721</v>
      </c>
      <c r="CK395" s="6">
        <f>VLOOKUP(Table1[[#This Row],[Reference]],metron,25,FALSE)</f>
        <v>0.12060301507537689</v>
      </c>
      <c r="CL395" s="6">
        <f>VLOOKUP(Table1[[#This Row],[Reference]],metron,26,FALSE)</f>
        <v>0.11658291457286429</v>
      </c>
    </row>
    <row r="396" spans="1:90" hidden="1" x14ac:dyDescent="0.45">
      <c r="A396" t="s">
        <v>1346</v>
      </c>
      <c r="B396">
        <v>1598234760</v>
      </c>
      <c r="C396" s="23" t="s">
        <v>782</v>
      </c>
      <c r="D396" t="s">
        <v>65</v>
      </c>
      <c r="E396" t="s">
        <v>66</v>
      </c>
      <c r="F396" t="s">
        <v>106</v>
      </c>
      <c r="G396" t="s">
        <v>102</v>
      </c>
      <c r="H396" t="s">
        <v>114</v>
      </c>
      <c r="I396">
        <f>MROUND(Table1[[#This Row],[ProbH]]*100,2)/100</f>
        <v>0.48</v>
      </c>
      <c r="J396">
        <f>1/Table1[[#This Row],[odds_ft_home_team_win]]-Table1[[#This Row],[Margin]]</f>
        <v>0.48874248179803736</v>
      </c>
      <c r="K396">
        <f>1/Table1[[#This Row],[odds_ft_draw]]-Table1[[#This Row],[Margin]]</f>
        <v>0.28842196897752448</v>
      </c>
      <c r="L396">
        <f>1/Table1[[#This Row],[odds_ft_away_team_win]]-Table1[[#This Row],[Margin]]</f>
        <v>0.22283554922443807</v>
      </c>
      <c r="M396">
        <v>6</v>
      </c>
      <c r="N396">
        <v>1.33</v>
      </c>
      <c r="O396">
        <v>2</v>
      </c>
      <c r="P396">
        <v>1.59</v>
      </c>
      <c r="Q396">
        <v>1.33</v>
      </c>
      <c r="R396" t="str" cm="1">
        <f t="array" ref="R3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6">
        <v>1</v>
      </c>
      <c r="T396">
        <v>0</v>
      </c>
      <c r="U396">
        <v>1</v>
      </c>
      <c r="V396">
        <v>1</v>
      </c>
      <c r="W396">
        <v>1</v>
      </c>
      <c r="X396">
        <v>0</v>
      </c>
      <c r="Y396">
        <v>34</v>
      </c>
      <c r="AA396">
        <v>8</v>
      </c>
      <c r="AB396">
        <v>4</v>
      </c>
      <c r="AC396">
        <v>1</v>
      </c>
      <c r="AD396">
        <v>0</v>
      </c>
      <c r="AE396">
        <v>5</v>
      </c>
      <c r="AF396">
        <v>2</v>
      </c>
      <c r="AG396">
        <v>0</v>
      </c>
      <c r="AH396">
        <v>1</v>
      </c>
      <c r="AI396">
        <v>0</v>
      </c>
      <c r="AJ396">
        <v>7</v>
      </c>
      <c r="AK396">
        <v>16</v>
      </c>
      <c r="AL396">
        <v>5</v>
      </c>
      <c r="AM396">
        <v>2</v>
      </c>
      <c r="AN396">
        <v>2</v>
      </c>
      <c r="AO396">
        <v>14</v>
      </c>
      <c r="AP396">
        <v>3</v>
      </c>
      <c r="AQ396">
        <v>18</v>
      </c>
      <c r="AR396">
        <v>16</v>
      </c>
      <c r="AS396">
        <v>56</v>
      </c>
      <c r="AT396">
        <v>44</v>
      </c>
      <c r="AU396">
        <v>1.43</v>
      </c>
      <c r="AV396">
        <v>0.79</v>
      </c>
      <c r="AW396">
        <v>2.5</v>
      </c>
      <c r="AX396">
        <v>50</v>
      </c>
      <c r="AY396">
        <v>67</v>
      </c>
      <c r="AZ396">
        <v>50</v>
      </c>
      <c r="BA396">
        <v>33</v>
      </c>
      <c r="BB396">
        <v>17</v>
      </c>
      <c r="BC396">
        <v>50</v>
      </c>
      <c r="BD396">
        <v>67</v>
      </c>
      <c r="BE396">
        <v>33</v>
      </c>
      <c r="BF396">
        <v>84</v>
      </c>
      <c r="BG396">
        <v>8.33</v>
      </c>
      <c r="BH396">
        <v>3.66</v>
      </c>
      <c r="BI396">
        <v>1.95</v>
      </c>
      <c r="BJ396">
        <v>3.2</v>
      </c>
      <c r="BK396">
        <v>4.05</v>
      </c>
      <c r="BL396">
        <f>(1/Table1[[#This Row],[odds_ft_home_team_win]]+1/Table1[[#This Row],[odds_ft_draw]]+1/Table1[[#This Row],[odds_ft_away_team_win]]-1)/3</f>
        <v>2.4078031022475521E-2</v>
      </c>
      <c r="BM396">
        <v>1.38</v>
      </c>
      <c r="BN396">
        <v>2.2000000000000002</v>
      </c>
      <c r="BO396">
        <v>4.0999999999999996</v>
      </c>
      <c r="BP396">
        <v>8</v>
      </c>
      <c r="BQ396">
        <v>1.95</v>
      </c>
      <c r="BR396">
        <v>1.8</v>
      </c>
      <c r="BS396" t="s">
        <v>110</v>
      </c>
      <c r="BT396">
        <f>VLOOKUP(Table1[[#This Row],[Reference]],metron,8,FALSE)</f>
        <v>1.743992017160418</v>
      </c>
      <c r="BU396">
        <f>VLOOKUP(Table1[[#This Row],[Reference]],metron,9,FALSE)</f>
        <v>0.97803937284245479</v>
      </c>
      <c r="BV396">
        <f>VLOOKUP(Table1[[#This Row],[Reference]],metron,10,FALSE)</f>
        <v>2.5271929824561399</v>
      </c>
      <c r="BW396">
        <f>VLOOKUP(Table1[[#This Row],[Reference]],metron,11,FALSE)</f>
        <v>1.510877192982456</v>
      </c>
      <c r="BX396">
        <f>VLOOKUP(Table1[[#This Row],[Reference]],metron,12,FALSE)</f>
        <v>1.0163157894736841</v>
      </c>
      <c r="BY396" s="6">
        <f>VLOOKUP(Table1[[#This Row],[Reference]],metron,13,FALSE)</f>
        <v>0.67350877192982461</v>
      </c>
      <c r="BZ396" s="6">
        <f>VLOOKUP(Table1[[#This Row],[Reference]],metron,14,FALSE)</f>
        <v>0.4442105263157895</v>
      </c>
      <c r="CA396" s="6">
        <f>VLOOKUP(Table1[[#This Row],[Reference]],metron,15,FALSE)</f>
        <v>12.80980392156863</v>
      </c>
      <c r="CB396" s="6">
        <f>VLOOKUP(Table1[[#This Row],[Reference]],metron,16,FALSE)</f>
        <v>9.6872549019607845</v>
      </c>
      <c r="CC396" s="6">
        <f>VLOOKUP(Table1[[#This Row],[Reference]],metron,17,FALSE)</f>
        <v>5.6491169610129957</v>
      </c>
      <c r="CD396" s="6">
        <f>VLOOKUP(Table1[[#This Row],[Reference]],metron,18,FALSE)</f>
        <v>4.1379540153282237</v>
      </c>
      <c r="CE396" s="6">
        <f>VLOOKUP(Table1[[#This Row],[Reference]],metron,19,FALSE)</f>
        <v>7.1606869605556343</v>
      </c>
      <c r="CF396" s="6">
        <f>VLOOKUP(Table1[[#This Row],[Reference]],metron,20,FALSE)</f>
        <v>5.5493008866325608</v>
      </c>
      <c r="CG396" s="6">
        <f>VLOOKUP(Table1[[#This Row],[Reference]],metron,21,FALSE)</f>
        <v>12.9029029029029</v>
      </c>
      <c r="CH396" s="6">
        <f>VLOOKUP(Table1[[#This Row],[Reference]],metron,22,FALSE)</f>
        <v>13.75508842175509</v>
      </c>
      <c r="CI396" s="6">
        <f>VLOOKUP(Table1[[#This Row],[Reference]],metron,23,FALSE)</f>
        <v>1.5287356321839081</v>
      </c>
      <c r="CJ396" s="6">
        <f>VLOOKUP(Table1[[#This Row],[Reference]],metron,24,FALSE)</f>
        <v>1.9664750957854411</v>
      </c>
      <c r="CK396" s="6">
        <f>VLOOKUP(Table1[[#This Row],[Reference]],metron,25,FALSE)</f>
        <v>8.8441890166028103E-2</v>
      </c>
      <c r="CL396" s="6">
        <f>VLOOKUP(Table1[[#This Row],[Reference]],metron,26,FALSE)</f>
        <v>0.13409961685823751</v>
      </c>
    </row>
    <row r="397" spans="1:90" hidden="1" x14ac:dyDescent="0.45">
      <c r="A397" t="s">
        <v>1346</v>
      </c>
      <c r="B397">
        <v>1598321100</v>
      </c>
      <c r="C397" s="23" t="s">
        <v>783</v>
      </c>
      <c r="D397" t="s">
        <v>65</v>
      </c>
      <c r="E397" t="s">
        <v>66</v>
      </c>
      <c r="F397" t="s">
        <v>84</v>
      </c>
      <c r="G397" t="s">
        <v>113</v>
      </c>
      <c r="H397" t="s">
        <v>158</v>
      </c>
      <c r="I397">
        <f>MROUND(Table1[[#This Row],[ProbH]]*100,2)/100</f>
        <v>0.52</v>
      </c>
      <c r="J397">
        <f>1/Table1[[#This Row],[odds_ft_home_team_win]]-Table1[[#This Row],[Margin]]</f>
        <v>0.5207463102199944</v>
      </c>
      <c r="K397">
        <f>1/Table1[[#This Row],[odds_ft_draw]]-Table1[[#This Row],[Margin]]</f>
        <v>0.25090504037872458</v>
      </c>
      <c r="L397">
        <f>1/Table1[[#This Row],[odds_ft_away_team_win]]-Table1[[#This Row],[Margin]]</f>
        <v>0.22834864940128094</v>
      </c>
      <c r="M397">
        <v>6</v>
      </c>
      <c r="N397">
        <v>1</v>
      </c>
      <c r="O397">
        <v>0.5</v>
      </c>
      <c r="P397">
        <v>1.43</v>
      </c>
      <c r="Q397">
        <v>0.65</v>
      </c>
      <c r="R397" s="9" t="str" cm="1">
        <f t="array" ref="R3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7">
        <v>4</v>
      </c>
      <c r="T397">
        <v>3</v>
      </c>
      <c r="U397">
        <v>7</v>
      </c>
      <c r="V397">
        <v>3</v>
      </c>
      <c r="W397">
        <v>2</v>
      </c>
      <c r="X397">
        <v>1</v>
      </c>
      <c r="Y397" t="s">
        <v>784</v>
      </c>
      <c r="Z397" t="s">
        <v>785</v>
      </c>
      <c r="AA397">
        <v>9</v>
      </c>
      <c r="AB397">
        <v>7</v>
      </c>
      <c r="AC397">
        <v>3</v>
      </c>
      <c r="AD397">
        <v>0</v>
      </c>
      <c r="AE397">
        <v>3</v>
      </c>
      <c r="AF397">
        <v>0</v>
      </c>
      <c r="AG397">
        <v>1</v>
      </c>
      <c r="AH397">
        <v>2</v>
      </c>
      <c r="AI397">
        <v>2</v>
      </c>
      <c r="AJ397">
        <v>1</v>
      </c>
      <c r="AK397">
        <v>21</v>
      </c>
      <c r="AL397">
        <v>13</v>
      </c>
      <c r="AM397">
        <v>9</v>
      </c>
      <c r="AN397">
        <v>6</v>
      </c>
      <c r="AO397">
        <v>12</v>
      </c>
      <c r="AP397">
        <v>7</v>
      </c>
      <c r="AQ397">
        <v>14</v>
      </c>
      <c r="AR397">
        <v>11</v>
      </c>
      <c r="AS397">
        <v>53</v>
      </c>
      <c r="AT397">
        <v>47</v>
      </c>
      <c r="AU397">
        <v>2.2400000000000002</v>
      </c>
      <c r="AV397">
        <v>1.5</v>
      </c>
      <c r="AW397">
        <v>1.59</v>
      </c>
      <c r="AX397">
        <v>42</v>
      </c>
      <c r="AY397">
        <v>42</v>
      </c>
      <c r="AZ397">
        <v>17</v>
      </c>
      <c r="BA397">
        <v>0</v>
      </c>
      <c r="BB397">
        <v>0</v>
      </c>
      <c r="BC397">
        <v>0</v>
      </c>
      <c r="BD397">
        <v>42</v>
      </c>
      <c r="BE397">
        <v>42</v>
      </c>
      <c r="BF397">
        <v>59</v>
      </c>
      <c r="BG397">
        <v>6</v>
      </c>
      <c r="BH397">
        <v>7.17</v>
      </c>
      <c r="BI397">
        <v>1.8</v>
      </c>
      <c r="BJ397">
        <v>3.5</v>
      </c>
      <c r="BK397">
        <v>3.8</v>
      </c>
      <c r="BL397">
        <f>(1/Table1[[#This Row],[odds_ft_home_team_win]]+1/Table1[[#This Row],[odds_ft_draw]]+1/Table1[[#This Row],[odds_ft_away_team_win]]-1)/3</f>
        <v>3.4809245335561144E-2</v>
      </c>
      <c r="BM397">
        <v>0</v>
      </c>
      <c r="BN397">
        <v>1.8</v>
      </c>
      <c r="BO397">
        <v>0</v>
      </c>
      <c r="BP397">
        <v>0</v>
      </c>
      <c r="BQ397">
        <v>0</v>
      </c>
      <c r="BR397">
        <v>0</v>
      </c>
      <c r="BS397" t="s">
        <v>88</v>
      </c>
      <c r="BT397">
        <f>VLOOKUP(Table1[[#This Row],[Reference]],metron,8,FALSE)</f>
        <v>1.8614830167843088</v>
      </c>
      <c r="BU397">
        <f>VLOOKUP(Table1[[#This Row],[Reference]],metron,9,FALSE)</f>
        <v>0.87079851622593896</v>
      </c>
      <c r="BV397">
        <f>VLOOKUP(Table1[[#This Row],[Reference]],metron,10,FALSE)</f>
        <v>2.5967403582378576</v>
      </c>
      <c r="BW397">
        <f>VLOOKUP(Table1[[#This Row],[Reference]],metron,11,FALSE)</f>
        <v>1.625948039373891</v>
      </c>
      <c r="BX397">
        <f>VLOOKUP(Table1[[#This Row],[Reference]],metron,12,FALSE)</f>
        <v>0.97079231886396644</v>
      </c>
      <c r="BY397" s="6">
        <f>VLOOKUP(Table1[[#This Row],[Reference]],metron,13,FALSE)</f>
        <v>0.71433182698515174</v>
      </c>
      <c r="BZ397" s="6">
        <f>VLOOKUP(Table1[[#This Row],[Reference]],metron,14,FALSE)</f>
        <v>0.43011620400258233</v>
      </c>
      <c r="CA397" s="6">
        <f>VLOOKUP(Table1[[#This Row],[Reference]],metron,15,FALSE)</f>
        <v>13.39951055368614</v>
      </c>
      <c r="CB397" s="6">
        <f>VLOOKUP(Table1[[#This Row],[Reference]],metron,16,FALSE)</f>
        <v>9.4252064851636579</v>
      </c>
      <c r="CC397" s="6">
        <f>VLOOKUP(Table1[[#This Row],[Reference]],metron,17,FALSE)</f>
        <v>5.7628422023992618</v>
      </c>
      <c r="CD397" s="6">
        <f>VLOOKUP(Table1[[#This Row],[Reference]],metron,18,FALSE)</f>
        <v>3.9375576745616732</v>
      </c>
      <c r="CE397" s="6">
        <f>VLOOKUP(Table1[[#This Row],[Reference]],metron,19,FALSE)</f>
        <v>7.636668351286878</v>
      </c>
      <c r="CF397" s="6">
        <f>VLOOKUP(Table1[[#This Row],[Reference]],metron,20,FALSE)</f>
        <v>5.4876488106019847</v>
      </c>
      <c r="CG397" s="6">
        <f>VLOOKUP(Table1[[#This Row],[Reference]],metron,21,FALSE)</f>
        <v>12.460420531849101</v>
      </c>
      <c r="CH397" s="6">
        <f>VLOOKUP(Table1[[#This Row],[Reference]],metron,22,FALSE)</f>
        <v>13.44897959183673</v>
      </c>
      <c r="CI397" s="6">
        <f>VLOOKUP(Table1[[#This Row],[Reference]],metron,23,FALSE)</f>
        <v>1.462202380952381</v>
      </c>
      <c r="CJ397" s="6">
        <f>VLOOKUP(Table1[[#This Row],[Reference]],metron,24,FALSE)</f>
        <v>2.01547619047619</v>
      </c>
      <c r="CK397" s="6">
        <f>VLOOKUP(Table1[[#This Row],[Reference]],metron,25,FALSE)</f>
        <v>7.7380952380952384E-2</v>
      </c>
      <c r="CL397" s="6">
        <f>VLOOKUP(Table1[[#This Row],[Reference]],metron,26,FALSE)</f>
        <v>0.13754093480202439</v>
      </c>
    </row>
    <row r="398" spans="1:90" hidden="1" x14ac:dyDescent="0.45">
      <c r="A398" t="s">
        <v>1346</v>
      </c>
      <c r="B398">
        <v>1598661000</v>
      </c>
      <c r="C398" s="23" t="s">
        <v>786</v>
      </c>
      <c r="D398" t="s">
        <v>65</v>
      </c>
      <c r="E398" t="s">
        <v>66</v>
      </c>
      <c r="F398" t="s">
        <v>102</v>
      </c>
      <c r="G398" t="s">
        <v>79</v>
      </c>
      <c r="H398" t="s">
        <v>92</v>
      </c>
      <c r="I398">
        <f>MROUND(Table1[[#This Row],[ProbH]]*100,2)/100</f>
        <v>0.32</v>
      </c>
      <c r="J398">
        <f>1/Table1[[#This Row],[odds_ft_home_team_win]]-Table1[[#This Row],[Margin]]</f>
        <v>0.32703037355292991</v>
      </c>
      <c r="K398">
        <f>1/Table1[[#This Row],[odds_ft_draw]]-Table1[[#This Row],[Margin]]</f>
        <v>0.28865318057047379</v>
      </c>
      <c r="L398">
        <f>1/Table1[[#This Row],[odds_ft_away_team_win]]-Table1[[#This Row],[Margin]]</f>
        <v>0.38431644587659619</v>
      </c>
      <c r="M398">
        <v>7</v>
      </c>
      <c r="N398">
        <v>0.5</v>
      </c>
      <c r="O398">
        <v>1</v>
      </c>
      <c r="P398">
        <v>1.5</v>
      </c>
      <c r="Q398">
        <v>0.55000000000000004</v>
      </c>
      <c r="R398" t="str" cm="1">
        <f t="array" ref="R3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8">
        <v>4</v>
      </c>
      <c r="T398">
        <v>1</v>
      </c>
      <c r="U398">
        <v>5</v>
      </c>
      <c r="V398">
        <v>3</v>
      </c>
      <c r="W398">
        <v>2</v>
      </c>
      <c r="X398">
        <v>1</v>
      </c>
      <c r="Y398" t="s">
        <v>787</v>
      </c>
      <c r="Z398">
        <v>20</v>
      </c>
      <c r="AA398">
        <v>2</v>
      </c>
      <c r="AB398">
        <v>13</v>
      </c>
      <c r="AC398">
        <v>1</v>
      </c>
      <c r="AD398">
        <v>0</v>
      </c>
      <c r="AE398">
        <v>2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15</v>
      </c>
      <c r="AL398">
        <v>17</v>
      </c>
      <c r="AM398">
        <v>7</v>
      </c>
      <c r="AN398">
        <v>7</v>
      </c>
      <c r="AO398">
        <v>8</v>
      </c>
      <c r="AP398">
        <v>10</v>
      </c>
      <c r="AQ398">
        <v>11</v>
      </c>
      <c r="AR398">
        <v>14</v>
      </c>
      <c r="AS398">
        <v>43</v>
      </c>
      <c r="AT398">
        <v>57</v>
      </c>
      <c r="AU398">
        <v>1.64</v>
      </c>
      <c r="AV398">
        <v>1.98</v>
      </c>
      <c r="AW398">
        <v>2.42</v>
      </c>
      <c r="AX398">
        <v>75</v>
      </c>
      <c r="AY398">
        <v>75</v>
      </c>
      <c r="AZ398">
        <v>50</v>
      </c>
      <c r="BA398">
        <v>17</v>
      </c>
      <c r="BB398">
        <v>0</v>
      </c>
      <c r="BC398">
        <v>50</v>
      </c>
      <c r="BD398">
        <v>50</v>
      </c>
      <c r="BE398">
        <v>42</v>
      </c>
      <c r="BF398">
        <v>84</v>
      </c>
      <c r="BG398">
        <v>6.83</v>
      </c>
      <c r="BH398">
        <v>4.67</v>
      </c>
      <c r="BI398">
        <v>2.85</v>
      </c>
      <c r="BJ398">
        <v>3.2</v>
      </c>
      <c r="BK398">
        <v>2.4500000000000002</v>
      </c>
      <c r="BL398">
        <f>(1/Table1[[#This Row],[odds_ft_home_team_win]]+1/Table1[[#This Row],[odds_ft_draw]]+1/Table1[[#This Row],[odds_ft_away_team_win]]-1)/3</f>
        <v>2.3846819429526194E-2</v>
      </c>
      <c r="BM398">
        <v>1.33</v>
      </c>
      <c r="BN398">
        <v>2</v>
      </c>
      <c r="BO398">
        <v>3.65</v>
      </c>
      <c r="BP398">
        <v>7</v>
      </c>
      <c r="BQ398">
        <v>1.8</v>
      </c>
      <c r="BR398">
        <v>1.95</v>
      </c>
      <c r="BS398" t="s">
        <v>124</v>
      </c>
      <c r="BT398">
        <f>VLOOKUP(Table1[[#This Row],[Reference]],metron,8,FALSE)</f>
        <v>1.274681051426811</v>
      </c>
      <c r="BU398">
        <f>VLOOKUP(Table1[[#This Row],[Reference]],metron,9,FALSE)</f>
        <v>1.4392482240810365</v>
      </c>
      <c r="BV398">
        <f>VLOOKUP(Table1[[#This Row],[Reference]],metron,10,FALSE)</f>
        <v>2.5313454284174597</v>
      </c>
      <c r="BW398">
        <f>VLOOKUP(Table1[[#This Row],[Reference]],metron,11,FALSE)</f>
        <v>1.210167055864918</v>
      </c>
      <c r="BX398">
        <f>VLOOKUP(Table1[[#This Row],[Reference]],metron,12,FALSE)</f>
        <v>1.3211783725525419</v>
      </c>
      <c r="BY398" s="6">
        <f>VLOOKUP(Table1[[#This Row],[Reference]],metron,13,FALSE)</f>
        <v>0.53135669362084459</v>
      </c>
      <c r="BZ398" s="6">
        <f>VLOOKUP(Table1[[#This Row],[Reference]],metron,14,FALSE)</f>
        <v>0.55633423180592989</v>
      </c>
      <c r="CA398" s="6">
        <f>VLOOKUP(Table1[[#This Row],[Reference]],metron,15,FALSE)</f>
        <v>11.21109010712035</v>
      </c>
      <c r="CB398" s="6">
        <f>VLOOKUP(Table1[[#This Row],[Reference]],metron,16,FALSE)</f>
        <v>11.01700787401575</v>
      </c>
      <c r="CC398" s="6">
        <f>VLOOKUP(Table1[[#This Row],[Reference]],metron,17,FALSE)</f>
        <v>4.6792332268370611</v>
      </c>
      <c r="CD398" s="6">
        <f>VLOOKUP(Table1[[#This Row],[Reference]],metron,18,FALSE)</f>
        <v>4.7080804854679013</v>
      </c>
      <c r="CE398" s="6">
        <f>VLOOKUP(Table1[[#This Row],[Reference]],metron,19,FALSE)</f>
        <v>6.5318568802832893</v>
      </c>
      <c r="CF398" s="6">
        <f>VLOOKUP(Table1[[#This Row],[Reference]],metron,20,FALSE)</f>
        <v>6.3089273885478487</v>
      </c>
      <c r="CG398" s="6">
        <f>VLOOKUP(Table1[[#This Row],[Reference]],metron,21,FALSE)</f>
        <v>12.72547770700637</v>
      </c>
      <c r="CH398" s="6">
        <f>VLOOKUP(Table1[[#This Row],[Reference]],metron,22,FALSE)</f>
        <v>13.06847133757962</v>
      </c>
      <c r="CI398" s="6">
        <f>VLOOKUP(Table1[[#This Row],[Reference]],metron,23,FALSE)</f>
        <v>1.6902356902356901</v>
      </c>
      <c r="CJ398" s="6">
        <f>VLOOKUP(Table1[[#This Row],[Reference]],metron,24,FALSE)</f>
        <v>1.8050198959289869</v>
      </c>
      <c r="CK398" s="6">
        <f>VLOOKUP(Table1[[#This Row],[Reference]],metron,25,FALSE)</f>
        <v>0.105907560453015</v>
      </c>
      <c r="CL398" s="6">
        <f>VLOOKUP(Table1[[#This Row],[Reference]],metron,26,FALSE)</f>
        <v>0.1141720232629324</v>
      </c>
    </row>
    <row r="399" spans="1:90" hidden="1" x14ac:dyDescent="0.45">
      <c r="A399" t="s">
        <v>1346</v>
      </c>
      <c r="B399">
        <v>1598668500</v>
      </c>
      <c r="C399" s="23" t="s">
        <v>788</v>
      </c>
      <c r="D399" t="s">
        <v>65</v>
      </c>
      <c r="E399" t="s">
        <v>66</v>
      </c>
      <c r="F399" t="s">
        <v>113</v>
      </c>
      <c r="G399" t="s">
        <v>107</v>
      </c>
      <c r="H399" t="s">
        <v>103</v>
      </c>
      <c r="I399">
        <f>MROUND(Table1[[#This Row],[ProbH]]*100,2)/100</f>
        <v>0.26</v>
      </c>
      <c r="J399">
        <f>1/Table1[[#This Row],[odds_ft_home_team_win]]-Table1[[#This Row],[Margin]]</f>
        <v>0.26173499702911468</v>
      </c>
      <c r="K399">
        <f>1/Table1[[#This Row],[odds_ft_draw]]-Table1[[#This Row],[Margin]]</f>
        <v>0.27064765300059418</v>
      </c>
      <c r="L399">
        <f>1/Table1[[#This Row],[odds_ft_away_team_win]]-Table1[[#This Row],[Margin]]</f>
        <v>0.46761734997029114</v>
      </c>
      <c r="M399">
        <v>7</v>
      </c>
      <c r="N399">
        <v>1.33</v>
      </c>
      <c r="O399">
        <v>1.33</v>
      </c>
      <c r="P399">
        <v>1.53</v>
      </c>
      <c r="Q399">
        <v>1.47</v>
      </c>
      <c r="R399" t="str" cm="1">
        <f t="array" ref="R3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99">
        <v>1</v>
      </c>
      <c r="T399">
        <v>1</v>
      </c>
      <c r="U399">
        <v>2</v>
      </c>
      <c r="V399">
        <v>0</v>
      </c>
      <c r="W399">
        <v>0</v>
      </c>
      <c r="X399">
        <v>0</v>
      </c>
      <c r="Y399" t="s">
        <v>304</v>
      </c>
      <c r="Z399">
        <v>77</v>
      </c>
      <c r="AA399">
        <v>7</v>
      </c>
      <c r="AB399">
        <v>7</v>
      </c>
      <c r="AC399">
        <v>1</v>
      </c>
      <c r="AD399">
        <v>0</v>
      </c>
      <c r="AE399">
        <v>2</v>
      </c>
      <c r="AF399">
        <v>0</v>
      </c>
      <c r="AG399">
        <v>0</v>
      </c>
      <c r="AH399">
        <v>1</v>
      </c>
      <c r="AI399">
        <v>0</v>
      </c>
      <c r="AJ399">
        <v>2</v>
      </c>
      <c r="AK399">
        <v>11</v>
      </c>
      <c r="AL399">
        <v>14</v>
      </c>
      <c r="AM399">
        <v>3</v>
      </c>
      <c r="AN399">
        <v>3</v>
      </c>
      <c r="AO399">
        <v>8</v>
      </c>
      <c r="AP399">
        <v>11</v>
      </c>
      <c r="AQ399">
        <v>14</v>
      </c>
      <c r="AR399">
        <v>16</v>
      </c>
      <c r="AS399">
        <v>47</v>
      </c>
      <c r="AT399">
        <v>53</v>
      </c>
      <c r="AU399">
        <v>1.19</v>
      </c>
      <c r="AV399">
        <v>1.45</v>
      </c>
      <c r="AW399">
        <v>2.67</v>
      </c>
      <c r="AX399">
        <v>50</v>
      </c>
      <c r="AY399">
        <v>67</v>
      </c>
      <c r="AZ399">
        <v>67</v>
      </c>
      <c r="BA399">
        <v>33</v>
      </c>
      <c r="BB399">
        <v>33</v>
      </c>
      <c r="BC399">
        <v>67</v>
      </c>
      <c r="BD399">
        <v>67</v>
      </c>
      <c r="BE399">
        <v>33</v>
      </c>
      <c r="BF399">
        <v>50</v>
      </c>
      <c r="BG399">
        <v>8.34</v>
      </c>
      <c r="BH399">
        <v>3.67</v>
      </c>
      <c r="BI399">
        <v>3.4</v>
      </c>
      <c r="BJ399">
        <v>3.3</v>
      </c>
      <c r="BK399">
        <v>2</v>
      </c>
      <c r="BL399">
        <f>(1/Table1[[#This Row],[odds_ft_home_team_win]]+1/Table1[[#This Row],[odds_ft_draw]]+1/Table1[[#This Row],[odds_ft_away_team_win]]-1)/3</f>
        <v>3.2382650029708859E-2</v>
      </c>
      <c r="BM399">
        <v>0</v>
      </c>
      <c r="BN399">
        <v>1.75</v>
      </c>
      <c r="BO399">
        <v>0</v>
      </c>
      <c r="BP399">
        <v>0</v>
      </c>
      <c r="BQ399">
        <v>0</v>
      </c>
      <c r="BR399">
        <v>0</v>
      </c>
      <c r="BS399" t="s">
        <v>120</v>
      </c>
      <c r="BT399">
        <f>VLOOKUP(Table1[[#This Row],[Reference]],metron,8,FALSE)</f>
        <v>1.0905313574236399</v>
      </c>
      <c r="BU399">
        <f>VLOOKUP(Table1[[#This Row],[Reference]],metron,9,FALSE)</f>
        <v>1.6289415604939639</v>
      </c>
      <c r="BV399">
        <f>VLOOKUP(Table1[[#This Row],[Reference]],metron,10,FALSE)</f>
        <v>2.569449507838133</v>
      </c>
      <c r="BW399">
        <f>VLOOKUP(Table1[[#This Row],[Reference]],metron,11,FALSE)</f>
        <v>1.0936930368209989</v>
      </c>
      <c r="BX399">
        <f>VLOOKUP(Table1[[#This Row],[Reference]],metron,12,FALSE)</f>
        <v>1.475756471017134</v>
      </c>
      <c r="BY399" s="6">
        <f>VLOOKUP(Table1[[#This Row],[Reference]],metron,13,FALSE)</f>
        <v>0.50018228217280347</v>
      </c>
      <c r="BZ399" s="6">
        <f>VLOOKUP(Table1[[#This Row],[Reference]],metron,14,FALSE)</f>
        <v>0.65220561429092239</v>
      </c>
      <c r="CA399" s="6">
        <f>VLOOKUP(Table1[[#This Row],[Reference]],metron,15,FALSE)</f>
        <v>10.905576679340941</v>
      </c>
      <c r="CB399" s="6">
        <f>VLOOKUP(Table1[[#This Row],[Reference]],metron,16,FALSE)</f>
        <v>12.06463878326996</v>
      </c>
      <c r="CC399" s="6">
        <f>VLOOKUP(Table1[[#This Row],[Reference]],metron,17,FALSE)</f>
        <v>4.2920127795527154</v>
      </c>
      <c r="CD399" s="6">
        <f>VLOOKUP(Table1[[#This Row],[Reference]],metron,18,FALSE)</f>
        <v>5.0095846645367406</v>
      </c>
      <c r="CE399" s="6">
        <f>VLOOKUP(Table1[[#This Row],[Reference]],metron,19,FALSE)</f>
        <v>6.6135638997882253</v>
      </c>
      <c r="CF399" s="6">
        <f>VLOOKUP(Table1[[#This Row],[Reference]],metron,20,FALSE)</f>
        <v>7.055054118733219</v>
      </c>
      <c r="CG399" s="6">
        <f>VLOOKUP(Table1[[#This Row],[Reference]],metron,21,FALSE)</f>
        <v>12.94865211810013</v>
      </c>
      <c r="CH399" s="6">
        <f>VLOOKUP(Table1[[#This Row],[Reference]],metron,22,FALSE)</f>
        <v>13.189345314505781</v>
      </c>
      <c r="CI399" s="6">
        <f>VLOOKUP(Table1[[#This Row],[Reference]],metron,23,FALSE)</f>
        <v>1.771446078431373</v>
      </c>
      <c r="CJ399" s="6">
        <f>VLOOKUP(Table1[[#This Row],[Reference]],metron,24,FALSE)</f>
        <v>1.809436274509804</v>
      </c>
      <c r="CK399" s="6">
        <f>VLOOKUP(Table1[[#This Row],[Reference]],metron,25,FALSE)</f>
        <v>0.1060049019607843</v>
      </c>
      <c r="CL399" s="6">
        <f>VLOOKUP(Table1[[#This Row],[Reference]],metron,26,FALSE)</f>
        <v>9.6813725490196081E-2</v>
      </c>
    </row>
    <row r="400" spans="1:90" hidden="1" x14ac:dyDescent="0.45">
      <c r="A400" t="s">
        <v>1346</v>
      </c>
      <c r="B400">
        <v>1598745600</v>
      </c>
      <c r="C400" s="23" t="s">
        <v>789</v>
      </c>
      <c r="D400" t="s">
        <v>65</v>
      </c>
      <c r="E400" t="s">
        <v>66</v>
      </c>
      <c r="F400" t="s">
        <v>91</v>
      </c>
      <c r="G400" t="s">
        <v>68</v>
      </c>
      <c r="H400" t="s">
        <v>74</v>
      </c>
      <c r="I400">
        <f>MROUND(Table1[[#This Row],[ProbH]]*100,2)/100</f>
        <v>0.32</v>
      </c>
      <c r="J400">
        <f>1/Table1[[#This Row],[odds_ft_home_team_win]]-Table1[[#This Row],[Margin]]</f>
        <v>0.32736827467082391</v>
      </c>
      <c r="K400">
        <f>1/Table1[[#This Row],[odds_ft_draw]]-Table1[[#This Row],[Margin]]</f>
        <v>0.27060872874719133</v>
      </c>
      <c r="L400">
        <f>1/Table1[[#This Row],[odds_ft_away_team_win]]-Table1[[#This Row],[Margin]]</f>
        <v>0.40202299658198482</v>
      </c>
      <c r="M400">
        <v>7</v>
      </c>
      <c r="N400">
        <v>0.67</v>
      </c>
      <c r="O400">
        <v>1.33</v>
      </c>
      <c r="P400">
        <v>1</v>
      </c>
      <c r="Q400">
        <v>1.63</v>
      </c>
      <c r="R400" t="str" cm="1">
        <f t="array" ref="R4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00">
        <v>1</v>
      </c>
      <c r="T400">
        <v>2</v>
      </c>
      <c r="U400">
        <v>3</v>
      </c>
      <c r="V400">
        <v>2</v>
      </c>
      <c r="W400">
        <v>1</v>
      </c>
      <c r="X400">
        <v>1</v>
      </c>
      <c r="Y400">
        <v>5</v>
      </c>
      <c r="Z400" t="s">
        <v>790</v>
      </c>
      <c r="AA400">
        <v>9</v>
      </c>
      <c r="AB400">
        <v>4</v>
      </c>
      <c r="AC400">
        <v>2</v>
      </c>
      <c r="AD400">
        <v>0</v>
      </c>
      <c r="AE400">
        <v>1</v>
      </c>
      <c r="AF400">
        <v>0</v>
      </c>
      <c r="AG400">
        <v>0</v>
      </c>
      <c r="AH400">
        <v>2</v>
      </c>
      <c r="AI400">
        <v>0</v>
      </c>
      <c r="AJ400">
        <v>1</v>
      </c>
      <c r="AK400">
        <v>12</v>
      </c>
      <c r="AL400">
        <v>18</v>
      </c>
      <c r="AM400">
        <v>3</v>
      </c>
      <c r="AN400">
        <v>5</v>
      </c>
      <c r="AO400">
        <v>9</v>
      </c>
      <c r="AP400">
        <v>13</v>
      </c>
      <c r="AQ400">
        <v>17</v>
      </c>
      <c r="AR400">
        <v>15</v>
      </c>
      <c r="AS400">
        <v>55</v>
      </c>
      <c r="AT400">
        <v>45</v>
      </c>
      <c r="AU400">
        <v>1.37</v>
      </c>
      <c r="AV400">
        <v>1.8</v>
      </c>
      <c r="AW400">
        <v>3</v>
      </c>
      <c r="AX400">
        <v>100</v>
      </c>
      <c r="AY400">
        <v>100</v>
      </c>
      <c r="AZ400">
        <v>50</v>
      </c>
      <c r="BA400">
        <v>33</v>
      </c>
      <c r="BB400">
        <v>17</v>
      </c>
      <c r="BC400">
        <v>34</v>
      </c>
      <c r="BD400">
        <v>84</v>
      </c>
      <c r="BE400">
        <v>34</v>
      </c>
      <c r="BF400">
        <v>84</v>
      </c>
      <c r="BG400">
        <v>11.33</v>
      </c>
      <c r="BH400">
        <v>4.33</v>
      </c>
      <c r="BI400">
        <v>2.85</v>
      </c>
      <c r="BJ400">
        <v>3.4</v>
      </c>
      <c r="BK400">
        <v>2.35</v>
      </c>
      <c r="BL400">
        <f>(1/Table1[[#This Row],[odds_ft_home_team_win]]+1/Table1[[#This Row],[odds_ft_draw]]+1/Table1[[#This Row],[odds_ft_away_team_win]]-1)/3</f>
        <v>2.3508918311632227E-2</v>
      </c>
      <c r="BM400">
        <v>1.22</v>
      </c>
      <c r="BN400">
        <v>1.71</v>
      </c>
      <c r="BO400">
        <v>2.8</v>
      </c>
      <c r="BP400">
        <v>5.0999999999999996</v>
      </c>
      <c r="BQ400">
        <v>1.59</v>
      </c>
      <c r="BR400">
        <v>2.25</v>
      </c>
      <c r="BS400" t="s">
        <v>144</v>
      </c>
      <c r="BT400">
        <f>VLOOKUP(Table1[[#This Row],[Reference]],metron,8,FALSE)</f>
        <v>1.274681051426811</v>
      </c>
      <c r="BU400">
        <f>VLOOKUP(Table1[[#This Row],[Reference]],metron,9,FALSE)</f>
        <v>1.4392482240810365</v>
      </c>
      <c r="BV400">
        <f>VLOOKUP(Table1[[#This Row],[Reference]],metron,10,FALSE)</f>
        <v>2.5313454284174597</v>
      </c>
      <c r="BW400">
        <f>VLOOKUP(Table1[[#This Row],[Reference]],metron,11,FALSE)</f>
        <v>1.210167055864918</v>
      </c>
      <c r="BX400">
        <f>VLOOKUP(Table1[[#This Row],[Reference]],metron,12,FALSE)</f>
        <v>1.3211783725525419</v>
      </c>
      <c r="BY400" s="6">
        <f>VLOOKUP(Table1[[#This Row],[Reference]],metron,13,FALSE)</f>
        <v>0.53135669362084459</v>
      </c>
      <c r="BZ400" s="6">
        <f>VLOOKUP(Table1[[#This Row],[Reference]],metron,14,FALSE)</f>
        <v>0.55633423180592989</v>
      </c>
      <c r="CA400" s="6">
        <f>VLOOKUP(Table1[[#This Row],[Reference]],metron,15,FALSE)</f>
        <v>11.21109010712035</v>
      </c>
      <c r="CB400" s="6">
        <f>VLOOKUP(Table1[[#This Row],[Reference]],metron,16,FALSE)</f>
        <v>11.01700787401575</v>
      </c>
      <c r="CC400" s="6">
        <f>VLOOKUP(Table1[[#This Row],[Reference]],metron,17,FALSE)</f>
        <v>4.6792332268370611</v>
      </c>
      <c r="CD400" s="6">
        <f>VLOOKUP(Table1[[#This Row],[Reference]],metron,18,FALSE)</f>
        <v>4.7080804854679013</v>
      </c>
      <c r="CE400" s="6">
        <f>VLOOKUP(Table1[[#This Row],[Reference]],metron,19,FALSE)</f>
        <v>6.5318568802832893</v>
      </c>
      <c r="CF400" s="6">
        <f>VLOOKUP(Table1[[#This Row],[Reference]],metron,20,FALSE)</f>
        <v>6.3089273885478487</v>
      </c>
      <c r="CG400" s="6">
        <f>VLOOKUP(Table1[[#This Row],[Reference]],metron,21,FALSE)</f>
        <v>12.72547770700637</v>
      </c>
      <c r="CH400" s="6">
        <f>VLOOKUP(Table1[[#This Row],[Reference]],metron,22,FALSE)</f>
        <v>13.06847133757962</v>
      </c>
      <c r="CI400" s="6">
        <f>VLOOKUP(Table1[[#This Row],[Reference]],metron,23,FALSE)</f>
        <v>1.6902356902356901</v>
      </c>
      <c r="CJ400" s="6">
        <f>VLOOKUP(Table1[[#This Row],[Reference]],metron,24,FALSE)</f>
        <v>1.8050198959289869</v>
      </c>
      <c r="CK400" s="6">
        <f>VLOOKUP(Table1[[#This Row],[Reference]],metron,25,FALSE)</f>
        <v>0.105907560453015</v>
      </c>
      <c r="CL400" s="6">
        <f>VLOOKUP(Table1[[#This Row],[Reference]],metron,26,FALSE)</f>
        <v>0.1141720232629324</v>
      </c>
    </row>
    <row r="401" spans="1:90" hidden="1" x14ac:dyDescent="0.45">
      <c r="A401" t="s">
        <v>1346</v>
      </c>
      <c r="B401">
        <v>1598745600</v>
      </c>
      <c r="C401" s="23" t="s">
        <v>789</v>
      </c>
      <c r="D401" t="s">
        <v>65</v>
      </c>
      <c r="E401" t="s">
        <v>66</v>
      </c>
      <c r="F401" t="s">
        <v>90</v>
      </c>
      <c r="G401" t="s">
        <v>84</v>
      </c>
      <c r="H401" t="s">
        <v>130</v>
      </c>
      <c r="I401">
        <f>MROUND(Table1[[#This Row],[ProbH]]*100,2)/100</f>
        <v>0.4</v>
      </c>
      <c r="J401">
        <f>1/Table1[[#This Row],[odds_ft_home_team_win]]-Table1[[#This Row],[Margin]]</f>
        <v>0.39058987910819515</v>
      </c>
      <c r="K401">
        <f>1/Table1[[#This Row],[odds_ft_draw]]-Table1[[#This Row],[Margin]]</f>
        <v>0.29650385760281878</v>
      </c>
      <c r="L401">
        <f>1/Table1[[#This Row],[odds_ft_away_team_win]]-Table1[[#This Row],[Margin]]</f>
        <v>0.31290626328898608</v>
      </c>
      <c r="M401">
        <v>7</v>
      </c>
      <c r="N401">
        <v>1.33</v>
      </c>
      <c r="O401">
        <v>2</v>
      </c>
      <c r="P401">
        <v>1.6</v>
      </c>
      <c r="Q401">
        <v>1.38</v>
      </c>
      <c r="R401" t="str" cm="1">
        <f t="array" ref="R4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AA401">
        <v>2</v>
      </c>
      <c r="AB401">
        <v>6</v>
      </c>
      <c r="AC401">
        <v>3</v>
      </c>
      <c r="AD401">
        <v>0</v>
      </c>
      <c r="AE401">
        <v>3</v>
      </c>
      <c r="AF401">
        <v>0</v>
      </c>
      <c r="AG401">
        <v>1</v>
      </c>
      <c r="AH401">
        <v>2</v>
      </c>
      <c r="AI401">
        <v>1</v>
      </c>
      <c r="AJ401">
        <v>2</v>
      </c>
      <c r="AK401">
        <v>7</v>
      </c>
      <c r="AL401">
        <v>11</v>
      </c>
      <c r="AM401">
        <v>3</v>
      </c>
      <c r="AN401">
        <v>0</v>
      </c>
      <c r="AO401">
        <v>4</v>
      </c>
      <c r="AP401">
        <v>11</v>
      </c>
      <c r="AQ401">
        <v>10</v>
      </c>
      <c r="AR401">
        <v>12</v>
      </c>
      <c r="AS401">
        <v>49</v>
      </c>
      <c r="AT401">
        <v>51</v>
      </c>
      <c r="AU401">
        <v>1.02</v>
      </c>
      <c r="AV401">
        <v>1.02</v>
      </c>
      <c r="AW401">
        <v>1.42</v>
      </c>
      <c r="AX401">
        <v>42</v>
      </c>
      <c r="AY401">
        <v>42</v>
      </c>
      <c r="AZ401">
        <v>17</v>
      </c>
      <c r="BA401">
        <v>0</v>
      </c>
      <c r="BB401">
        <v>0</v>
      </c>
      <c r="BC401">
        <v>0</v>
      </c>
      <c r="BD401">
        <v>0</v>
      </c>
      <c r="BE401">
        <v>42</v>
      </c>
      <c r="BF401">
        <v>84</v>
      </c>
      <c r="BG401">
        <v>8.67</v>
      </c>
      <c r="BH401">
        <v>4.17</v>
      </c>
      <c r="BI401">
        <v>2.4</v>
      </c>
      <c r="BJ401">
        <v>3.1</v>
      </c>
      <c r="BK401">
        <v>2.95</v>
      </c>
      <c r="BL401">
        <f>(1/Table1[[#This Row],[odds_ft_home_team_win]]+1/Table1[[#This Row],[odds_ft_draw]]+1/Table1[[#This Row],[odds_ft_away_team_win]]-1)/3</f>
        <v>2.6076787558471537E-2</v>
      </c>
      <c r="BM401">
        <v>1.38</v>
      </c>
      <c r="BN401">
        <v>2.2000000000000002</v>
      </c>
      <c r="BO401">
        <v>4.0999999999999996</v>
      </c>
      <c r="BP401">
        <v>8</v>
      </c>
      <c r="BQ401">
        <v>1.87</v>
      </c>
      <c r="BR401">
        <v>1.83</v>
      </c>
      <c r="BS401" t="s">
        <v>94</v>
      </c>
      <c r="BT401">
        <f>VLOOKUP(Table1[[#This Row],[Reference]],metron,8,FALSE)</f>
        <v>1.5181603563290151</v>
      </c>
      <c r="BU401">
        <f>VLOOKUP(Table1[[#This Row],[Reference]],metron,9,FALSE)</f>
        <v>1.1952730370775513</v>
      </c>
      <c r="BV401">
        <f>VLOOKUP(Table1[[#This Row],[Reference]],metron,10,FALSE)</f>
        <v>2.4956155335383219</v>
      </c>
      <c r="BW401">
        <f>VLOOKUP(Table1[[#This Row],[Reference]],metron,11,FALSE)</f>
        <v>1.344038264434575</v>
      </c>
      <c r="BX401">
        <f>VLOOKUP(Table1[[#This Row],[Reference]],metron,12,FALSE)</f>
        <v>1.1515772691037469</v>
      </c>
      <c r="BY401" s="6">
        <f>VLOOKUP(Table1[[#This Row],[Reference]],metron,13,FALSE)</f>
        <v>0.59936225942375587</v>
      </c>
      <c r="BZ401" s="6">
        <f>VLOOKUP(Table1[[#This Row],[Reference]],metron,14,FALSE)</f>
        <v>0.50723152260562576</v>
      </c>
      <c r="CA401" s="6">
        <f>VLOOKUP(Table1[[#This Row],[Reference]],metron,15,FALSE)</f>
        <v>11.99278846153846</v>
      </c>
      <c r="CB401" s="6">
        <f>VLOOKUP(Table1[[#This Row],[Reference]],metron,16,FALSE)</f>
        <v>10.0277534965035</v>
      </c>
      <c r="CC401" s="6">
        <f>VLOOKUP(Table1[[#This Row],[Reference]],metron,17,FALSE)</f>
        <v>5.2857459543338514</v>
      </c>
      <c r="CD401" s="6">
        <f>VLOOKUP(Table1[[#This Row],[Reference]],metron,18,FALSE)</f>
        <v>4.4067834183107957</v>
      </c>
      <c r="CE401" s="6">
        <f>VLOOKUP(Table1[[#This Row],[Reference]],metron,19,FALSE)</f>
        <v>6.7070425072046085</v>
      </c>
      <c r="CF401" s="6">
        <f>VLOOKUP(Table1[[#This Row],[Reference]],metron,20,FALSE)</f>
        <v>5.6209700781927046</v>
      </c>
      <c r="CG401" s="6">
        <f>VLOOKUP(Table1[[#This Row],[Reference]],metron,21,FALSE)</f>
        <v>13.04463690872752</v>
      </c>
      <c r="CH401" s="6">
        <f>VLOOKUP(Table1[[#This Row],[Reference]],metron,22,FALSE)</f>
        <v>13.49811236953142</v>
      </c>
      <c r="CI401" s="6">
        <f>VLOOKUP(Table1[[#This Row],[Reference]],metron,23,FALSE)</f>
        <v>1.5836526181353769</v>
      </c>
      <c r="CJ401" s="6">
        <f>VLOOKUP(Table1[[#This Row],[Reference]],metron,24,FALSE)</f>
        <v>1.8744146445295871</v>
      </c>
      <c r="CK401" s="6">
        <f>VLOOKUP(Table1[[#This Row],[Reference]],metron,25,FALSE)</f>
        <v>8.5994040017028525E-2</v>
      </c>
      <c r="CL401" s="6">
        <f>VLOOKUP(Table1[[#This Row],[Reference]],metron,26,FALSE)</f>
        <v>0.13452532992762881</v>
      </c>
    </row>
    <row r="402" spans="1:90" hidden="1" x14ac:dyDescent="0.45">
      <c r="A402" t="s">
        <v>1346</v>
      </c>
      <c r="B402">
        <v>1598752800</v>
      </c>
      <c r="C402" s="23" t="s">
        <v>791</v>
      </c>
      <c r="D402" t="s">
        <v>65</v>
      </c>
      <c r="E402" t="s">
        <v>66</v>
      </c>
      <c r="F402" t="s">
        <v>112</v>
      </c>
      <c r="G402" t="s">
        <v>72</v>
      </c>
      <c r="H402" t="s">
        <v>69</v>
      </c>
      <c r="I402">
        <f>MROUND(Table1[[#This Row],[ProbH]]*100,2)/100</f>
        <v>0.62</v>
      </c>
      <c r="J402">
        <f>1/Table1[[#This Row],[odds_ft_home_team_win]]-Table1[[#This Row],[Margin]]</f>
        <v>0.62865258621029285</v>
      </c>
      <c r="K402">
        <f>1/Table1[[#This Row],[odds_ft_draw]]-Table1[[#This Row],[Margin]]</f>
        <v>0.22822237193048805</v>
      </c>
      <c r="L402">
        <f>1/Table1[[#This Row],[odds_ft_away_team_win]]-Table1[[#This Row],[Margin]]</f>
        <v>0.14312504185921907</v>
      </c>
      <c r="M402">
        <v>7</v>
      </c>
      <c r="N402">
        <v>3</v>
      </c>
      <c r="O402">
        <v>0.5</v>
      </c>
      <c r="P402">
        <v>2.1800000000000002</v>
      </c>
      <c r="Q402">
        <v>0.72</v>
      </c>
      <c r="R402" t="str" cm="1">
        <f t="array" ref="R4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2">
        <v>3</v>
      </c>
      <c r="T402">
        <v>0</v>
      </c>
      <c r="U402">
        <v>3</v>
      </c>
      <c r="V402">
        <v>1</v>
      </c>
      <c r="W402">
        <v>1</v>
      </c>
      <c r="X402">
        <v>0</v>
      </c>
      <c r="Y402" t="s">
        <v>792</v>
      </c>
      <c r="AA402">
        <v>6</v>
      </c>
      <c r="AB402">
        <v>4</v>
      </c>
      <c r="AC402">
        <v>2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0</v>
      </c>
      <c r="AJ402">
        <v>1</v>
      </c>
      <c r="AK402">
        <v>15</v>
      </c>
      <c r="AL402">
        <v>8</v>
      </c>
      <c r="AM402">
        <v>6</v>
      </c>
      <c r="AN402">
        <v>2</v>
      </c>
      <c r="AO402">
        <v>9</v>
      </c>
      <c r="AP402">
        <v>6</v>
      </c>
      <c r="AQ402">
        <v>13</v>
      </c>
      <c r="AR402">
        <v>10</v>
      </c>
      <c r="AS402">
        <v>54</v>
      </c>
      <c r="AT402">
        <v>46</v>
      </c>
      <c r="AU402">
        <v>1.51</v>
      </c>
      <c r="AV402">
        <v>0.87</v>
      </c>
      <c r="AW402">
        <v>2.25</v>
      </c>
      <c r="AX402">
        <v>42</v>
      </c>
      <c r="AY402">
        <v>75</v>
      </c>
      <c r="AZ402">
        <v>17</v>
      </c>
      <c r="BA402">
        <v>17</v>
      </c>
      <c r="BB402">
        <v>17</v>
      </c>
      <c r="BC402">
        <v>17</v>
      </c>
      <c r="BD402">
        <v>50</v>
      </c>
      <c r="BE402">
        <v>42</v>
      </c>
      <c r="BF402">
        <v>100</v>
      </c>
      <c r="BG402">
        <v>9.5</v>
      </c>
      <c r="BH402">
        <v>4.5</v>
      </c>
      <c r="BI402">
        <v>1.53</v>
      </c>
      <c r="BJ402">
        <v>3.95</v>
      </c>
      <c r="BK402">
        <v>5.95</v>
      </c>
      <c r="BL402">
        <f>(1/Table1[[#This Row],[odds_ft_home_team_win]]+1/Table1[[#This Row],[odds_ft_draw]]+1/Table1[[#This Row],[odds_ft_away_team_win]]-1)/3</f>
        <v>2.4942185031537223E-2</v>
      </c>
      <c r="BM402">
        <v>1.22</v>
      </c>
      <c r="BN402">
        <v>1.71</v>
      </c>
      <c r="BO402">
        <v>2.8</v>
      </c>
      <c r="BP402">
        <v>5.15</v>
      </c>
      <c r="BQ402">
        <v>1.77</v>
      </c>
      <c r="BR402">
        <v>1.95</v>
      </c>
      <c r="BS402" t="s">
        <v>116</v>
      </c>
      <c r="BT402">
        <f>VLOOKUP(Table1[[#This Row],[Reference]],metron,8,FALSE)</f>
        <v>2.1234388909289978</v>
      </c>
      <c r="BU402">
        <f>VLOOKUP(Table1[[#This Row],[Reference]],metron,9,FALSE)</f>
        <v>0.63925141338926716</v>
      </c>
      <c r="BV402">
        <f>VLOOKUP(Table1[[#This Row],[Reference]],metron,10,FALSE)</f>
        <v>2.7366666666666664</v>
      </c>
      <c r="BW402">
        <f>VLOOKUP(Table1[[#This Row],[Reference]],metron,11,FALSE)</f>
        <v>1.8681481481481479</v>
      </c>
      <c r="BX402">
        <f>VLOOKUP(Table1[[#This Row],[Reference]],metron,12,FALSE)</f>
        <v>0.86851851851851847</v>
      </c>
      <c r="BY402" s="6">
        <f>VLOOKUP(Table1[[#This Row],[Reference]],metron,13,FALSE)</f>
        <v>0.81333333333333335</v>
      </c>
      <c r="BZ402" s="6">
        <f>VLOOKUP(Table1[[#This Row],[Reference]],metron,14,FALSE)</f>
        <v>0.38925925925925919</v>
      </c>
      <c r="CA402" s="6">
        <f>VLOOKUP(Table1[[#This Row],[Reference]],metron,15,FALSE)</f>
        <v>14.53422724064926</v>
      </c>
      <c r="CB402" s="6">
        <f>VLOOKUP(Table1[[#This Row],[Reference]],metron,16,FALSE)</f>
        <v>8.7882851093860275</v>
      </c>
      <c r="CC402" s="6">
        <f>VLOOKUP(Table1[[#This Row],[Reference]],metron,17,FALSE)</f>
        <v>6.3007953723788868</v>
      </c>
      <c r="CD402" s="6">
        <f>VLOOKUP(Table1[[#This Row],[Reference]],metron,18,FALSE)</f>
        <v>3.681851048445409</v>
      </c>
      <c r="CE402" s="6">
        <f>VLOOKUP(Table1[[#This Row],[Reference]],metron,19,FALSE)</f>
        <v>8.2334318682703724</v>
      </c>
      <c r="CF402" s="6">
        <f>VLOOKUP(Table1[[#This Row],[Reference]],metron,20,FALSE)</f>
        <v>5.106434060940618</v>
      </c>
      <c r="CG402" s="6">
        <f>VLOOKUP(Table1[[#This Row],[Reference]],metron,21,FALSE)</f>
        <v>12.32150615496017</v>
      </c>
      <c r="CH402" s="6">
        <f>VLOOKUP(Table1[[#This Row],[Reference]],metron,22,FALSE)</f>
        <v>13.337436640115859</v>
      </c>
      <c r="CI402" s="6">
        <f>VLOOKUP(Table1[[#This Row],[Reference]],metron,23,FALSE)</f>
        <v>1.346101231190151</v>
      </c>
      <c r="CJ402" s="6">
        <f>VLOOKUP(Table1[[#This Row],[Reference]],metron,24,FALSE)</f>
        <v>1.995212038303694</v>
      </c>
      <c r="CK402" s="6">
        <f>VLOOKUP(Table1[[#This Row],[Reference]],metron,25,FALSE)</f>
        <v>6.1559507523939808E-2</v>
      </c>
      <c r="CL402" s="6">
        <f>VLOOKUP(Table1[[#This Row],[Reference]],metron,26,FALSE)</f>
        <v>0.13201094391244869</v>
      </c>
    </row>
    <row r="403" spans="1:90" hidden="1" x14ac:dyDescent="0.45">
      <c r="A403" t="s">
        <v>1346</v>
      </c>
      <c r="B403">
        <v>1598806800</v>
      </c>
      <c r="C403" s="23" t="s">
        <v>793</v>
      </c>
      <c r="D403" t="s">
        <v>65</v>
      </c>
      <c r="E403" t="s">
        <v>66</v>
      </c>
      <c r="F403" t="s">
        <v>96</v>
      </c>
      <c r="G403" t="s">
        <v>106</v>
      </c>
      <c r="H403" t="s">
        <v>80</v>
      </c>
      <c r="I403">
        <f>MROUND(Table1[[#This Row],[ProbH]]*100,2)/100</f>
        <v>0.46</v>
      </c>
      <c r="J403">
        <f>1/Table1[[#This Row],[odds_ft_home_team_win]]-Table1[[#This Row],[Margin]]</f>
        <v>0.46241574031574195</v>
      </c>
      <c r="K403">
        <f>1/Table1[[#This Row],[odds_ft_draw]]-Table1[[#This Row],[Margin]]</f>
        <v>0.26446593473072955</v>
      </c>
      <c r="L403">
        <f>1/Table1[[#This Row],[odds_ft_away_team_win]]-Table1[[#This Row],[Margin]]</f>
        <v>0.27311832495352856</v>
      </c>
      <c r="M403">
        <v>7</v>
      </c>
      <c r="N403">
        <v>1.67</v>
      </c>
      <c r="O403">
        <v>0</v>
      </c>
      <c r="P403">
        <v>1.65</v>
      </c>
      <c r="Q403">
        <v>0.47</v>
      </c>
      <c r="R403" t="str" cm="1">
        <f t="array" ref="R4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3">
        <v>3</v>
      </c>
      <c r="T403">
        <v>0</v>
      </c>
      <c r="U403">
        <v>3</v>
      </c>
      <c r="V403">
        <v>1</v>
      </c>
      <c r="W403">
        <v>1</v>
      </c>
      <c r="X403">
        <v>0</v>
      </c>
      <c r="Y403" t="s">
        <v>794</v>
      </c>
      <c r="AA403">
        <v>6</v>
      </c>
      <c r="AB403">
        <v>2</v>
      </c>
      <c r="AC403">
        <v>4</v>
      </c>
      <c r="AD403">
        <v>0</v>
      </c>
      <c r="AE403">
        <v>3</v>
      </c>
      <c r="AF403">
        <v>0</v>
      </c>
      <c r="AG403">
        <v>2</v>
      </c>
      <c r="AH403">
        <v>2</v>
      </c>
      <c r="AI403">
        <v>1</v>
      </c>
      <c r="AJ403">
        <v>2</v>
      </c>
      <c r="AK403">
        <v>18</v>
      </c>
      <c r="AL403">
        <v>7</v>
      </c>
      <c r="AM403">
        <v>7</v>
      </c>
      <c r="AN403">
        <v>2</v>
      </c>
      <c r="AO403">
        <v>11</v>
      </c>
      <c r="AP403">
        <v>5</v>
      </c>
      <c r="AQ403">
        <v>14</v>
      </c>
      <c r="AR403">
        <v>14</v>
      </c>
      <c r="AS403">
        <v>46</v>
      </c>
      <c r="AT403">
        <v>54</v>
      </c>
      <c r="AU403">
        <v>1.87</v>
      </c>
      <c r="AV403">
        <v>0.89</v>
      </c>
      <c r="AW403">
        <v>3.25</v>
      </c>
      <c r="AX403">
        <v>75</v>
      </c>
      <c r="AY403">
        <v>100</v>
      </c>
      <c r="AZ403">
        <v>67</v>
      </c>
      <c r="BA403">
        <v>42</v>
      </c>
      <c r="BB403">
        <v>17</v>
      </c>
      <c r="BC403">
        <v>0</v>
      </c>
      <c r="BD403">
        <v>84</v>
      </c>
      <c r="BE403">
        <v>84</v>
      </c>
      <c r="BF403">
        <v>100</v>
      </c>
      <c r="BG403">
        <v>11.17</v>
      </c>
      <c r="BH403">
        <v>6.67</v>
      </c>
      <c r="BI403">
        <v>2.0499999999999998</v>
      </c>
      <c r="BJ403">
        <v>3.45</v>
      </c>
      <c r="BK403">
        <v>3.35</v>
      </c>
      <c r="BL403">
        <f>(1/Table1[[#This Row],[odds_ft_home_team_win]]+1/Table1[[#This Row],[odds_ft_draw]]+1/Table1[[#This Row],[odds_ft_away_team_win]]-1)/3</f>
        <v>2.5389137733038563E-2</v>
      </c>
      <c r="BM403">
        <v>1.32</v>
      </c>
      <c r="BN403">
        <v>2</v>
      </c>
      <c r="BO403">
        <v>3.55</v>
      </c>
      <c r="BP403">
        <v>6.85</v>
      </c>
      <c r="BQ403">
        <v>1.8</v>
      </c>
      <c r="BR403">
        <v>1.91</v>
      </c>
      <c r="BS403" t="s">
        <v>99</v>
      </c>
      <c r="BT403">
        <f>VLOOKUP(Table1[[#This Row],[Reference]],metron,8,FALSE)</f>
        <v>1.6955772349985931</v>
      </c>
      <c r="BU403">
        <f>VLOOKUP(Table1[[#This Row],[Reference]],metron,9,FALSE)</f>
        <v>1.0239029519551039</v>
      </c>
      <c r="BV403">
        <f>VLOOKUP(Table1[[#This Row],[Reference]],metron,10,FALSE)</f>
        <v>2.5405629139072849</v>
      </c>
      <c r="BW403">
        <f>VLOOKUP(Table1[[#This Row],[Reference]],metron,11,FALSE)</f>
        <v>1.4888836329233679</v>
      </c>
      <c r="BX403">
        <f>VLOOKUP(Table1[[#This Row],[Reference]],metron,12,FALSE)</f>
        <v>1.0516792809839171</v>
      </c>
      <c r="BY403" s="6">
        <f>VLOOKUP(Table1[[#This Row],[Reference]],metron,13,FALSE)</f>
        <v>0.64581362346263005</v>
      </c>
      <c r="BZ403" s="6">
        <f>VLOOKUP(Table1[[#This Row],[Reference]],metron,14,FALSE)</f>
        <v>0.45364238410596031</v>
      </c>
      <c r="CA403" s="6">
        <f>VLOOKUP(Table1[[#This Row],[Reference]],metron,15,FALSE)</f>
        <v>12.686892177589851</v>
      </c>
      <c r="CB403" s="6">
        <f>VLOOKUP(Table1[[#This Row],[Reference]],metron,16,FALSE)</f>
        <v>9.8059196617336148</v>
      </c>
      <c r="CC403" s="6">
        <f>VLOOKUP(Table1[[#This Row],[Reference]],metron,17,FALSE)</f>
        <v>5.3198121263877027</v>
      </c>
      <c r="CD403" s="6">
        <f>VLOOKUP(Table1[[#This Row],[Reference]],metron,18,FALSE)</f>
        <v>4.0954312553373189</v>
      </c>
      <c r="CE403" s="6">
        <f>VLOOKUP(Table1[[#This Row],[Reference]],metron,19,FALSE)</f>
        <v>7.3670800512021479</v>
      </c>
      <c r="CF403" s="6">
        <f>VLOOKUP(Table1[[#This Row],[Reference]],metron,20,FALSE)</f>
        <v>5.710488406396296</v>
      </c>
      <c r="CG403" s="6">
        <f>VLOOKUP(Table1[[#This Row],[Reference]],metron,21,FALSE)</f>
        <v>13.0488908033599</v>
      </c>
      <c r="CH403" s="6">
        <f>VLOOKUP(Table1[[#This Row],[Reference]],metron,22,FALSE)</f>
        <v>13.714839543398661</v>
      </c>
      <c r="CI403" s="6">
        <f>VLOOKUP(Table1[[#This Row],[Reference]],metron,23,FALSE)</f>
        <v>1.567523459812322</v>
      </c>
      <c r="CJ403" s="6">
        <f>VLOOKUP(Table1[[#This Row],[Reference]],metron,24,FALSE)</f>
        <v>1.951040391676867</v>
      </c>
      <c r="CK403" s="6">
        <f>VLOOKUP(Table1[[#This Row],[Reference]],metron,25,FALSE)</f>
        <v>8.3027335781313744E-2</v>
      </c>
      <c r="CL403" s="6">
        <f>VLOOKUP(Table1[[#This Row],[Reference]],metron,26,FALSE)</f>
        <v>0.13117095063239501</v>
      </c>
    </row>
    <row r="404" spans="1:90" hidden="1" x14ac:dyDescent="0.45">
      <c r="A404" t="s">
        <v>1346</v>
      </c>
      <c r="B404">
        <v>1598832360</v>
      </c>
      <c r="C404" s="23" t="s">
        <v>795</v>
      </c>
      <c r="D404" t="s">
        <v>65</v>
      </c>
      <c r="E404" t="s">
        <v>66</v>
      </c>
      <c r="F404" t="s">
        <v>73</v>
      </c>
      <c r="G404" t="s">
        <v>67</v>
      </c>
      <c r="H404" t="s">
        <v>122</v>
      </c>
      <c r="I404">
        <f>MROUND(Table1[[#This Row],[ProbH]]*100,2)/100</f>
        <v>0.46</v>
      </c>
      <c r="J404">
        <f>1/Table1[[#This Row],[odds_ft_home_team_win]]-Table1[[#This Row],[Margin]]</f>
        <v>0.46228838911765746</v>
      </c>
      <c r="K404">
        <f>1/Table1[[#This Row],[odds_ft_draw]]-Table1[[#This Row],[Margin]]</f>
        <v>0.27751381409917997</v>
      </c>
      <c r="L404">
        <f>1/Table1[[#This Row],[odds_ft_away_team_win]]-Table1[[#This Row],[Margin]]</f>
        <v>0.26019779678316263</v>
      </c>
      <c r="M404">
        <v>7</v>
      </c>
      <c r="N404">
        <v>2</v>
      </c>
      <c r="O404">
        <v>0</v>
      </c>
      <c r="P404">
        <v>2.09</v>
      </c>
      <c r="Q404">
        <v>0.17</v>
      </c>
      <c r="R404" t="str" cm="1">
        <f t="array" ref="R4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4">
        <v>2</v>
      </c>
      <c r="T404">
        <v>1</v>
      </c>
      <c r="U404">
        <v>3</v>
      </c>
      <c r="V404">
        <v>2</v>
      </c>
      <c r="W404">
        <v>1</v>
      </c>
      <c r="X404">
        <v>1</v>
      </c>
      <c r="Y404" t="s">
        <v>796</v>
      </c>
      <c r="Z404" t="s">
        <v>148</v>
      </c>
      <c r="AA404">
        <v>3</v>
      </c>
      <c r="AB404">
        <v>1</v>
      </c>
      <c r="AC404">
        <v>2</v>
      </c>
      <c r="AD404">
        <v>0</v>
      </c>
      <c r="AE404">
        <v>2</v>
      </c>
      <c r="AF404">
        <v>0</v>
      </c>
      <c r="AG404">
        <v>1</v>
      </c>
      <c r="AH404">
        <v>1</v>
      </c>
      <c r="AI404">
        <v>2</v>
      </c>
      <c r="AJ404">
        <v>0</v>
      </c>
      <c r="AK404">
        <v>12</v>
      </c>
      <c r="AL404">
        <v>8</v>
      </c>
      <c r="AM404">
        <v>6</v>
      </c>
      <c r="AN404">
        <v>2</v>
      </c>
      <c r="AO404">
        <v>6</v>
      </c>
      <c r="AP404">
        <v>6</v>
      </c>
      <c r="AQ404">
        <v>12</v>
      </c>
      <c r="AR404">
        <v>18</v>
      </c>
      <c r="AS404">
        <v>50</v>
      </c>
      <c r="AT404">
        <v>50</v>
      </c>
      <c r="AU404">
        <v>1.5</v>
      </c>
      <c r="AV404">
        <v>0.91</v>
      </c>
      <c r="AW404">
        <v>1.67</v>
      </c>
      <c r="AX404">
        <v>17</v>
      </c>
      <c r="AY404">
        <v>42</v>
      </c>
      <c r="AZ404">
        <v>17</v>
      </c>
      <c r="BA404">
        <v>17</v>
      </c>
      <c r="BB404">
        <v>17</v>
      </c>
      <c r="BC404">
        <v>0</v>
      </c>
      <c r="BD404">
        <v>75</v>
      </c>
      <c r="BE404">
        <v>17</v>
      </c>
      <c r="BF404">
        <v>42</v>
      </c>
      <c r="BG404">
        <v>11</v>
      </c>
      <c r="BH404">
        <v>5.83</v>
      </c>
      <c r="BI404">
        <v>2.0499999999999998</v>
      </c>
      <c r="BJ404">
        <v>3.3</v>
      </c>
      <c r="BK404">
        <v>3.5</v>
      </c>
      <c r="BL404">
        <f>(1/Table1[[#This Row],[odds_ft_home_team_win]]+1/Table1[[#This Row],[odds_ft_draw]]+1/Table1[[#This Row],[odds_ft_away_team_win]]-1)/3</f>
        <v>2.5516488931123089E-2</v>
      </c>
      <c r="BM404">
        <v>1.3</v>
      </c>
      <c r="BN404">
        <v>1.95</v>
      </c>
      <c r="BO404">
        <v>3.4</v>
      </c>
      <c r="BP404">
        <v>6.6</v>
      </c>
      <c r="BQ404">
        <v>1.77</v>
      </c>
      <c r="BR404">
        <v>1.95</v>
      </c>
      <c r="BS404" t="s">
        <v>142</v>
      </c>
      <c r="BT404">
        <f>VLOOKUP(Table1[[#This Row],[Reference]],metron,8,FALSE)</f>
        <v>1.6955772349985931</v>
      </c>
      <c r="BU404">
        <f>VLOOKUP(Table1[[#This Row],[Reference]],metron,9,FALSE)</f>
        <v>1.0239029519551039</v>
      </c>
      <c r="BV404">
        <f>VLOOKUP(Table1[[#This Row],[Reference]],metron,10,FALSE)</f>
        <v>2.5405629139072849</v>
      </c>
      <c r="BW404">
        <f>VLOOKUP(Table1[[#This Row],[Reference]],metron,11,FALSE)</f>
        <v>1.4888836329233679</v>
      </c>
      <c r="BX404">
        <f>VLOOKUP(Table1[[#This Row],[Reference]],metron,12,FALSE)</f>
        <v>1.0516792809839171</v>
      </c>
      <c r="BY404" s="6">
        <f>VLOOKUP(Table1[[#This Row],[Reference]],metron,13,FALSE)</f>
        <v>0.64581362346263005</v>
      </c>
      <c r="BZ404" s="6">
        <f>VLOOKUP(Table1[[#This Row],[Reference]],metron,14,FALSE)</f>
        <v>0.45364238410596031</v>
      </c>
      <c r="CA404" s="6">
        <f>VLOOKUP(Table1[[#This Row],[Reference]],metron,15,FALSE)</f>
        <v>12.686892177589851</v>
      </c>
      <c r="CB404" s="6">
        <f>VLOOKUP(Table1[[#This Row],[Reference]],metron,16,FALSE)</f>
        <v>9.8059196617336148</v>
      </c>
      <c r="CC404" s="6">
        <f>VLOOKUP(Table1[[#This Row],[Reference]],metron,17,FALSE)</f>
        <v>5.3198121263877027</v>
      </c>
      <c r="CD404" s="6">
        <f>VLOOKUP(Table1[[#This Row],[Reference]],metron,18,FALSE)</f>
        <v>4.0954312553373189</v>
      </c>
      <c r="CE404" s="6">
        <f>VLOOKUP(Table1[[#This Row],[Reference]],metron,19,FALSE)</f>
        <v>7.3670800512021479</v>
      </c>
      <c r="CF404" s="6">
        <f>VLOOKUP(Table1[[#This Row],[Reference]],metron,20,FALSE)</f>
        <v>5.710488406396296</v>
      </c>
      <c r="CG404" s="6">
        <f>VLOOKUP(Table1[[#This Row],[Reference]],metron,21,FALSE)</f>
        <v>13.0488908033599</v>
      </c>
      <c r="CH404" s="6">
        <f>VLOOKUP(Table1[[#This Row],[Reference]],metron,22,FALSE)</f>
        <v>13.714839543398661</v>
      </c>
      <c r="CI404" s="6">
        <f>VLOOKUP(Table1[[#This Row],[Reference]],metron,23,FALSE)</f>
        <v>1.567523459812322</v>
      </c>
      <c r="CJ404" s="6">
        <f>VLOOKUP(Table1[[#This Row],[Reference]],metron,24,FALSE)</f>
        <v>1.951040391676867</v>
      </c>
      <c r="CK404" s="6">
        <f>VLOOKUP(Table1[[#This Row],[Reference]],metron,25,FALSE)</f>
        <v>8.3027335781313744E-2</v>
      </c>
      <c r="CL404" s="6">
        <f>VLOOKUP(Table1[[#This Row],[Reference]],metron,26,FALSE)</f>
        <v>0.13117095063239501</v>
      </c>
    </row>
    <row r="405" spans="1:90" hidden="1" x14ac:dyDescent="0.45">
      <c r="A405" t="s">
        <v>1346</v>
      </c>
      <c r="B405">
        <v>1598839560</v>
      </c>
      <c r="C405" s="23" t="s">
        <v>797</v>
      </c>
      <c r="D405" t="s">
        <v>65</v>
      </c>
      <c r="E405" t="s">
        <v>66</v>
      </c>
      <c r="F405" t="s">
        <v>101</v>
      </c>
      <c r="G405" t="s">
        <v>78</v>
      </c>
      <c r="H405" t="s">
        <v>158</v>
      </c>
      <c r="I405">
        <f>MROUND(Table1[[#This Row],[ProbH]]*100,2)/100</f>
        <v>0.66</v>
      </c>
      <c r="J405">
        <f>1/Table1[[#This Row],[odds_ft_home_team_win]]-Table1[[#This Row],[Margin]]</f>
        <v>0.65065825615211936</v>
      </c>
      <c r="K405">
        <f>1/Table1[[#This Row],[odds_ft_draw]]-Table1[[#This Row],[Margin]]</f>
        <v>0.20486763794770813</v>
      </c>
      <c r="L405">
        <f>1/Table1[[#This Row],[odds_ft_away_team_win]]-Table1[[#This Row],[Margin]]</f>
        <v>0.14447410590017254</v>
      </c>
      <c r="M405">
        <v>7</v>
      </c>
      <c r="N405">
        <v>1.67</v>
      </c>
      <c r="O405">
        <v>0.67</v>
      </c>
      <c r="P405">
        <v>1.79</v>
      </c>
      <c r="Q405">
        <v>0.59</v>
      </c>
      <c r="R405" s="9" t="str" cm="1">
        <f t="array" ref="R4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5">
        <v>2</v>
      </c>
      <c r="T405">
        <v>1</v>
      </c>
      <c r="U405">
        <v>3</v>
      </c>
      <c r="V405">
        <v>1</v>
      </c>
      <c r="W405">
        <v>0</v>
      </c>
      <c r="X405">
        <v>1</v>
      </c>
      <c r="Y405" t="s">
        <v>798</v>
      </c>
      <c r="Z405">
        <v>27</v>
      </c>
      <c r="AA405">
        <v>10</v>
      </c>
      <c r="AB405">
        <v>5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17</v>
      </c>
      <c r="AL405">
        <v>14</v>
      </c>
      <c r="AM405">
        <v>5</v>
      </c>
      <c r="AN405">
        <v>5</v>
      </c>
      <c r="AO405">
        <v>12</v>
      </c>
      <c r="AP405">
        <v>9</v>
      </c>
      <c r="AQ405">
        <v>15</v>
      </c>
      <c r="AR405">
        <v>11</v>
      </c>
      <c r="AS405">
        <v>46</v>
      </c>
      <c r="AT405">
        <v>54</v>
      </c>
      <c r="AU405">
        <v>1.71</v>
      </c>
      <c r="AV405">
        <v>1.49</v>
      </c>
      <c r="AW405">
        <v>3.17</v>
      </c>
      <c r="AX405">
        <v>100</v>
      </c>
      <c r="AY405">
        <v>100</v>
      </c>
      <c r="AZ405">
        <v>50</v>
      </c>
      <c r="BA405">
        <v>50</v>
      </c>
      <c r="BB405">
        <v>17</v>
      </c>
      <c r="BC405">
        <v>50</v>
      </c>
      <c r="BD405">
        <v>67</v>
      </c>
      <c r="BE405">
        <v>84</v>
      </c>
      <c r="BF405">
        <v>100</v>
      </c>
      <c r="BG405">
        <v>12.34</v>
      </c>
      <c r="BH405">
        <v>6</v>
      </c>
      <c r="BI405">
        <v>1.48</v>
      </c>
      <c r="BJ405">
        <v>4.3499999999999996</v>
      </c>
      <c r="BK405">
        <v>5.9</v>
      </c>
      <c r="BL405">
        <f>(1/Table1[[#This Row],[odds_ft_home_team_win]]+1/Table1[[#This Row],[odds_ft_draw]]+1/Table1[[#This Row],[odds_ft_away_team_win]]-1)/3</f>
        <v>2.5017419523556256E-2</v>
      </c>
      <c r="BM405">
        <v>1.18</v>
      </c>
      <c r="BN405">
        <v>1.59</v>
      </c>
      <c r="BO405">
        <v>2.4500000000000002</v>
      </c>
      <c r="BP405">
        <v>4.3499999999999996</v>
      </c>
      <c r="BQ405">
        <v>1.69</v>
      </c>
      <c r="BR405">
        <v>2.0499999999999998</v>
      </c>
      <c r="BS405" t="s">
        <v>713</v>
      </c>
      <c r="BT405">
        <f>VLOOKUP(Table1[[#This Row],[Reference]],metron,8,FALSE)</f>
        <v>2.2311424831798083</v>
      </c>
      <c r="BU405">
        <f>VLOOKUP(Table1[[#This Row],[Reference]],metron,9,FALSE)</f>
        <v>0.55281092137037047</v>
      </c>
      <c r="BV405">
        <f>VLOOKUP(Table1[[#This Row],[Reference]],metron,10,FALSE)</f>
        <v>2.9251336898395728</v>
      </c>
      <c r="BW405">
        <f>VLOOKUP(Table1[[#This Row],[Reference]],metron,11,FALSE)</f>
        <v>2.089675030851502</v>
      </c>
      <c r="BX405">
        <f>VLOOKUP(Table1[[#This Row],[Reference]],metron,12,FALSE)</f>
        <v>0.8354586589880707</v>
      </c>
      <c r="BY405" s="6">
        <f>VLOOKUP(Table1[[#This Row],[Reference]],metron,13,FALSE)</f>
        <v>0.92472233648704238</v>
      </c>
      <c r="BZ405" s="6">
        <f>VLOOKUP(Table1[[#This Row],[Reference]],metron,14,FALSE)</f>
        <v>0.35252982311805842</v>
      </c>
      <c r="CA405" s="6">
        <f>VLOOKUP(Table1[[#This Row],[Reference]],metron,15,FALSE)</f>
        <v>15.366666666666671</v>
      </c>
      <c r="CB405" s="6">
        <f>VLOOKUP(Table1[[#This Row],[Reference]],metron,16,FALSE)</f>
        <v>8.5234848484848484</v>
      </c>
      <c r="CC405" s="6">
        <f>VLOOKUP(Table1[[#This Row],[Reference]],metron,17,FALSE)</f>
        <v>6.6873065015479876</v>
      </c>
      <c r="CD405" s="6">
        <f>VLOOKUP(Table1[[#This Row],[Reference]],metron,18,FALSE)</f>
        <v>3.3490712074303399</v>
      </c>
      <c r="CE405" s="6">
        <f>VLOOKUP(Table1[[#This Row],[Reference]],metron,19,FALSE)</f>
        <v>8.679360165118684</v>
      </c>
      <c r="CF405" s="6">
        <f>VLOOKUP(Table1[[#This Row],[Reference]],metron,20,FALSE)</f>
        <v>5.1744136410545085</v>
      </c>
      <c r="CG405" s="6">
        <f>VLOOKUP(Table1[[#This Row],[Reference]],metron,21,FALSE)</f>
        <v>12.62384615384615</v>
      </c>
      <c r="CH405" s="6">
        <f>VLOOKUP(Table1[[#This Row],[Reference]],metron,22,FALSE)</f>
        <v>13.844615384615381</v>
      </c>
      <c r="CI405" s="6">
        <f>VLOOKUP(Table1[[#This Row],[Reference]],metron,23,FALSE)</f>
        <v>1.369710467706013</v>
      </c>
      <c r="CJ405" s="6">
        <f>VLOOKUP(Table1[[#This Row],[Reference]],metron,24,FALSE)</f>
        <v>2.0920564216778019</v>
      </c>
      <c r="CK405" s="6">
        <f>VLOOKUP(Table1[[#This Row],[Reference]],metron,25,FALSE)</f>
        <v>7.126948775055679E-2</v>
      </c>
      <c r="CL405" s="6">
        <f>VLOOKUP(Table1[[#This Row],[Reference]],metron,26,FALSE)</f>
        <v>0.13214550853749071</v>
      </c>
    </row>
    <row r="406" spans="1:90" hidden="1" x14ac:dyDescent="0.45">
      <c r="A406" t="s">
        <v>1346</v>
      </c>
      <c r="B406">
        <v>1598925900</v>
      </c>
      <c r="C406" s="23" t="s">
        <v>799</v>
      </c>
      <c r="D406" t="s">
        <v>65</v>
      </c>
      <c r="E406" t="s">
        <v>66</v>
      </c>
      <c r="F406" t="s">
        <v>85</v>
      </c>
      <c r="G406" t="s">
        <v>97</v>
      </c>
      <c r="H406" t="s">
        <v>133</v>
      </c>
      <c r="I406">
        <f>MROUND(Table1[[#This Row],[ProbH]]*100,2)/100</f>
        <v>0.6</v>
      </c>
      <c r="J406">
        <f>1/Table1[[#This Row],[odds_ft_home_team_win]]-Table1[[#This Row],[Margin]]</f>
        <v>0.59559014593339532</v>
      </c>
      <c r="K406">
        <f>1/Table1[[#This Row],[odds_ft_draw]]-Table1[[#This Row],[Margin]]</f>
        <v>0.23763002824787721</v>
      </c>
      <c r="L406">
        <f>1/Table1[[#This Row],[odds_ft_away_team_win]]-Table1[[#This Row],[Margin]]</f>
        <v>0.16677982581872741</v>
      </c>
      <c r="M406">
        <v>7</v>
      </c>
      <c r="N406">
        <v>3</v>
      </c>
      <c r="O406">
        <v>0.67</v>
      </c>
      <c r="P406">
        <v>2.29</v>
      </c>
      <c r="Q406">
        <v>1.06</v>
      </c>
      <c r="R406" t="str" cm="1">
        <f t="array" ref="R4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6">
        <v>2</v>
      </c>
      <c r="T406">
        <v>1</v>
      </c>
      <c r="U406">
        <v>3</v>
      </c>
      <c r="V406">
        <v>3</v>
      </c>
      <c r="W406">
        <v>2</v>
      </c>
      <c r="X406">
        <v>1</v>
      </c>
      <c r="Y406" t="s">
        <v>800</v>
      </c>
      <c r="Z406">
        <v>10</v>
      </c>
      <c r="AA406">
        <v>6</v>
      </c>
      <c r="AB406">
        <v>2</v>
      </c>
      <c r="AC406">
        <v>2</v>
      </c>
      <c r="AD406">
        <v>0</v>
      </c>
      <c r="AE406">
        <v>4</v>
      </c>
      <c r="AF406">
        <v>1</v>
      </c>
      <c r="AG406">
        <v>1</v>
      </c>
      <c r="AH406">
        <v>1</v>
      </c>
      <c r="AI406">
        <v>2</v>
      </c>
      <c r="AJ406">
        <v>3</v>
      </c>
      <c r="AK406">
        <v>19</v>
      </c>
      <c r="AL406">
        <v>9</v>
      </c>
      <c r="AM406">
        <v>6</v>
      </c>
      <c r="AN406">
        <v>2</v>
      </c>
      <c r="AO406">
        <v>13</v>
      </c>
      <c r="AP406">
        <v>7</v>
      </c>
      <c r="AQ406">
        <v>15</v>
      </c>
      <c r="AR406">
        <v>20</v>
      </c>
      <c r="AS406">
        <v>73</v>
      </c>
      <c r="AT406">
        <v>27</v>
      </c>
      <c r="AU406">
        <v>2.02</v>
      </c>
      <c r="AV406">
        <v>0.87</v>
      </c>
      <c r="AW406">
        <v>2</v>
      </c>
      <c r="AX406">
        <v>59</v>
      </c>
      <c r="AY406">
        <v>59</v>
      </c>
      <c r="AZ406">
        <v>42</v>
      </c>
      <c r="BA406">
        <v>17</v>
      </c>
      <c r="BB406">
        <v>0</v>
      </c>
      <c r="BC406">
        <v>34</v>
      </c>
      <c r="BD406">
        <v>59</v>
      </c>
      <c r="BE406">
        <v>42</v>
      </c>
      <c r="BF406">
        <v>67</v>
      </c>
      <c r="BG406">
        <v>9.83</v>
      </c>
      <c r="BH406">
        <v>4.33</v>
      </c>
      <c r="BI406">
        <v>1.61</v>
      </c>
      <c r="BJ406">
        <v>3.8</v>
      </c>
      <c r="BK406">
        <v>5.2</v>
      </c>
      <c r="BL406">
        <f>(1/Table1[[#This Row],[odds_ft_home_team_win]]+1/Table1[[#This Row],[odds_ft_draw]]+1/Table1[[#This Row],[odds_ft_away_team_win]]-1)/3</f>
        <v>2.5527866488964879E-2</v>
      </c>
      <c r="BM406">
        <v>1.23</v>
      </c>
      <c r="BN406">
        <v>1.74</v>
      </c>
      <c r="BO406">
        <v>2.9</v>
      </c>
      <c r="BP406">
        <v>5.35</v>
      </c>
      <c r="BQ406">
        <v>1.74</v>
      </c>
      <c r="BR406">
        <v>2</v>
      </c>
      <c r="BS406" t="s">
        <v>128</v>
      </c>
      <c r="BT406">
        <f>VLOOKUP(Table1[[#This Row],[Reference]],metron,8,FALSE)</f>
        <v>2.0749792289385525</v>
      </c>
      <c r="BU406">
        <f>VLOOKUP(Table1[[#This Row],[Reference]],metron,9,FALSE)</f>
        <v>0.68220664089703831</v>
      </c>
      <c r="BV406">
        <f>VLOOKUP(Table1[[#This Row],[Reference]],metron,10,FALSE)</f>
        <v>2.7310090702947849</v>
      </c>
      <c r="BW406">
        <f>VLOOKUP(Table1[[#This Row],[Reference]],metron,11,FALSE)</f>
        <v>1.841836734693878</v>
      </c>
      <c r="BX406">
        <f>VLOOKUP(Table1[[#This Row],[Reference]],metron,12,FALSE)</f>
        <v>0.88917233560090703</v>
      </c>
      <c r="BY406" s="6">
        <f>VLOOKUP(Table1[[#This Row],[Reference]],metron,13,FALSE)</f>
        <v>0.804822695035461</v>
      </c>
      <c r="BZ406" s="6">
        <f>VLOOKUP(Table1[[#This Row],[Reference]],metron,14,FALSE)</f>
        <v>0.38099290780141842</v>
      </c>
      <c r="CA406" s="6">
        <f>VLOOKUP(Table1[[#This Row],[Reference]],metron,15,FALSE)</f>
        <v>14.25174825174825</v>
      </c>
      <c r="CB406" s="6">
        <f>VLOOKUP(Table1[[#This Row],[Reference]],metron,16,FALSE)</f>
        <v>8.8316683316683324</v>
      </c>
      <c r="CC406" s="6">
        <f>VLOOKUP(Table1[[#This Row],[Reference]],metron,17,FALSE)</f>
        <v>6.2901265822784813</v>
      </c>
      <c r="CD406" s="6">
        <f>VLOOKUP(Table1[[#This Row],[Reference]],metron,18,FALSE)</f>
        <v>3.6162025316455702</v>
      </c>
      <c r="CE406" s="6">
        <f>VLOOKUP(Table1[[#This Row],[Reference]],metron,19,FALSE)</f>
        <v>7.9616216694697686</v>
      </c>
      <c r="CF406" s="6">
        <f>VLOOKUP(Table1[[#This Row],[Reference]],metron,20,FALSE)</f>
        <v>5.2154658000227627</v>
      </c>
      <c r="CG406" s="6">
        <f>VLOOKUP(Table1[[#This Row],[Reference]],metron,21,FALSE)</f>
        <v>12.444895886236671</v>
      </c>
      <c r="CH406" s="6">
        <f>VLOOKUP(Table1[[#This Row],[Reference]],metron,22,FALSE)</f>
        <v>13.620619603859829</v>
      </c>
      <c r="CI406" s="6">
        <f>VLOOKUP(Table1[[#This Row],[Reference]],metron,23,FALSE)</f>
        <v>1.406084017382907</v>
      </c>
      <c r="CJ406" s="6">
        <f>VLOOKUP(Table1[[#This Row],[Reference]],metron,24,FALSE)</f>
        <v>2.070980202800579</v>
      </c>
      <c r="CK406" s="6">
        <f>VLOOKUP(Table1[[#This Row],[Reference]],metron,25,FALSE)</f>
        <v>6.1323032351521013E-2</v>
      </c>
      <c r="CL406" s="6">
        <f>VLOOKUP(Table1[[#This Row],[Reference]],metron,26,FALSE)</f>
        <v>0.1313375181071946</v>
      </c>
    </row>
    <row r="407" spans="1:90" hidden="1" x14ac:dyDescent="0.45">
      <c r="A407" t="s">
        <v>1346</v>
      </c>
      <c r="B407">
        <v>1599094800</v>
      </c>
      <c r="C407" s="23" t="s">
        <v>801</v>
      </c>
      <c r="D407" t="s">
        <v>65</v>
      </c>
      <c r="E407" t="s">
        <v>66</v>
      </c>
      <c r="F407" t="s">
        <v>68</v>
      </c>
      <c r="G407" t="s">
        <v>113</v>
      </c>
      <c r="H407" t="s">
        <v>92</v>
      </c>
      <c r="I407">
        <f>MROUND(Table1[[#This Row],[ProbH]]*100,2)/100</f>
        <v>0.56000000000000005</v>
      </c>
      <c r="J407">
        <f>1/Table1[[#This Row],[odds_ft_home_team_win]]-Table1[[#This Row],[Margin]]</f>
        <v>0.56293633787239927</v>
      </c>
      <c r="K407">
        <f>1/Table1[[#This Row],[odds_ft_draw]]-Table1[[#This Row],[Margin]]</f>
        <v>0.2449713140250224</v>
      </c>
      <c r="L407">
        <f>1/Table1[[#This Row],[odds_ft_away_team_win]]-Table1[[#This Row],[Margin]]</f>
        <v>0.19209234810257828</v>
      </c>
      <c r="M407">
        <v>8</v>
      </c>
      <c r="N407">
        <v>2</v>
      </c>
      <c r="O407">
        <v>0.33</v>
      </c>
      <c r="P407">
        <v>2.37</v>
      </c>
      <c r="Q407">
        <v>0.65</v>
      </c>
      <c r="R407" t="str" cm="1">
        <f t="array" ref="R4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7">
        <v>3</v>
      </c>
      <c r="T407">
        <v>1</v>
      </c>
      <c r="U407">
        <v>4</v>
      </c>
      <c r="V407">
        <v>0</v>
      </c>
      <c r="W407">
        <v>0</v>
      </c>
      <c r="X407">
        <v>0</v>
      </c>
      <c r="Y407" t="s">
        <v>802</v>
      </c>
      <c r="Z407">
        <v>72</v>
      </c>
      <c r="AA407">
        <v>3</v>
      </c>
      <c r="AB407">
        <v>5</v>
      </c>
      <c r="AC407">
        <v>1</v>
      </c>
      <c r="AD407">
        <v>0</v>
      </c>
      <c r="AE407">
        <v>2</v>
      </c>
      <c r="AF407">
        <v>0</v>
      </c>
      <c r="AG407">
        <v>0</v>
      </c>
      <c r="AH407">
        <v>1</v>
      </c>
      <c r="AI407">
        <v>2</v>
      </c>
      <c r="AJ407">
        <v>0</v>
      </c>
      <c r="AK407">
        <v>6</v>
      </c>
      <c r="AL407">
        <v>18</v>
      </c>
      <c r="AM407">
        <v>3</v>
      </c>
      <c r="AN407">
        <v>7</v>
      </c>
      <c r="AO407">
        <v>3</v>
      </c>
      <c r="AP407">
        <v>11</v>
      </c>
      <c r="AQ407">
        <v>22</v>
      </c>
      <c r="AR407">
        <v>18</v>
      </c>
      <c r="AS407">
        <v>39</v>
      </c>
      <c r="AT407">
        <v>61</v>
      </c>
      <c r="AU407">
        <v>0.78</v>
      </c>
      <c r="AV407">
        <v>2.04</v>
      </c>
      <c r="AW407">
        <v>3.67</v>
      </c>
      <c r="AX407">
        <v>67</v>
      </c>
      <c r="AY407">
        <v>84</v>
      </c>
      <c r="AZ407">
        <v>67</v>
      </c>
      <c r="BA407">
        <v>67</v>
      </c>
      <c r="BB407">
        <v>17</v>
      </c>
      <c r="BC407">
        <v>50</v>
      </c>
      <c r="BD407">
        <v>84</v>
      </c>
      <c r="BE407">
        <v>67</v>
      </c>
      <c r="BF407">
        <v>84</v>
      </c>
      <c r="BG407">
        <v>8</v>
      </c>
      <c r="BH407">
        <v>4.67</v>
      </c>
      <c r="BI407">
        <v>1.7</v>
      </c>
      <c r="BJ407">
        <v>3.7</v>
      </c>
      <c r="BK407">
        <v>4.5999999999999996</v>
      </c>
      <c r="BL407">
        <f>(1/Table1[[#This Row],[odds_ft_home_team_win]]+1/Table1[[#This Row],[odds_ft_draw]]+1/Table1[[#This Row],[odds_ft_away_team_win]]-1)/3</f>
        <v>2.5298956245247844E-2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 t="s">
        <v>116</v>
      </c>
      <c r="BT407">
        <f>VLOOKUP(Table1[[#This Row],[Reference]],metron,8,FALSE)</f>
        <v>1.9673156855724254</v>
      </c>
      <c r="BU407">
        <f>VLOOKUP(Table1[[#This Row],[Reference]],metron,9,FALSE)</f>
        <v>0.77729484582409181</v>
      </c>
      <c r="BV407">
        <f>VLOOKUP(Table1[[#This Row],[Reference]],metron,10,FALSE)</f>
        <v>2.6892488954344627</v>
      </c>
      <c r="BW407">
        <f>VLOOKUP(Table1[[#This Row],[Reference]],metron,11,FALSE)</f>
        <v>1.7546812539448771</v>
      </c>
      <c r="BX407">
        <f>VLOOKUP(Table1[[#This Row],[Reference]],metron,12,FALSE)</f>
        <v>0.93456764148958549</v>
      </c>
      <c r="BY407" s="6">
        <f>VLOOKUP(Table1[[#This Row],[Reference]],metron,13,FALSE)</f>
        <v>0.77824531874605507</v>
      </c>
      <c r="BZ407" s="6">
        <f>VLOOKUP(Table1[[#This Row],[Reference]],metron,14,FALSE)</f>
        <v>0.41237113402061848</v>
      </c>
      <c r="CA407" s="6">
        <f>VLOOKUP(Table1[[#This Row],[Reference]],metron,15,FALSE)</f>
        <v>13.77153558052435</v>
      </c>
      <c r="CB407" s="6">
        <f>VLOOKUP(Table1[[#This Row],[Reference]],metron,16,FALSE)</f>
        <v>9.0445692883895124</v>
      </c>
      <c r="CC407" s="6">
        <f>VLOOKUP(Table1[[#This Row],[Reference]],metron,17,FALSE)</f>
        <v>6.0821292775665396</v>
      </c>
      <c r="CD407" s="6">
        <f>VLOOKUP(Table1[[#This Row],[Reference]],metron,18,FALSE)</f>
        <v>3.8201520912547529</v>
      </c>
      <c r="CE407" s="6">
        <f>VLOOKUP(Table1[[#This Row],[Reference]],metron,19,FALSE)</f>
        <v>7.6894063029578108</v>
      </c>
      <c r="CF407" s="6">
        <f>VLOOKUP(Table1[[#This Row],[Reference]],metron,20,FALSE)</f>
        <v>5.224417197134759</v>
      </c>
      <c r="CG407" s="6">
        <f>VLOOKUP(Table1[[#This Row],[Reference]],metron,21,FALSE)</f>
        <v>12.297605473204101</v>
      </c>
      <c r="CH407" s="6">
        <f>VLOOKUP(Table1[[#This Row],[Reference]],metron,22,FALSE)</f>
        <v>13.310908399847969</v>
      </c>
      <c r="CI407" s="6">
        <f>VLOOKUP(Table1[[#This Row],[Reference]],metron,23,FALSE)</f>
        <v>1.3713126843657819</v>
      </c>
      <c r="CJ407" s="6">
        <f>VLOOKUP(Table1[[#This Row],[Reference]],metron,24,FALSE)</f>
        <v>1.9516961651917399</v>
      </c>
      <c r="CK407" s="6">
        <f>VLOOKUP(Table1[[#This Row],[Reference]],metron,25,FALSE)</f>
        <v>6.6002949852507375E-2</v>
      </c>
      <c r="CL407" s="6">
        <f>VLOOKUP(Table1[[#This Row],[Reference]],metron,26,FALSE)</f>
        <v>0.1297935103244838</v>
      </c>
    </row>
    <row r="408" spans="1:90" hidden="1" x14ac:dyDescent="0.45">
      <c r="A408" t="s">
        <v>1346</v>
      </c>
      <c r="B408">
        <v>1599177600</v>
      </c>
      <c r="C408" s="23" t="s">
        <v>803</v>
      </c>
      <c r="D408" t="s">
        <v>65</v>
      </c>
      <c r="E408" t="s">
        <v>66</v>
      </c>
      <c r="F408" t="s">
        <v>67</v>
      </c>
      <c r="G408" t="s">
        <v>79</v>
      </c>
      <c r="H408" t="s">
        <v>158</v>
      </c>
      <c r="I408">
        <f>MROUND(Table1[[#This Row],[ProbH]]*100,2)/100</f>
        <v>0.42</v>
      </c>
      <c r="J408">
        <f>1/Table1[[#This Row],[odds_ft_home_team_win]]-Table1[[#This Row],[Margin]]</f>
        <v>0.420479302832244</v>
      </c>
      <c r="K408">
        <f>1/Table1[[#This Row],[odds_ft_draw]]-Table1[[#This Row],[Margin]]</f>
        <v>0.27015250544662311</v>
      </c>
      <c r="L408">
        <f>1/Table1[[#This Row],[odds_ft_away_team_win]]-Table1[[#This Row],[Margin]]</f>
        <v>0.30936819172113289</v>
      </c>
      <c r="M408">
        <v>8</v>
      </c>
      <c r="N408">
        <v>2.33</v>
      </c>
      <c r="O408">
        <v>0.75</v>
      </c>
      <c r="P408">
        <v>1.82</v>
      </c>
      <c r="Q408">
        <v>0.55000000000000004</v>
      </c>
      <c r="R408" s="9" t="str" cm="1">
        <f t="array" ref="R4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8">
        <v>4</v>
      </c>
      <c r="T408">
        <v>1</v>
      </c>
      <c r="U408">
        <v>5</v>
      </c>
      <c r="V408">
        <v>2</v>
      </c>
      <c r="W408">
        <v>2</v>
      </c>
      <c r="X408">
        <v>0</v>
      </c>
      <c r="Y408" t="s">
        <v>804</v>
      </c>
      <c r="Z408">
        <v>77</v>
      </c>
      <c r="AA408">
        <v>6</v>
      </c>
      <c r="AB408">
        <v>7</v>
      </c>
      <c r="AC408">
        <v>1</v>
      </c>
      <c r="AD408">
        <v>0</v>
      </c>
      <c r="AE408">
        <v>3</v>
      </c>
      <c r="AF408">
        <v>0</v>
      </c>
      <c r="AG408">
        <v>0</v>
      </c>
      <c r="AH408">
        <v>1</v>
      </c>
      <c r="AI408">
        <v>1</v>
      </c>
      <c r="AJ408">
        <v>2</v>
      </c>
      <c r="AK408">
        <v>17</v>
      </c>
      <c r="AL408">
        <v>15</v>
      </c>
      <c r="AM408">
        <v>6</v>
      </c>
      <c r="AN408">
        <v>2</v>
      </c>
      <c r="AO408">
        <v>11</v>
      </c>
      <c r="AP408">
        <v>13</v>
      </c>
      <c r="AQ408">
        <v>8</v>
      </c>
      <c r="AR408">
        <v>8</v>
      </c>
      <c r="AS408">
        <v>43</v>
      </c>
      <c r="AT408">
        <v>57</v>
      </c>
      <c r="AU408">
        <v>1.74</v>
      </c>
      <c r="AV408">
        <v>1.39</v>
      </c>
      <c r="AW408">
        <v>3.21</v>
      </c>
      <c r="AX408">
        <v>84</v>
      </c>
      <c r="AY408">
        <v>84</v>
      </c>
      <c r="AZ408">
        <v>67</v>
      </c>
      <c r="BA408">
        <v>42</v>
      </c>
      <c r="BB408">
        <v>29</v>
      </c>
      <c r="BC408">
        <v>50</v>
      </c>
      <c r="BD408">
        <v>84</v>
      </c>
      <c r="BE408">
        <v>59</v>
      </c>
      <c r="BF408">
        <v>71</v>
      </c>
      <c r="BG408">
        <v>10.5</v>
      </c>
      <c r="BH408">
        <v>4.83</v>
      </c>
      <c r="BI408">
        <v>2.25</v>
      </c>
      <c r="BJ408">
        <v>3.4</v>
      </c>
      <c r="BK408">
        <v>3</v>
      </c>
      <c r="BL408">
        <f>(1/Table1[[#This Row],[odds_ft_home_team_win]]+1/Table1[[#This Row],[odds_ft_draw]]+1/Table1[[#This Row],[odds_ft_away_team_win]]-1)/3</f>
        <v>2.3965141612200425E-2</v>
      </c>
      <c r="BM408">
        <v>1.22</v>
      </c>
      <c r="BN408">
        <v>1.71</v>
      </c>
      <c r="BO408">
        <v>2.8</v>
      </c>
      <c r="BP408">
        <v>5.0999999999999996</v>
      </c>
      <c r="BQ408">
        <v>1.59</v>
      </c>
      <c r="BR408">
        <v>2.25</v>
      </c>
      <c r="BS408" t="s">
        <v>70</v>
      </c>
      <c r="BT408">
        <f>VLOOKUP(Table1[[#This Row],[Reference]],metron,8,FALSE)</f>
        <v>1.5780106027030405</v>
      </c>
      <c r="BU408">
        <f>VLOOKUP(Table1[[#This Row],[Reference]],metron,9,FALSE)</f>
        <v>1.1353025412447635</v>
      </c>
      <c r="BV408">
        <f>VLOOKUP(Table1[[#This Row],[Reference]],metron,10,FALSE)</f>
        <v>2.4884649511978703</v>
      </c>
      <c r="BW408">
        <f>VLOOKUP(Table1[[#This Row],[Reference]],metron,11,FALSE)</f>
        <v>1.396960958296362</v>
      </c>
      <c r="BX408">
        <f>VLOOKUP(Table1[[#This Row],[Reference]],metron,12,FALSE)</f>
        <v>1.091503992901508</v>
      </c>
      <c r="BY408" s="6">
        <f>VLOOKUP(Table1[[#This Row],[Reference]],metron,13,FALSE)</f>
        <v>0.60765391014975045</v>
      </c>
      <c r="BZ408" s="6">
        <f>VLOOKUP(Table1[[#This Row],[Reference]],metron,14,FALSE)</f>
        <v>0.47276760953965608</v>
      </c>
      <c r="CA408" s="6">
        <f>VLOOKUP(Table1[[#This Row],[Reference]],metron,15,FALSE)</f>
        <v>12.29504785684561</v>
      </c>
      <c r="CB408" s="6">
        <f>VLOOKUP(Table1[[#This Row],[Reference]],metron,16,FALSE)</f>
        <v>10.047232625884311</v>
      </c>
      <c r="CC408" s="6">
        <f>VLOOKUP(Table1[[#This Row],[Reference]],metron,17,FALSE)</f>
        <v>5.2917192097519967</v>
      </c>
      <c r="CD408" s="6">
        <f>VLOOKUP(Table1[[#This Row],[Reference]],metron,18,FALSE)</f>
        <v>4.2580916351408158</v>
      </c>
      <c r="CE408" s="6">
        <f>VLOOKUP(Table1[[#This Row],[Reference]],metron,19,FALSE)</f>
        <v>7.0033286470936131</v>
      </c>
      <c r="CF408" s="6">
        <f>VLOOKUP(Table1[[#This Row],[Reference]],metron,20,FALSE)</f>
        <v>5.789140990743495</v>
      </c>
      <c r="CG408" s="6">
        <f>VLOOKUP(Table1[[#This Row],[Reference]],metron,21,FALSE)</f>
        <v>12.77041895895049</v>
      </c>
      <c r="CH408" s="6">
        <f>VLOOKUP(Table1[[#This Row],[Reference]],metron,22,FALSE)</f>
        <v>13.411129919593741</v>
      </c>
      <c r="CI408" s="6">
        <f>VLOOKUP(Table1[[#This Row],[Reference]],metron,23,FALSE)</f>
        <v>1.556141062018646</v>
      </c>
      <c r="CJ408" s="6">
        <f>VLOOKUP(Table1[[#This Row],[Reference]],metron,24,FALSE)</f>
        <v>1.9114308877178761</v>
      </c>
      <c r="CK408" s="6">
        <f>VLOOKUP(Table1[[#This Row],[Reference]],metron,25,FALSE)</f>
        <v>8.4920956627482766E-2</v>
      </c>
      <c r="CL408" s="6">
        <f>VLOOKUP(Table1[[#This Row],[Reference]],metron,26,FALSE)</f>
        <v>0.1323469801378192</v>
      </c>
    </row>
    <row r="409" spans="1:90" hidden="1" x14ac:dyDescent="0.45">
      <c r="A409" t="s">
        <v>1346</v>
      </c>
      <c r="B409">
        <v>1599184800</v>
      </c>
      <c r="C409" s="23" t="s">
        <v>805</v>
      </c>
      <c r="D409" t="s">
        <v>65</v>
      </c>
      <c r="E409" t="s">
        <v>66</v>
      </c>
      <c r="F409" t="s">
        <v>84</v>
      </c>
      <c r="G409" t="s">
        <v>91</v>
      </c>
      <c r="H409" t="s">
        <v>108</v>
      </c>
      <c r="I409">
        <f>MROUND(Table1[[#This Row],[ProbH]]*100,2)/100</f>
        <v>0.52</v>
      </c>
      <c r="J409">
        <f>1/Table1[[#This Row],[odds_ft_home_team_win]]-Table1[[#This Row],[Margin]]</f>
        <v>0.52904616945712835</v>
      </c>
      <c r="K409">
        <f>1/Table1[[#This Row],[odds_ft_draw]]-Table1[[#This Row],[Margin]]</f>
        <v>0.24746321664129881</v>
      </c>
      <c r="L409">
        <f>1/Table1[[#This Row],[odds_ft_away_team_win]]-Table1[[#This Row],[Margin]]</f>
        <v>0.22349061390157279</v>
      </c>
      <c r="M409">
        <v>8</v>
      </c>
      <c r="N409">
        <v>1.5</v>
      </c>
      <c r="O409">
        <v>1</v>
      </c>
      <c r="P409">
        <v>1.43</v>
      </c>
      <c r="Q409">
        <v>0.35</v>
      </c>
      <c r="R409" t="str" cm="1">
        <f t="array" ref="R4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9">
        <v>3</v>
      </c>
      <c r="T409">
        <v>1</v>
      </c>
      <c r="U409">
        <v>4</v>
      </c>
      <c r="V409">
        <v>2</v>
      </c>
      <c r="W409">
        <v>2</v>
      </c>
      <c r="X409">
        <v>0</v>
      </c>
      <c r="Y409" t="s">
        <v>806</v>
      </c>
      <c r="Z409">
        <v>80</v>
      </c>
      <c r="AA409">
        <v>4</v>
      </c>
      <c r="AB409">
        <v>3</v>
      </c>
      <c r="AC409">
        <v>2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13</v>
      </c>
      <c r="AL409">
        <v>8</v>
      </c>
      <c r="AM409">
        <v>7</v>
      </c>
      <c r="AN409">
        <v>5</v>
      </c>
      <c r="AO409">
        <v>6</v>
      </c>
      <c r="AP409">
        <v>3</v>
      </c>
      <c r="AQ409">
        <v>12</v>
      </c>
      <c r="AR409">
        <v>17</v>
      </c>
      <c r="AS409">
        <v>56</v>
      </c>
      <c r="AT409">
        <v>44</v>
      </c>
      <c r="AU409">
        <v>1.61</v>
      </c>
      <c r="AV409">
        <v>1.07</v>
      </c>
      <c r="AW409">
        <v>3.17</v>
      </c>
      <c r="AX409">
        <v>59</v>
      </c>
      <c r="AY409">
        <v>75</v>
      </c>
      <c r="AZ409">
        <v>59</v>
      </c>
      <c r="BA409">
        <v>29</v>
      </c>
      <c r="BB409">
        <v>29</v>
      </c>
      <c r="BC409">
        <v>29</v>
      </c>
      <c r="BD409">
        <v>59</v>
      </c>
      <c r="BE409">
        <v>59</v>
      </c>
      <c r="BF409">
        <v>88</v>
      </c>
      <c r="BG409">
        <v>10.92</v>
      </c>
      <c r="BH409">
        <v>8.92</v>
      </c>
      <c r="BI409">
        <v>1.8</v>
      </c>
      <c r="BJ409">
        <v>3.65</v>
      </c>
      <c r="BK409">
        <v>4</v>
      </c>
      <c r="BL409">
        <f>(1/Table1[[#This Row],[odds_ft_home_team_win]]+1/Table1[[#This Row],[odds_ft_draw]]+1/Table1[[#This Row],[odds_ft_away_team_win]]-1)/3</f>
        <v>2.6509386098427196E-2</v>
      </c>
      <c r="BM409">
        <v>1.26</v>
      </c>
      <c r="BN409">
        <v>1.83</v>
      </c>
      <c r="BO409">
        <v>3.1</v>
      </c>
      <c r="BP409">
        <v>5.8</v>
      </c>
      <c r="BQ409">
        <v>1.74</v>
      </c>
      <c r="BR409">
        <v>2</v>
      </c>
      <c r="BS409" t="s">
        <v>88</v>
      </c>
      <c r="BT409">
        <f>VLOOKUP(Table1[[#This Row],[Reference]],metron,8,FALSE)</f>
        <v>1.8614830167843088</v>
      </c>
      <c r="BU409">
        <f>VLOOKUP(Table1[[#This Row],[Reference]],metron,9,FALSE)</f>
        <v>0.87079851622593896</v>
      </c>
      <c r="BV409">
        <f>VLOOKUP(Table1[[#This Row],[Reference]],metron,10,FALSE)</f>
        <v>2.5967403582378576</v>
      </c>
      <c r="BW409">
        <f>VLOOKUP(Table1[[#This Row],[Reference]],metron,11,FALSE)</f>
        <v>1.625948039373891</v>
      </c>
      <c r="BX409">
        <f>VLOOKUP(Table1[[#This Row],[Reference]],metron,12,FALSE)</f>
        <v>0.97079231886396644</v>
      </c>
      <c r="BY409" s="6">
        <f>VLOOKUP(Table1[[#This Row],[Reference]],metron,13,FALSE)</f>
        <v>0.71433182698515174</v>
      </c>
      <c r="BZ409" s="6">
        <f>VLOOKUP(Table1[[#This Row],[Reference]],metron,14,FALSE)</f>
        <v>0.43011620400258233</v>
      </c>
      <c r="CA409" s="6">
        <f>VLOOKUP(Table1[[#This Row],[Reference]],metron,15,FALSE)</f>
        <v>13.39951055368614</v>
      </c>
      <c r="CB409" s="6">
        <f>VLOOKUP(Table1[[#This Row],[Reference]],metron,16,FALSE)</f>
        <v>9.4252064851636579</v>
      </c>
      <c r="CC409" s="6">
        <f>VLOOKUP(Table1[[#This Row],[Reference]],metron,17,FALSE)</f>
        <v>5.7628422023992618</v>
      </c>
      <c r="CD409" s="6">
        <f>VLOOKUP(Table1[[#This Row],[Reference]],metron,18,FALSE)</f>
        <v>3.9375576745616732</v>
      </c>
      <c r="CE409" s="6">
        <f>VLOOKUP(Table1[[#This Row],[Reference]],metron,19,FALSE)</f>
        <v>7.636668351286878</v>
      </c>
      <c r="CF409" s="6">
        <f>VLOOKUP(Table1[[#This Row],[Reference]],metron,20,FALSE)</f>
        <v>5.4876488106019847</v>
      </c>
      <c r="CG409" s="6">
        <f>VLOOKUP(Table1[[#This Row],[Reference]],metron,21,FALSE)</f>
        <v>12.460420531849101</v>
      </c>
      <c r="CH409" s="6">
        <f>VLOOKUP(Table1[[#This Row],[Reference]],metron,22,FALSE)</f>
        <v>13.44897959183673</v>
      </c>
      <c r="CI409" s="6">
        <f>VLOOKUP(Table1[[#This Row],[Reference]],metron,23,FALSE)</f>
        <v>1.462202380952381</v>
      </c>
      <c r="CJ409" s="6">
        <f>VLOOKUP(Table1[[#This Row],[Reference]],metron,24,FALSE)</f>
        <v>2.01547619047619</v>
      </c>
      <c r="CK409" s="6">
        <f>VLOOKUP(Table1[[#This Row],[Reference]],metron,25,FALSE)</f>
        <v>7.7380952380952384E-2</v>
      </c>
      <c r="CL409" s="6">
        <f>VLOOKUP(Table1[[#This Row],[Reference]],metron,26,FALSE)</f>
        <v>0.13754093480202439</v>
      </c>
    </row>
    <row r="410" spans="1:90" hidden="1" x14ac:dyDescent="0.45">
      <c r="A410" t="s">
        <v>1346</v>
      </c>
      <c r="B410">
        <v>1599265800</v>
      </c>
      <c r="C410" s="23" t="s">
        <v>807</v>
      </c>
      <c r="D410" t="s">
        <v>65</v>
      </c>
      <c r="E410" t="s">
        <v>66</v>
      </c>
      <c r="F410" t="s">
        <v>72</v>
      </c>
      <c r="G410" t="s">
        <v>85</v>
      </c>
      <c r="H410" t="s">
        <v>98</v>
      </c>
      <c r="I410">
        <f>MROUND(Table1[[#This Row],[ProbH]]*100,2)/100</f>
        <v>0.26</v>
      </c>
      <c r="J410">
        <f>1/Table1[[#This Row],[odds_ft_home_team_win]]-Table1[[#This Row],[Margin]]</f>
        <v>0.25498575498575493</v>
      </c>
      <c r="K410">
        <f>1/Table1[[#This Row],[odds_ft_draw]]-Table1[[#This Row],[Margin]]</f>
        <v>0.25498575498575493</v>
      </c>
      <c r="L410">
        <f>1/Table1[[#This Row],[odds_ft_away_team_win]]-Table1[[#This Row],[Margin]]</f>
        <v>0.49002849002849003</v>
      </c>
      <c r="M410">
        <v>8</v>
      </c>
      <c r="N410">
        <v>1.75</v>
      </c>
      <c r="O410">
        <v>1.25</v>
      </c>
      <c r="P410">
        <v>1.29</v>
      </c>
      <c r="Q410">
        <v>1.5</v>
      </c>
      <c r="R410" t="str" cm="1">
        <f t="array" ref="R4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10">
        <v>0</v>
      </c>
      <c r="T410">
        <v>2</v>
      </c>
      <c r="U410">
        <v>2</v>
      </c>
      <c r="V410">
        <v>1</v>
      </c>
      <c r="W410">
        <v>0</v>
      </c>
      <c r="X410">
        <v>1</v>
      </c>
      <c r="Z410" t="s">
        <v>808</v>
      </c>
      <c r="AA410">
        <v>3</v>
      </c>
      <c r="AB410">
        <v>3</v>
      </c>
      <c r="AC410">
        <v>4</v>
      </c>
      <c r="AD410">
        <v>1</v>
      </c>
      <c r="AE410">
        <v>0</v>
      </c>
      <c r="AF410">
        <v>0</v>
      </c>
      <c r="AG410">
        <v>3</v>
      </c>
      <c r="AH410">
        <v>2</v>
      </c>
      <c r="AI410">
        <v>0</v>
      </c>
      <c r="AJ410">
        <v>0</v>
      </c>
      <c r="AK410">
        <v>12</v>
      </c>
      <c r="AL410">
        <v>11</v>
      </c>
      <c r="AM410">
        <v>6</v>
      </c>
      <c r="AN410">
        <v>6</v>
      </c>
      <c r="AO410">
        <v>6</v>
      </c>
      <c r="AP410">
        <v>5</v>
      </c>
      <c r="AQ410">
        <v>16</v>
      </c>
      <c r="AR410">
        <v>15</v>
      </c>
      <c r="AS410">
        <v>31</v>
      </c>
      <c r="AT410">
        <v>69</v>
      </c>
      <c r="AU410">
        <v>1.5</v>
      </c>
      <c r="AV410">
        <v>1.48</v>
      </c>
      <c r="AW410">
        <v>1.5</v>
      </c>
      <c r="AX410">
        <v>25</v>
      </c>
      <c r="AY410">
        <v>50</v>
      </c>
      <c r="AZ410">
        <v>25</v>
      </c>
      <c r="BA410">
        <v>0</v>
      </c>
      <c r="BB410">
        <v>0</v>
      </c>
      <c r="BC410">
        <v>13</v>
      </c>
      <c r="BD410">
        <v>63</v>
      </c>
      <c r="BE410">
        <v>13</v>
      </c>
      <c r="BF410">
        <v>63</v>
      </c>
      <c r="BG410">
        <v>8.25</v>
      </c>
      <c r="BH410">
        <v>6.25</v>
      </c>
      <c r="BI410">
        <v>3.6</v>
      </c>
      <c r="BJ410">
        <v>3.6</v>
      </c>
      <c r="BK410">
        <v>1.95</v>
      </c>
      <c r="BL410">
        <f>(1/Table1[[#This Row],[odds_ft_home_team_win]]+1/Table1[[#This Row],[odds_ft_draw]]+1/Table1[[#This Row],[odds_ft_away_team_win]]-1)/3</f>
        <v>2.2792022792022859E-2</v>
      </c>
      <c r="BM410">
        <v>1.24</v>
      </c>
      <c r="BN410">
        <v>1.77</v>
      </c>
      <c r="BO410">
        <v>2.95</v>
      </c>
      <c r="BP410">
        <v>5.45</v>
      </c>
      <c r="BQ410">
        <v>1.67</v>
      </c>
      <c r="BR410">
        <v>2.1</v>
      </c>
      <c r="BS410" t="s">
        <v>76</v>
      </c>
      <c r="BT410">
        <f>VLOOKUP(Table1[[#This Row],[Reference]],metron,8,FALSE)</f>
        <v>1.0905313574236399</v>
      </c>
      <c r="BU410">
        <f>VLOOKUP(Table1[[#This Row],[Reference]],metron,9,FALSE)</f>
        <v>1.6289415604939639</v>
      </c>
      <c r="BV410">
        <f>VLOOKUP(Table1[[#This Row],[Reference]],metron,10,FALSE)</f>
        <v>2.569449507838133</v>
      </c>
      <c r="BW410">
        <f>VLOOKUP(Table1[[#This Row],[Reference]],metron,11,FALSE)</f>
        <v>1.0936930368209989</v>
      </c>
      <c r="BX410">
        <f>VLOOKUP(Table1[[#This Row],[Reference]],metron,12,FALSE)</f>
        <v>1.475756471017134</v>
      </c>
      <c r="BY410" s="6">
        <f>VLOOKUP(Table1[[#This Row],[Reference]],metron,13,FALSE)</f>
        <v>0.50018228217280347</v>
      </c>
      <c r="BZ410" s="6">
        <f>VLOOKUP(Table1[[#This Row],[Reference]],metron,14,FALSE)</f>
        <v>0.65220561429092239</v>
      </c>
      <c r="CA410" s="6">
        <f>VLOOKUP(Table1[[#This Row],[Reference]],metron,15,FALSE)</f>
        <v>10.905576679340941</v>
      </c>
      <c r="CB410" s="6">
        <f>VLOOKUP(Table1[[#This Row],[Reference]],metron,16,FALSE)</f>
        <v>12.06463878326996</v>
      </c>
      <c r="CC410" s="6">
        <f>VLOOKUP(Table1[[#This Row],[Reference]],metron,17,FALSE)</f>
        <v>4.2920127795527154</v>
      </c>
      <c r="CD410" s="6">
        <f>VLOOKUP(Table1[[#This Row],[Reference]],metron,18,FALSE)</f>
        <v>5.0095846645367406</v>
      </c>
      <c r="CE410" s="6">
        <f>VLOOKUP(Table1[[#This Row],[Reference]],metron,19,FALSE)</f>
        <v>6.6135638997882253</v>
      </c>
      <c r="CF410" s="6">
        <f>VLOOKUP(Table1[[#This Row],[Reference]],metron,20,FALSE)</f>
        <v>7.055054118733219</v>
      </c>
      <c r="CG410" s="6">
        <f>VLOOKUP(Table1[[#This Row],[Reference]],metron,21,FALSE)</f>
        <v>12.94865211810013</v>
      </c>
      <c r="CH410" s="6">
        <f>VLOOKUP(Table1[[#This Row],[Reference]],metron,22,FALSE)</f>
        <v>13.189345314505781</v>
      </c>
      <c r="CI410" s="6">
        <f>VLOOKUP(Table1[[#This Row],[Reference]],metron,23,FALSE)</f>
        <v>1.771446078431373</v>
      </c>
      <c r="CJ410" s="6">
        <f>VLOOKUP(Table1[[#This Row],[Reference]],metron,24,FALSE)</f>
        <v>1.809436274509804</v>
      </c>
      <c r="CK410" s="6">
        <f>VLOOKUP(Table1[[#This Row],[Reference]],metron,25,FALSE)</f>
        <v>0.1060049019607843</v>
      </c>
      <c r="CL410" s="6">
        <f>VLOOKUP(Table1[[#This Row],[Reference]],metron,26,FALSE)</f>
        <v>9.6813725490196081E-2</v>
      </c>
    </row>
    <row r="411" spans="1:90" hidden="1" x14ac:dyDescent="0.45">
      <c r="A411" t="s">
        <v>1346</v>
      </c>
      <c r="B411">
        <v>1599271560</v>
      </c>
      <c r="C411" s="23" t="s">
        <v>809</v>
      </c>
      <c r="D411" t="s">
        <v>65</v>
      </c>
      <c r="E411" t="s">
        <v>66</v>
      </c>
      <c r="F411" t="s">
        <v>106</v>
      </c>
      <c r="G411" t="s">
        <v>101</v>
      </c>
      <c r="H411" t="s">
        <v>74</v>
      </c>
      <c r="I411">
        <f>MROUND(Table1[[#This Row],[ProbH]]*100,2)/100</f>
        <v>0.3</v>
      </c>
      <c r="J411">
        <f>1/Table1[[#This Row],[odds_ft_home_team_win]]-Table1[[#This Row],[Margin]]</f>
        <v>0.29234667262836278</v>
      </c>
      <c r="K411">
        <f>1/Table1[[#This Row],[odds_ft_draw]]-Table1[[#This Row],[Margin]]</f>
        <v>0.25657649601311577</v>
      </c>
      <c r="L411">
        <f>1/Table1[[#This Row],[odds_ft_away_team_win]]-Table1[[#This Row],[Margin]]</f>
        <v>0.4510768313585215</v>
      </c>
      <c r="M411">
        <v>8</v>
      </c>
      <c r="N411">
        <v>1.75</v>
      </c>
      <c r="O411">
        <v>1.33</v>
      </c>
      <c r="P411">
        <v>1.59</v>
      </c>
      <c r="Q411">
        <v>1.39</v>
      </c>
      <c r="R411" t="str" cm="1">
        <f t="array" ref="R4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1">
        <v>2</v>
      </c>
      <c r="T411">
        <v>1</v>
      </c>
      <c r="U411">
        <v>3</v>
      </c>
      <c r="V411">
        <v>2</v>
      </c>
      <c r="W411">
        <v>1</v>
      </c>
      <c r="X411">
        <v>1</v>
      </c>
      <c r="Y411" t="s">
        <v>810</v>
      </c>
      <c r="Z411">
        <v>25</v>
      </c>
      <c r="AA411">
        <v>2</v>
      </c>
      <c r="AB411">
        <v>6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13</v>
      </c>
      <c r="AL411">
        <v>13</v>
      </c>
      <c r="AM411">
        <v>6</v>
      </c>
      <c r="AN411">
        <v>5</v>
      </c>
      <c r="AO411">
        <v>7</v>
      </c>
      <c r="AP411">
        <v>8</v>
      </c>
      <c r="AQ411">
        <v>19</v>
      </c>
      <c r="AR411">
        <v>10</v>
      </c>
      <c r="AS411">
        <v>48</v>
      </c>
      <c r="AT411">
        <v>52</v>
      </c>
      <c r="AU411">
        <v>1.54</v>
      </c>
      <c r="AV411">
        <v>1.46</v>
      </c>
      <c r="AW411">
        <v>2.04</v>
      </c>
      <c r="AX411">
        <v>46</v>
      </c>
      <c r="AY411">
        <v>59</v>
      </c>
      <c r="AZ411">
        <v>29</v>
      </c>
      <c r="BA411">
        <v>29</v>
      </c>
      <c r="BB411">
        <v>0</v>
      </c>
      <c r="BC411">
        <v>29</v>
      </c>
      <c r="BD411">
        <v>71</v>
      </c>
      <c r="BE411">
        <v>29</v>
      </c>
      <c r="BF411">
        <v>75</v>
      </c>
      <c r="BG411">
        <v>9.17</v>
      </c>
      <c r="BH411">
        <v>5</v>
      </c>
      <c r="BI411">
        <v>3.15</v>
      </c>
      <c r="BJ411">
        <v>3.55</v>
      </c>
      <c r="BK411">
        <v>2.1</v>
      </c>
      <c r="BL411">
        <f>(1/Table1[[#This Row],[odds_ft_home_team_win]]+1/Table1[[#This Row],[odds_ft_draw]]+1/Table1[[#This Row],[odds_ft_away_team_win]]-1)/3</f>
        <v>2.5113644831954662E-2</v>
      </c>
      <c r="BM411">
        <v>1.25</v>
      </c>
      <c r="BN411">
        <v>1.8</v>
      </c>
      <c r="BO411">
        <v>3</v>
      </c>
      <c r="BP411">
        <v>5.6</v>
      </c>
      <c r="BQ411">
        <v>1.67</v>
      </c>
      <c r="BR411">
        <v>2.1</v>
      </c>
      <c r="BS411" t="s">
        <v>110</v>
      </c>
      <c r="BT411">
        <f>VLOOKUP(Table1[[#This Row],[Reference]],metron,8,FALSE)</f>
        <v>1.2142445227270171</v>
      </c>
      <c r="BU411">
        <f>VLOOKUP(Table1[[#This Row],[Reference]],metron,9,FALSE)</f>
        <v>1.4993969533036628</v>
      </c>
      <c r="BV411">
        <f>VLOOKUP(Table1[[#This Row],[Reference]],metron,10,FALSE)</f>
        <v>2.5726407816919519</v>
      </c>
      <c r="BW411">
        <f>VLOOKUP(Table1[[#This Row],[Reference]],metron,11,FALSE)</f>
        <v>1.1805091283106199</v>
      </c>
      <c r="BX411">
        <f>VLOOKUP(Table1[[#This Row],[Reference]],metron,12,FALSE)</f>
        <v>1.3921316533813319</v>
      </c>
      <c r="BY411" s="6">
        <f>VLOOKUP(Table1[[#This Row],[Reference]],metron,13,FALSE)</f>
        <v>0.5209673269873939</v>
      </c>
      <c r="BZ411" s="6">
        <f>VLOOKUP(Table1[[#This Row],[Reference]],metron,14,FALSE)</f>
        <v>0.61847182917417032</v>
      </c>
      <c r="CA411" s="6">
        <f>VLOOKUP(Table1[[#This Row],[Reference]],metron,15,FALSE)</f>
        <v>11.149200710479571</v>
      </c>
      <c r="CB411" s="6">
        <f>VLOOKUP(Table1[[#This Row],[Reference]],metron,16,FALSE)</f>
        <v>11.444049733570161</v>
      </c>
      <c r="CC411" s="6">
        <f>VLOOKUP(Table1[[#This Row],[Reference]],metron,17,FALSE)</f>
        <v>4.5257270693512304</v>
      </c>
      <c r="CD411" s="6">
        <f>VLOOKUP(Table1[[#This Row],[Reference]],metron,18,FALSE)</f>
        <v>4.8465324384787474</v>
      </c>
      <c r="CE411" s="6">
        <f>VLOOKUP(Table1[[#This Row],[Reference]],metron,19,FALSE)</f>
        <v>6.6234736411283404</v>
      </c>
      <c r="CF411" s="6">
        <f>VLOOKUP(Table1[[#This Row],[Reference]],metron,20,FALSE)</f>
        <v>6.5975172950914134</v>
      </c>
      <c r="CG411" s="6">
        <f>VLOOKUP(Table1[[#This Row],[Reference]],metron,21,FALSE)</f>
        <v>12.90081154192967</v>
      </c>
      <c r="CH411" s="6">
        <f>VLOOKUP(Table1[[#This Row],[Reference]],metron,22,FALSE)</f>
        <v>13.00360685302074</v>
      </c>
      <c r="CI411" s="6">
        <f>VLOOKUP(Table1[[#This Row],[Reference]],metron,23,FALSE)</f>
        <v>1.7502145922746779</v>
      </c>
      <c r="CJ411" s="6">
        <f>VLOOKUP(Table1[[#This Row],[Reference]],metron,24,FALSE)</f>
        <v>1.831402831402831</v>
      </c>
      <c r="CK411" s="6">
        <f>VLOOKUP(Table1[[#This Row],[Reference]],metron,25,FALSE)</f>
        <v>9.6525096525096526E-2</v>
      </c>
      <c r="CL411" s="6">
        <f>VLOOKUP(Table1[[#This Row],[Reference]],metron,26,FALSE)</f>
        <v>0.1244101244101244</v>
      </c>
    </row>
    <row r="412" spans="1:90" hidden="1" x14ac:dyDescent="0.45">
      <c r="A412" t="s">
        <v>1346</v>
      </c>
      <c r="B412">
        <v>1599273000</v>
      </c>
      <c r="C412" s="23" t="s">
        <v>811</v>
      </c>
      <c r="D412" t="s">
        <v>65</v>
      </c>
      <c r="E412" t="s">
        <v>66</v>
      </c>
      <c r="F412" t="s">
        <v>78</v>
      </c>
      <c r="G412" t="s">
        <v>73</v>
      </c>
      <c r="H412" t="s">
        <v>69</v>
      </c>
      <c r="I412">
        <f>MROUND(Table1[[#This Row],[ProbH]]*100,2)/100</f>
        <v>0.32</v>
      </c>
      <c r="J412">
        <f>1/Table1[[#This Row],[odds_ft_home_team_win]]-Table1[[#This Row],[Margin]]</f>
        <v>0.32590500279490936</v>
      </c>
      <c r="K412">
        <f>1/Table1[[#This Row],[odds_ft_draw]]-Table1[[#This Row],[Margin]]</f>
        <v>0.27353527249902038</v>
      </c>
      <c r="L412">
        <f>1/Table1[[#This Row],[odds_ft_away_team_win]]-Table1[[#This Row],[Margin]]</f>
        <v>0.40055972470607026</v>
      </c>
      <c r="M412">
        <v>8</v>
      </c>
      <c r="N412">
        <v>1.33</v>
      </c>
      <c r="O412">
        <v>0.25</v>
      </c>
      <c r="P412">
        <v>1.41</v>
      </c>
      <c r="Q412">
        <v>0.8</v>
      </c>
      <c r="R412" t="str" cm="1">
        <f t="array" ref="R4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2">
        <v>1</v>
      </c>
      <c r="T412">
        <v>1</v>
      </c>
      <c r="U412">
        <v>2</v>
      </c>
      <c r="V412">
        <v>0</v>
      </c>
      <c r="W412">
        <v>0</v>
      </c>
      <c r="X412">
        <v>0</v>
      </c>
      <c r="Y412">
        <v>68</v>
      </c>
      <c r="Z412">
        <v>82</v>
      </c>
      <c r="AA412">
        <v>5</v>
      </c>
      <c r="AB412">
        <v>2</v>
      </c>
      <c r="AC412">
        <v>2</v>
      </c>
      <c r="AD412">
        <v>0</v>
      </c>
      <c r="AE412">
        <v>2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6</v>
      </c>
      <c r="AL412">
        <v>10</v>
      </c>
      <c r="AM412">
        <v>3</v>
      </c>
      <c r="AN412">
        <v>3</v>
      </c>
      <c r="AO412">
        <v>3</v>
      </c>
      <c r="AP412">
        <v>7</v>
      </c>
      <c r="AQ412">
        <v>17</v>
      </c>
      <c r="AR412">
        <v>21</v>
      </c>
      <c r="AS412">
        <v>52</v>
      </c>
      <c r="AT412">
        <v>48</v>
      </c>
      <c r="AU412">
        <v>0.89</v>
      </c>
      <c r="AV412">
        <v>1.2</v>
      </c>
      <c r="AW412">
        <v>2.13</v>
      </c>
      <c r="AX412">
        <v>38</v>
      </c>
      <c r="AY412">
        <v>67</v>
      </c>
      <c r="AZ412">
        <v>38</v>
      </c>
      <c r="BA412">
        <v>25</v>
      </c>
      <c r="BB412">
        <v>0</v>
      </c>
      <c r="BC412">
        <v>25</v>
      </c>
      <c r="BD412">
        <v>50</v>
      </c>
      <c r="BE412">
        <v>42</v>
      </c>
      <c r="BF412">
        <v>84</v>
      </c>
      <c r="BG412">
        <v>8.67</v>
      </c>
      <c r="BH412">
        <v>3.92</v>
      </c>
      <c r="BI412">
        <v>2.85</v>
      </c>
      <c r="BJ412">
        <v>3.35</v>
      </c>
      <c r="BK412">
        <v>2.35</v>
      </c>
      <c r="BL412">
        <f>(1/Table1[[#This Row],[odds_ft_home_team_win]]+1/Table1[[#This Row],[odds_ft_draw]]+1/Table1[[#This Row],[odds_ft_away_team_win]]-1)/3</f>
        <v>2.4972190187546744E-2</v>
      </c>
      <c r="BM412">
        <v>1.25</v>
      </c>
      <c r="BN412">
        <v>1.8</v>
      </c>
      <c r="BO412">
        <v>3</v>
      </c>
      <c r="BP412">
        <v>5.6</v>
      </c>
      <c r="BQ412">
        <v>1.65</v>
      </c>
      <c r="BR412">
        <v>2.15</v>
      </c>
      <c r="BS412" t="s">
        <v>82</v>
      </c>
      <c r="BT412">
        <f>VLOOKUP(Table1[[#This Row],[Reference]],metron,8,FALSE)</f>
        <v>1.274681051426811</v>
      </c>
      <c r="BU412">
        <f>VLOOKUP(Table1[[#This Row],[Reference]],metron,9,FALSE)</f>
        <v>1.4392482240810365</v>
      </c>
      <c r="BV412">
        <f>VLOOKUP(Table1[[#This Row],[Reference]],metron,10,FALSE)</f>
        <v>2.5313454284174597</v>
      </c>
      <c r="BW412">
        <f>VLOOKUP(Table1[[#This Row],[Reference]],metron,11,FALSE)</f>
        <v>1.210167055864918</v>
      </c>
      <c r="BX412">
        <f>VLOOKUP(Table1[[#This Row],[Reference]],metron,12,FALSE)</f>
        <v>1.3211783725525419</v>
      </c>
      <c r="BY412" s="6">
        <f>VLOOKUP(Table1[[#This Row],[Reference]],metron,13,FALSE)</f>
        <v>0.53135669362084459</v>
      </c>
      <c r="BZ412" s="6">
        <f>VLOOKUP(Table1[[#This Row],[Reference]],metron,14,FALSE)</f>
        <v>0.55633423180592989</v>
      </c>
      <c r="CA412" s="6">
        <f>VLOOKUP(Table1[[#This Row],[Reference]],metron,15,FALSE)</f>
        <v>11.21109010712035</v>
      </c>
      <c r="CB412" s="6">
        <f>VLOOKUP(Table1[[#This Row],[Reference]],metron,16,FALSE)</f>
        <v>11.01700787401575</v>
      </c>
      <c r="CC412" s="6">
        <f>VLOOKUP(Table1[[#This Row],[Reference]],metron,17,FALSE)</f>
        <v>4.6792332268370611</v>
      </c>
      <c r="CD412" s="6">
        <f>VLOOKUP(Table1[[#This Row],[Reference]],metron,18,FALSE)</f>
        <v>4.7080804854679013</v>
      </c>
      <c r="CE412" s="6">
        <f>VLOOKUP(Table1[[#This Row],[Reference]],metron,19,FALSE)</f>
        <v>6.5318568802832893</v>
      </c>
      <c r="CF412" s="6">
        <f>VLOOKUP(Table1[[#This Row],[Reference]],metron,20,FALSE)</f>
        <v>6.3089273885478487</v>
      </c>
      <c r="CG412" s="6">
        <f>VLOOKUP(Table1[[#This Row],[Reference]],metron,21,FALSE)</f>
        <v>12.72547770700637</v>
      </c>
      <c r="CH412" s="6">
        <f>VLOOKUP(Table1[[#This Row],[Reference]],metron,22,FALSE)</f>
        <v>13.06847133757962</v>
      </c>
      <c r="CI412" s="6">
        <f>VLOOKUP(Table1[[#This Row],[Reference]],metron,23,FALSE)</f>
        <v>1.6902356902356901</v>
      </c>
      <c r="CJ412" s="6">
        <f>VLOOKUP(Table1[[#This Row],[Reference]],metron,24,FALSE)</f>
        <v>1.8050198959289869</v>
      </c>
      <c r="CK412" s="6">
        <f>VLOOKUP(Table1[[#This Row],[Reference]],metron,25,FALSE)</f>
        <v>0.105907560453015</v>
      </c>
      <c r="CL412" s="6">
        <f>VLOOKUP(Table1[[#This Row],[Reference]],metron,26,FALSE)</f>
        <v>0.1141720232629324</v>
      </c>
    </row>
    <row r="413" spans="1:90" hidden="1" x14ac:dyDescent="0.45">
      <c r="A413" t="s">
        <v>1346</v>
      </c>
      <c r="B413">
        <v>1599343200</v>
      </c>
      <c r="C413" s="23" t="s">
        <v>812</v>
      </c>
      <c r="D413" t="s">
        <v>65</v>
      </c>
      <c r="E413" t="s">
        <v>66</v>
      </c>
      <c r="F413" t="s">
        <v>96</v>
      </c>
      <c r="G413" t="s">
        <v>102</v>
      </c>
      <c r="H413" t="s">
        <v>130</v>
      </c>
      <c r="I413">
        <f>MROUND(Table1[[#This Row],[ProbH]]*100,2)/100</f>
        <v>0.54</v>
      </c>
      <c r="J413">
        <f>1/Table1[[#This Row],[odds_ft_home_team_win]]-Table1[[#This Row],[Margin]]</f>
        <v>0.54795363314633094</v>
      </c>
      <c r="K413">
        <f>1/Table1[[#This Row],[odds_ft_draw]]-Table1[[#This Row],[Margin]]</f>
        <v>0.24351125973844026</v>
      </c>
      <c r="L413">
        <f>1/Table1[[#This Row],[odds_ft_away_team_win]]-Table1[[#This Row],[Margin]]</f>
        <v>0.20853510711522885</v>
      </c>
      <c r="M413">
        <v>8</v>
      </c>
      <c r="N413">
        <v>2</v>
      </c>
      <c r="O413">
        <v>1.5</v>
      </c>
      <c r="P413">
        <v>1.65</v>
      </c>
      <c r="Q413">
        <v>1.33</v>
      </c>
      <c r="R413" t="str" cm="1">
        <f t="array" ref="R4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3">
        <v>4</v>
      </c>
      <c r="T413">
        <v>1</v>
      </c>
      <c r="U413">
        <v>5</v>
      </c>
      <c r="V413">
        <v>3</v>
      </c>
      <c r="W413">
        <v>2</v>
      </c>
      <c r="X413">
        <v>1</v>
      </c>
      <c r="Y413" t="s">
        <v>813</v>
      </c>
      <c r="Z413">
        <v>10</v>
      </c>
      <c r="AA413">
        <v>8</v>
      </c>
      <c r="AB413">
        <v>0</v>
      </c>
      <c r="AC413">
        <v>3</v>
      </c>
      <c r="AD413">
        <v>0</v>
      </c>
      <c r="AE413">
        <v>2</v>
      </c>
      <c r="AF413">
        <v>0</v>
      </c>
      <c r="AG413">
        <v>0</v>
      </c>
      <c r="AH413">
        <v>3</v>
      </c>
      <c r="AI413">
        <v>0</v>
      </c>
      <c r="AJ413">
        <v>2</v>
      </c>
      <c r="AK413">
        <v>13</v>
      </c>
      <c r="AL413">
        <v>7</v>
      </c>
      <c r="AM413">
        <v>7</v>
      </c>
      <c r="AN413">
        <v>5</v>
      </c>
      <c r="AO413">
        <v>6</v>
      </c>
      <c r="AP413">
        <v>2</v>
      </c>
      <c r="AQ413">
        <v>12</v>
      </c>
      <c r="AR413">
        <v>12</v>
      </c>
      <c r="AS413">
        <v>52</v>
      </c>
      <c r="AT413">
        <v>48</v>
      </c>
      <c r="AU413">
        <v>1.65</v>
      </c>
      <c r="AV413">
        <v>0.93</v>
      </c>
      <c r="AW413">
        <v>2.75</v>
      </c>
      <c r="AX413">
        <v>63</v>
      </c>
      <c r="AY413">
        <v>75</v>
      </c>
      <c r="AZ413">
        <v>50</v>
      </c>
      <c r="BA413">
        <v>25</v>
      </c>
      <c r="BB413">
        <v>25</v>
      </c>
      <c r="BC413">
        <v>25</v>
      </c>
      <c r="BD413">
        <v>75</v>
      </c>
      <c r="BE413">
        <v>50</v>
      </c>
      <c r="BF413">
        <v>88</v>
      </c>
      <c r="BG413">
        <v>12</v>
      </c>
      <c r="BH413">
        <v>6</v>
      </c>
      <c r="BI413">
        <v>1.74</v>
      </c>
      <c r="BJ413">
        <v>3.7</v>
      </c>
      <c r="BK413">
        <v>4.25</v>
      </c>
      <c r="BL413">
        <f>(1/Table1[[#This Row],[odds_ft_home_team_win]]+1/Table1[[#This Row],[odds_ft_draw]]+1/Table1[[#This Row],[odds_ft_away_team_win]]-1)/3</f>
        <v>2.6759010531829979E-2</v>
      </c>
      <c r="BM413">
        <v>1.28</v>
      </c>
      <c r="BN413">
        <v>1.91</v>
      </c>
      <c r="BO413">
        <v>3.25</v>
      </c>
      <c r="BP413">
        <v>6.25</v>
      </c>
      <c r="BQ413">
        <v>1.8</v>
      </c>
      <c r="BR413">
        <v>1.91</v>
      </c>
      <c r="BS413" t="s">
        <v>99</v>
      </c>
      <c r="BT413">
        <f>VLOOKUP(Table1[[#This Row],[Reference]],metron,8,FALSE)</f>
        <v>1.915666026436746</v>
      </c>
      <c r="BU413">
        <f>VLOOKUP(Table1[[#This Row],[Reference]],metron,9,FALSE)</f>
        <v>0.82283834599204153</v>
      </c>
      <c r="BV413">
        <f>VLOOKUP(Table1[[#This Row],[Reference]],metron,10,FALSE)</f>
        <v>2.6359702267612941</v>
      </c>
      <c r="BW413">
        <f>VLOOKUP(Table1[[#This Row],[Reference]],metron,11,FALSE)</f>
        <v>1.684957590444867</v>
      </c>
      <c r="BX413">
        <f>VLOOKUP(Table1[[#This Row],[Reference]],metron,12,FALSE)</f>
        <v>0.95101263631642718</v>
      </c>
      <c r="BY413" s="6">
        <f>VLOOKUP(Table1[[#This Row],[Reference]],metron,13,FALSE)</f>
        <v>0.72650164445213783</v>
      </c>
      <c r="BZ413" s="6">
        <f>VLOOKUP(Table1[[#This Row],[Reference]],metron,14,FALSE)</f>
        <v>0.42097974727367138</v>
      </c>
      <c r="CA413" s="6">
        <f>VLOOKUP(Table1[[#This Row],[Reference]],metron,15,FALSE)</f>
        <v>13.338806970509379</v>
      </c>
      <c r="CB413" s="6">
        <f>VLOOKUP(Table1[[#This Row],[Reference]],metron,16,FALSE)</f>
        <v>9.2530160857908843</v>
      </c>
      <c r="CC413" s="6">
        <f>VLOOKUP(Table1[[#This Row],[Reference]],metron,17,FALSE)</f>
        <v>5.9915081521739131</v>
      </c>
      <c r="CD413" s="6">
        <f>VLOOKUP(Table1[[#This Row],[Reference]],metron,18,FALSE)</f>
        <v>3.9772418478260869</v>
      </c>
      <c r="CE413" s="6">
        <f>VLOOKUP(Table1[[#This Row],[Reference]],metron,19,FALSE)</f>
        <v>7.3472988183354664</v>
      </c>
      <c r="CF413" s="6">
        <f>VLOOKUP(Table1[[#This Row],[Reference]],metron,20,FALSE)</f>
        <v>5.2757742379647974</v>
      </c>
      <c r="CG413" s="6">
        <f>VLOOKUP(Table1[[#This Row],[Reference]],metron,21,FALSE)</f>
        <v>12.59428182437032</v>
      </c>
      <c r="CH413" s="6">
        <f>VLOOKUP(Table1[[#This Row],[Reference]],metron,22,FALSE)</f>
        <v>13.577944179714089</v>
      </c>
      <c r="CI413" s="6">
        <f>VLOOKUP(Table1[[#This Row],[Reference]],metron,23,FALSE)</f>
        <v>1.4276913099870301</v>
      </c>
      <c r="CJ413" s="6">
        <f>VLOOKUP(Table1[[#This Row],[Reference]],metron,24,FALSE)</f>
        <v>1.940985732814527</v>
      </c>
      <c r="CK413" s="6">
        <f>VLOOKUP(Table1[[#This Row],[Reference]],metron,25,FALSE)</f>
        <v>8.0739299610894946E-2</v>
      </c>
      <c r="CL413" s="6">
        <f>VLOOKUP(Table1[[#This Row],[Reference]],metron,26,FALSE)</f>
        <v>0.12743190661478601</v>
      </c>
    </row>
    <row r="414" spans="1:90" hidden="1" x14ac:dyDescent="0.45">
      <c r="A414" t="s">
        <v>1346</v>
      </c>
      <c r="B414">
        <v>1599350400</v>
      </c>
      <c r="C414" s="23" t="s">
        <v>814</v>
      </c>
      <c r="D414" t="s">
        <v>65</v>
      </c>
      <c r="E414" t="s">
        <v>66</v>
      </c>
      <c r="F414" t="s">
        <v>97</v>
      </c>
      <c r="G414" t="s">
        <v>112</v>
      </c>
      <c r="H414" t="s">
        <v>215</v>
      </c>
      <c r="I414">
        <f>MROUND(Table1[[#This Row],[ProbH]]*100,2)/100</f>
        <v>0.2</v>
      </c>
      <c r="J414">
        <f>1/Table1[[#This Row],[odds_ft_home_team_win]]-Table1[[#This Row],[Margin]]</f>
        <v>0.20872397497253739</v>
      </c>
      <c r="K414">
        <f>1/Table1[[#This Row],[odds_ft_draw]]-Table1[[#This Row],[Margin]]</f>
        <v>0.25013843817737969</v>
      </c>
      <c r="L414">
        <f>1/Table1[[#This Row],[odds_ft_away_team_win]]-Table1[[#This Row],[Margin]]</f>
        <v>0.54113758685008306</v>
      </c>
      <c r="M414">
        <v>8</v>
      </c>
      <c r="N414">
        <v>1</v>
      </c>
      <c r="O414">
        <v>1.33</v>
      </c>
      <c r="P414">
        <v>1.21</v>
      </c>
      <c r="Q414">
        <v>1.77</v>
      </c>
      <c r="R414" t="str" cm="1">
        <f t="array" ref="R4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71</v>
      </c>
      <c r="AA414">
        <v>7</v>
      </c>
      <c r="AB414">
        <v>4</v>
      </c>
      <c r="AC414">
        <v>2</v>
      </c>
      <c r="AD414">
        <v>0</v>
      </c>
      <c r="AE414">
        <v>2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13</v>
      </c>
      <c r="AL414">
        <v>16</v>
      </c>
      <c r="AM414">
        <v>5</v>
      </c>
      <c r="AN414">
        <v>2</v>
      </c>
      <c r="AO414">
        <v>8</v>
      </c>
      <c r="AP414">
        <v>14</v>
      </c>
      <c r="AQ414">
        <v>10</v>
      </c>
      <c r="AR414">
        <v>14</v>
      </c>
      <c r="AS414">
        <v>38</v>
      </c>
      <c r="AT414">
        <v>62</v>
      </c>
      <c r="AU414">
        <v>1.48</v>
      </c>
      <c r="AV414">
        <v>1.52</v>
      </c>
      <c r="AW414">
        <v>2.33</v>
      </c>
      <c r="AX414">
        <v>67</v>
      </c>
      <c r="AY414">
        <v>67</v>
      </c>
      <c r="AZ414">
        <v>50</v>
      </c>
      <c r="BA414">
        <v>17</v>
      </c>
      <c r="BB414">
        <v>0</v>
      </c>
      <c r="BC414">
        <v>33</v>
      </c>
      <c r="BD414">
        <v>84</v>
      </c>
      <c r="BE414">
        <v>33</v>
      </c>
      <c r="BF414">
        <v>67</v>
      </c>
      <c r="BG414">
        <v>12</v>
      </c>
      <c r="BH414">
        <v>5.67</v>
      </c>
      <c r="BI414">
        <v>4.3</v>
      </c>
      <c r="BJ414">
        <v>3.65</v>
      </c>
      <c r="BK414">
        <v>1.77</v>
      </c>
      <c r="BL414">
        <f>(1/Table1[[#This Row],[odds_ft_home_team_win]]+1/Table1[[#This Row],[odds_ft_draw]]+1/Table1[[#This Row],[odds_ft_away_team_win]]-1)/3</f>
        <v>2.3834164562346327E-2</v>
      </c>
      <c r="BM414">
        <v>1.25</v>
      </c>
      <c r="BN414">
        <v>1.8</v>
      </c>
      <c r="BO414">
        <v>3</v>
      </c>
      <c r="BP414">
        <v>5.6</v>
      </c>
      <c r="BQ414">
        <v>1.74</v>
      </c>
      <c r="BR414">
        <v>2</v>
      </c>
      <c r="BS414" t="s">
        <v>136</v>
      </c>
      <c r="BT414">
        <f>VLOOKUP(Table1[[#This Row],[Reference]],metron,8,FALSE)</f>
        <v>0.89040268062788797</v>
      </c>
      <c r="BU414">
        <f>VLOOKUP(Table1[[#This Row],[Reference]],metron,9,FALSE)</f>
        <v>1.8482406971105219</v>
      </c>
      <c r="BV414">
        <f>VLOOKUP(Table1[[#This Row],[Reference]],metron,10,FALSE)</f>
        <v>2.7065095398428731</v>
      </c>
      <c r="BW414">
        <f>VLOOKUP(Table1[[#This Row],[Reference]],metron,11,FALSE)</f>
        <v>1.0101010101010099</v>
      </c>
      <c r="BX414">
        <f>VLOOKUP(Table1[[#This Row],[Reference]],metron,12,FALSE)</f>
        <v>1.696408529741863</v>
      </c>
      <c r="BY414" s="6">
        <f>VLOOKUP(Table1[[#This Row],[Reference]],metron,13,FALSE)</f>
        <v>0.44044943820224719</v>
      </c>
      <c r="BZ414" s="6">
        <f>VLOOKUP(Table1[[#This Row],[Reference]],metron,14,FALSE)</f>
        <v>0.74606741573033708</v>
      </c>
      <c r="CA414" s="6">
        <f>VLOOKUP(Table1[[#This Row],[Reference]],metron,15,FALSE)</f>
        <v>10.265072765072761</v>
      </c>
      <c r="CB414" s="6">
        <f>VLOOKUP(Table1[[#This Row],[Reference]],metron,16,FALSE)</f>
        <v>13.023908523908521</v>
      </c>
      <c r="CC414" s="6">
        <f>VLOOKUP(Table1[[#This Row],[Reference]],metron,17,FALSE)</f>
        <v>4.0483193277310923</v>
      </c>
      <c r="CD414" s="6">
        <f>VLOOKUP(Table1[[#This Row],[Reference]],metron,18,FALSE)</f>
        <v>5.60609243697479</v>
      </c>
      <c r="CE414" s="6">
        <f>VLOOKUP(Table1[[#This Row],[Reference]],metron,19,FALSE)</f>
        <v>6.2167534373416684</v>
      </c>
      <c r="CF414" s="6">
        <f>VLOOKUP(Table1[[#This Row],[Reference]],metron,20,FALSE)</f>
        <v>7.4178160869337306</v>
      </c>
      <c r="CG414" s="6">
        <f>VLOOKUP(Table1[[#This Row],[Reference]],metron,21,FALSE)</f>
        <v>13.223628691983119</v>
      </c>
      <c r="CH414" s="6">
        <f>VLOOKUP(Table1[[#This Row],[Reference]],metron,22,FALSE)</f>
        <v>12.78586497890295</v>
      </c>
      <c r="CI414" s="6">
        <f>VLOOKUP(Table1[[#This Row],[Reference]],metron,23,FALSE)</f>
        <v>1.8442211055276381</v>
      </c>
      <c r="CJ414" s="6">
        <f>VLOOKUP(Table1[[#This Row],[Reference]],metron,24,FALSE)</f>
        <v>1.7989949748743721</v>
      </c>
      <c r="CK414" s="6">
        <f>VLOOKUP(Table1[[#This Row],[Reference]],metron,25,FALSE)</f>
        <v>0.12060301507537689</v>
      </c>
      <c r="CL414" s="6">
        <f>VLOOKUP(Table1[[#This Row],[Reference]],metron,26,FALSE)</f>
        <v>0.11658291457286429</v>
      </c>
    </row>
    <row r="415" spans="1:90" hidden="1" x14ac:dyDescent="0.45">
      <c r="A415" t="s">
        <v>1346</v>
      </c>
      <c r="B415">
        <v>1599357600</v>
      </c>
      <c r="C415" s="23" t="s">
        <v>815</v>
      </c>
      <c r="D415" t="s">
        <v>65</v>
      </c>
      <c r="E415" t="s">
        <v>66</v>
      </c>
      <c r="F415" t="s">
        <v>107</v>
      </c>
      <c r="G415" t="s">
        <v>90</v>
      </c>
      <c r="H415" t="s">
        <v>122</v>
      </c>
      <c r="I415">
        <f>MROUND(Table1[[#This Row],[ProbH]]*100,2)/100</f>
        <v>0.48</v>
      </c>
      <c r="J415">
        <f>1/Table1[[#This Row],[odds_ft_home_team_win]]-Table1[[#This Row],[Margin]]</f>
        <v>0.47638326585695007</v>
      </c>
      <c r="K415">
        <f>1/Table1[[#This Row],[odds_ft_draw]]-Table1[[#This Row],[Margin]]</f>
        <v>0.28407557354925778</v>
      </c>
      <c r="L415">
        <f>1/Table1[[#This Row],[odds_ft_away_team_win]]-Table1[[#This Row],[Margin]]</f>
        <v>0.23954116059379219</v>
      </c>
      <c r="M415">
        <v>8</v>
      </c>
      <c r="N415">
        <v>1.67</v>
      </c>
      <c r="O415">
        <v>1</v>
      </c>
      <c r="P415">
        <v>1.53</v>
      </c>
      <c r="Q415">
        <v>1.35</v>
      </c>
      <c r="R415" t="str" cm="1">
        <f t="array" ref="R4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15">
        <v>1</v>
      </c>
      <c r="T415">
        <v>3</v>
      </c>
      <c r="U415">
        <v>4</v>
      </c>
      <c r="V415">
        <v>1</v>
      </c>
      <c r="W415">
        <v>0</v>
      </c>
      <c r="X415">
        <v>1</v>
      </c>
      <c r="Y415">
        <v>64</v>
      </c>
      <c r="Z415" t="s">
        <v>816</v>
      </c>
      <c r="AA415">
        <v>8</v>
      </c>
      <c r="AB415">
        <v>5</v>
      </c>
      <c r="AC415">
        <v>2</v>
      </c>
      <c r="AD415">
        <v>1</v>
      </c>
      <c r="AE415">
        <v>3</v>
      </c>
      <c r="AF415">
        <v>1</v>
      </c>
      <c r="AG415">
        <v>2</v>
      </c>
      <c r="AH415">
        <v>1</v>
      </c>
      <c r="AI415">
        <v>3</v>
      </c>
      <c r="AJ415">
        <v>1</v>
      </c>
      <c r="AK415">
        <v>15</v>
      </c>
      <c r="AL415">
        <v>17</v>
      </c>
      <c r="AM415">
        <v>5</v>
      </c>
      <c r="AN415">
        <v>6</v>
      </c>
      <c r="AO415">
        <v>10</v>
      </c>
      <c r="AP415">
        <v>11</v>
      </c>
      <c r="AQ415">
        <v>16</v>
      </c>
      <c r="AR415">
        <v>9</v>
      </c>
      <c r="AS415">
        <v>65</v>
      </c>
      <c r="AT415">
        <v>35</v>
      </c>
      <c r="AU415">
        <v>1.65</v>
      </c>
      <c r="AV415">
        <v>1.77</v>
      </c>
      <c r="AW415">
        <v>2</v>
      </c>
      <c r="AX415">
        <v>50</v>
      </c>
      <c r="AY415">
        <v>84</v>
      </c>
      <c r="AZ415">
        <v>17</v>
      </c>
      <c r="BA415">
        <v>0</v>
      </c>
      <c r="BB415">
        <v>0</v>
      </c>
      <c r="BC415">
        <v>17</v>
      </c>
      <c r="BD415">
        <v>33</v>
      </c>
      <c r="BE415">
        <v>50</v>
      </c>
      <c r="BF415">
        <v>100</v>
      </c>
      <c r="BG415">
        <v>8</v>
      </c>
      <c r="BH415">
        <v>5.66</v>
      </c>
      <c r="BI415">
        <v>2</v>
      </c>
      <c r="BJ415">
        <v>3.25</v>
      </c>
      <c r="BK415">
        <v>3.8</v>
      </c>
      <c r="BL415">
        <f>(1/Table1[[#This Row],[odds_ft_home_team_win]]+1/Table1[[#This Row],[odds_ft_draw]]+1/Table1[[#This Row],[odds_ft_away_team_win]]-1)/3</f>
        <v>2.3616734143049916E-2</v>
      </c>
      <c r="BM415">
        <v>1.36</v>
      </c>
      <c r="BN415">
        <v>2.15</v>
      </c>
      <c r="BO415">
        <v>3.9</v>
      </c>
      <c r="BP415">
        <v>7.5</v>
      </c>
      <c r="BQ415">
        <v>1.87</v>
      </c>
      <c r="BR415">
        <v>1.83</v>
      </c>
      <c r="BS415" t="s">
        <v>161</v>
      </c>
      <c r="BT415">
        <f>VLOOKUP(Table1[[#This Row],[Reference]],metron,8,FALSE)</f>
        <v>1.743992017160418</v>
      </c>
      <c r="BU415">
        <f>VLOOKUP(Table1[[#This Row],[Reference]],metron,9,FALSE)</f>
        <v>0.97803937284245479</v>
      </c>
      <c r="BV415">
        <f>VLOOKUP(Table1[[#This Row],[Reference]],metron,10,FALSE)</f>
        <v>2.5271929824561399</v>
      </c>
      <c r="BW415">
        <f>VLOOKUP(Table1[[#This Row],[Reference]],metron,11,FALSE)</f>
        <v>1.510877192982456</v>
      </c>
      <c r="BX415">
        <f>VLOOKUP(Table1[[#This Row],[Reference]],metron,12,FALSE)</f>
        <v>1.0163157894736841</v>
      </c>
      <c r="BY415" s="6">
        <f>VLOOKUP(Table1[[#This Row],[Reference]],metron,13,FALSE)</f>
        <v>0.67350877192982461</v>
      </c>
      <c r="BZ415" s="6">
        <f>VLOOKUP(Table1[[#This Row],[Reference]],metron,14,FALSE)</f>
        <v>0.4442105263157895</v>
      </c>
      <c r="CA415" s="6">
        <f>VLOOKUP(Table1[[#This Row],[Reference]],metron,15,FALSE)</f>
        <v>12.80980392156863</v>
      </c>
      <c r="CB415" s="6">
        <f>VLOOKUP(Table1[[#This Row],[Reference]],metron,16,FALSE)</f>
        <v>9.6872549019607845</v>
      </c>
      <c r="CC415" s="6">
        <f>VLOOKUP(Table1[[#This Row],[Reference]],metron,17,FALSE)</f>
        <v>5.6491169610129957</v>
      </c>
      <c r="CD415" s="6">
        <f>VLOOKUP(Table1[[#This Row],[Reference]],metron,18,FALSE)</f>
        <v>4.1379540153282237</v>
      </c>
      <c r="CE415" s="6">
        <f>VLOOKUP(Table1[[#This Row],[Reference]],metron,19,FALSE)</f>
        <v>7.1606869605556343</v>
      </c>
      <c r="CF415" s="6">
        <f>VLOOKUP(Table1[[#This Row],[Reference]],metron,20,FALSE)</f>
        <v>5.5493008866325608</v>
      </c>
      <c r="CG415" s="6">
        <f>VLOOKUP(Table1[[#This Row],[Reference]],metron,21,FALSE)</f>
        <v>12.9029029029029</v>
      </c>
      <c r="CH415" s="6">
        <f>VLOOKUP(Table1[[#This Row],[Reference]],metron,22,FALSE)</f>
        <v>13.75508842175509</v>
      </c>
      <c r="CI415" s="6">
        <f>VLOOKUP(Table1[[#This Row],[Reference]],metron,23,FALSE)</f>
        <v>1.5287356321839081</v>
      </c>
      <c r="CJ415" s="6">
        <f>VLOOKUP(Table1[[#This Row],[Reference]],metron,24,FALSE)</f>
        <v>1.9664750957854411</v>
      </c>
      <c r="CK415" s="6">
        <f>VLOOKUP(Table1[[#This Row],[Reference]],metron,25,FALSE)</f>
        <v>8.8441890166028103E-2</v>
      </c>
      <c r="CL415" s="6">
        <f>VLOOKUP(Table1[[#This Row],[Reference]],metron,26,FALSE)</f>
        <v>0.13409961685823751</v>
      </c>
    </row>
    <row r="416" spans="1:90" hidden="1" x14ac:dyDescent="0.45">
      <c r="A416" t="s">
        <v>1346</v>
      </c>
      <c r="B416">
        <v>1599602400</v>
      </c>
      <c r="C416" s="23" t="s">
        <v>817</v>
      </c>
      <c r="D416" t="s">
        <v>65</v>
      </c>
      <c r="E416" t="s">
        <v>66</v>
      </c>
      <c r="F416" t="s">
        <v>91</v>
      </c>
      <c r="G416" t="s">
        <v>72</v>
      </c>
      <c r="H416" t="s">
        <v>158</v>
      </c>
      <c r="I416">
        <f>MROUND(Table1[[#This Row],[ProbH]]*100,2)/100</f>
        <v>0.4</v>
      </c>
      <c r="J416">
        <f>1/Table1[[#This Row],[odds_ft_home_team_win]]-Table1[[#This Row],[Margin]]</f>
        <v>0.39314194577352474</v>
      </c>
      <c r="K416">
        <f>1/Table1[[#This Row],[odds_ft_draw]]-Table1[[#This Row],[Margin]]</f>
        <v>0.27950558213716109</v>
      </c>
      <c r="L416">
        <f>1/Table1[[#This Row],[odds_ft_away_team_win]]-Table1[[#This Row],[Margin]]</f>
        <v>0.32735247208931417</v>
      </c>
      <c r="M416">
        <v>9</v>
      </c>
      <c r="N416">
        <v>0.5</v>
      </c>
      <c r="O416">
        <v>0.33</v>
      </c>
      <c r="P416">
        <v>1</v>
      </c>
      <c r="Q416">
        <v>0.72</v>
      </c>
      <c r="R416" s="9" t="str" cm="1">
        <f t="array" ref="R4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6">
        <v>2</v>
      </c>
      <c r="T416">
        <v>1</v>
      </c>
      <c r="U416">
        <v>3</v>
      </c>
      <c r="V416">
        <v>1</v>
      </c>
      <c r="W416">
        <v>0</v>
      </c>
      <c r="X416">
        <v>1</v>
      </c>
      <c r="Y416" t="s">
        <v>818</v>
      </c>
      <c r="Z416">
        <v>21</v>
      </c>
      <c r="AA416">
        <v>8</v>
      </c>
      <c r="AB416">
        <v>4</v>
      </c>
      <c r="AC416">
        <v>3</v>
      </c>
      <c r="AD416">
        <v>0</v>
      </c>
      <c r="AE416">
        <v>3</v>
      </c>
      <c r="AF416">
        <v>0</v>
      </c>
      <c r="AG416">
        <v>1</v>
      </c>
      <c r="AH416">
        <v>2</v>
      </c>
      <c r="AI416">
        <v>0</v>
      </c>
      <c r="AJ416">
        <v>3</v>
      </c>
      <c r="AK416">
        <v>11</v>
      </c>
      <c r="AL416">
        <v>10</v>
      </c>
      <c r="AM416">
        <v>7</v>
      </c>
      <c r="AN416">
        <v>6</v>
      </c>
      <c r="AO416">
        <v>4</v>
      </c>
      <c r="AP416">
        <v>4</v>
      </c>
      <c r="AQ416">
        <v>12</v>
      </c>
      <c r="AR416">
        <v>9</v>
      </c>
      <c r="AS416">
        <v>58</v>
      </c>
      <c r="AT416">
        <v>42</v>
      </c>
      <c r="AU416">
        <v>1.54</v>
      </c>
      <c r="AV416">
        <v>1.29</v>
      </c>
      <c r="AW416">
        <v>2.38</v>
      </c>
      <c r="AX416">
        <v>67</v>
      </c>
      <c r="AY416">
        <v>84</v>
      </c>
      <c r="AZ416">
        <v>42</v>
      </c>
      <c r="BA416">
        <v>13</v>
      </c>
      <c r="BB416">
        <v>0</v>
      </c>
      <c r="BC416">
        <v>38</v>
      </c>
      <c r="BD416">
        <v>67</v>
      </c>
      <c r="BE416">
        <v>34</v>
      </c>
      <c r="BF416">
        <v>88</v>
      </c>
      <c r="BG416">
        <v>9</v>
      </c>
      <c r="BH416">
        <v>4</v>
      </c>
      <c r="BI416">
        <v>2.4</v>
      </c>
      <c r="BJ416">
        <v>3.3</v>
      </c>
      <c r="BK416">
        <v>2.85</v>
      </c>
      <c r="BL416">
        <f>(1/Table1[[#This Row],[odds_ft_home_team_win]]+1/Table1[[#This Row],[odds_ft_draw]]+1/Table1[[#This Row],[odds_ft_away_team_win]]-1)/3</f>
        <v>2.3524720893141948E-2</v>
      </c>
      <c r="BM416">
        <v>1.29</v>
      </c>
      <c r="BN416">
        <v>1.91</v>
      </c>
      <c r="BO416">
        <v>3.3</v>
      </c>
      <c r="BP416">
        <v>6.35</v>
      </c>
      <c r="BQ416">
        <v>1.71</v>
      </c>
      <c r="BR416">
        <v>2.0499999999999998</v>
      </c>
      <c r="BS416" t="s">
        <v>144</v>
      </c>
      <c r="BT416">
        <f>VLOOKUP(Table1[[#This Row],[Reference]],metron,8,FALSE)</f>
        <v>1.5181603563290151</v>
      </c>
      <c r="BU416">
        <f>VLOOKUP(Table1[[#This Row],[Reference]],metron,9,FALSE)</f>
        <v>1.1952730370775513</v>
      </c>
      <c r="BV416">
        <f>VLOOKUP(Table1[[#This Row],[Reference]],metron,10,FALSE)</f>
        <v>2.4956155335383219</v>
      </c>
      <c r="BW416">
        <f>VLOOKUP(Table1[[#This Row],[Reference]],metron,11,FALSE)</f>
        <v>1.344038264434575</v>
      </c>
      <c r="BX416">
        <f>VLOOKUP(Table1[[#This Row],[Reference]],metron,12,FALSE)</f>
        <v>1.1515772691037469</v>
      </c>
      <c r="BY416" s="6">
        <f>VLOOKUP(Table1[[#This Row],[Reference]],metron,13,FALSE)</f>
        <v>0.59936225942375587</v>
      </c>
      <c r="BZ416" s="6">
        <f>VLOOKUP(Table1[[#This Row],[Reference]],metron,14,FALSE)</f>
        <v>0.50723152260562576</v>
      </c>
      <c r="CA416" s="6">
        <f>VLOOKUP(Table1[[#This Row],[Reference]],metron,15,FALSE)</f>
        <v>11.99278846153846</v>
      </c>
      <c r="CB416" s="6">
        <f>VLOOKUP(Table1[[#This Row],[Reference]],metron,16,FALSE)</f>
        <v>10.0277534965035</v>
      </c>
      <c r="CC416" s="6">
        <f>VLOOKUP(Table1[[#This Row],[Reference]],metron,17,FALSE)</f>
        <v>5.2857459543338514</v>
      </c>
      <c r="CD416" s="6">
        <f>VLOOKUP(Table1[[#This Row],[Reference]],metron,18,FALSE)</f>
        <v>4.4067834183107957</v>
      </c>
      <c r="CE416" s="6">
        <f>VLOOKUP(Table1[[#This Row],[Reference]],metron,19,FALSE)</f>
        <v>6.7070425072046085</v>
      </c>
      <c r="CF416" s="6">
        <f>VLOOKUP(Table1[[#This Row],[Reference]],metron,20,FALSE)</f>
        <v>5.6209700781927046</v>
      </c>
      <c r="CG416" s="6">
        <f>VLOOKUP(Table1[[#This Row],[Reference]],metron,21,FALSE)</f>
        <v>13.04463690872752</v>
      </c>
      <c r="CH416" s="6">
        <f>VLOOKUP(Table1[[#This Row],[Reference]],metron,22,FALSE)</f>
        <v>13.49811236953142</v>
      </c>
      <c r="CI416" s="6">
        <f>VLOOKUP(Table1[[#This Row],[Reference]],metron,23,FALSE)</f>
        <v>1.5836526181353769</v>
      </c>
      <c r="CJ416" s="6">
        <f>VLOOKUP(Table1[[#This Row],[Reference]],metron,24,FALSE)</f>
        <v>1.8744146445295871</v>
      </c>
      <c r="CK416" s="6">
        <f>VLOOKUP(Table1[[#This Row],[Reference]],metron,25,FALSE)</f>
        <v>8.5994040017028525E-2</v>
      </c>
      <c r="CL416" s="6">
        <f>VLOOKUP(Table1[[#This Row],[Reference]],metron,26,FALSE)</f>
        <v>0.13452532992762881</v>
      </c>
    </row>
    <row r="417" spans="1:90" hidden="1" x14ac:dyDescent="0.45">
      <c r="A417" t="s">
        <v>1346</v>
      </c>
      <c r="B417">
        <v>1599609600</v>
      </c>
      <c r="C417" s="23" t="s">
        <v>819</v>
      </c>
      <c r="D417" t="s">
        <v>65</v>
      </c>
      <c r="E417" t="s">
        <v>66</v>
      </c>
      <c r="F417" t="s">
        <v>79</v>
      </c>
      <c r="G417" t="s">
        <v>78</v>
      </c>
      <c r="H417" t="s">
        <v>103</v>
      </c>
      <c r="I417">
        <f>MROUND(Table1[[#This Row],[ProbH]]*100,2)/100</f>
        <v>0.56000000000000005</v>
      </c>
      <c r="J417">
        <f>1/Table1[[#This Row],[odds_ft_home_team_win]]-Table1[[#This Row],[Margin]]</f>
        <v>0.55836171625645303</v>
      </c>
      <c r="K417">
        <f>1/Table1[[#This Row],[odds_ft_draw]]-Table1[[#This Row],[Margin]]</f>
        <v>0.22997665102928264</v>
      </c>
      <c r="L417">
        <f>1/Table1[[#This Row],[odds_ft_away_team_win]]-Table1[[#This Row],[Margin]]</f>
        <v>0.21166163271426428</v>
      </c>
      <c r="M417">
        <v>9</v>
      </c>
      <c r="N417">
        <v>3</v>
      </c>
      <c r="O417">
        <v>0.5</v>
      </c>
      <c r="P417">
        <v>2</v>
      </c>
      <c r="Q417">
        <v>0.59</v>
      </c>
      <c r="R417" t="str" cm="1">
        <f t="array" ref="R4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Z417">
        <v>50</v>
      </c>
      <c r="AA417">
        <v>5</v>
      </c>
      <c r="AB417">
        <v>6</v>
      </c>
      <c r="AC417">
        <v>1</v>
      </c>
      <c r="AD417">
        <v>0</v>
      </c>
      <c r="AE417">
        <v>2</v>
      </c>
      <c r="AF417">
        <v>0</v>
      </c>
      <c r="AG417">
        <v>1</v>
      </c>
      <c r="AH417">
        <v>0</v>
      </c>
      <c r="AI417">
        <v>2</v>
      </c>
      <c r="AJ417">
        <v>0</v>
      </c>
      <c r="AK417">
        <v>18</v>
      </c>
      <c r="AL417">
        <v>19</v>
      </c>
      <c r="AM417">
        <v>7</v>
      </c>
      <c r="AN417">
        <v>5</v>
      </c>
      <c r="AO417">
        <v>11</v>
      </c>
      <c r="AP417">
        <v>14</v>
      </c>
      <c r="AQ417">
        <v>13</v>
      </c>
      <c r="AR417">
        <v>14</v>
      </c>
      <c r="AS417">
        <v>56</v>
      </c>
      <c r="AT417">
        <v>44</v>
      </c>
      <c r="AU417">
        <v>1.96</v>
      </c>
      <c r="AV417">
        <v>1.8</v>
      </c>
      <c r="AW417">
        <v>3.34</v>
      </c>
      <c r="AX417">
        <v>84</v>
      </c>
      <c r="AY417">
        <v>84</v>
      </c>
      <c r="AZ417">
        <v>59</v>
      </c>
      <c r="BA417">
        <v>46</v>
      </c>
      <c r="BB417">
        <v>46</v>
      </c>
      <c r="BC417">
        <v>46</v>
      </c>
      <c r="BD417">
        <v>71</v>
      </c>
      <c r="BE417">
        <v>71</v>
      </c>
      <c r="BF417">
        <v>100</v>
      </c>
      <c r="BG417">
        <v>8.75</v>
      </c>
      <c r="BH417">
        <v>6.08</v>
      </c>
      <c r="BI417">
        <v>1.71</v>
      </c>
      <c r="BJ417">
        <v>3.9</v>
      </c>
      <c r="BK417">
        <v>4.2</v>
      </c>
      <c r="BL417">
        <f>(1/Table1[[#This Row],[odds_ft_home_team_win]]+1/Table1[[#This Row],[odds_ft_draw]]+1/Table1[[#This Row],[odds_ft_away_team_win]]-1)/3</f>
        <v>2.6433605380973797E-2</v>
      </c>
      <c r="BM417">
        <v>1.19</v>
      </c>
      <c r="BN417">
        <v>1.62</v>
      </c>
      <c r="BO417">
        <v>2.6</v>
      </c>
      <c r="BP417">
        <v>4.5999999999999996</v>
      </c>
      <c r="BQ417">
        <v>1.61</v>
      </c>
      <c r="BR417">
        <v>2.2000000000000002</v>
      </c>
      <c r="BS417" t="s">
        <v>140</v>
      </c>
      <c r="BT417">
        <f>VLOOKUP(Table1[[#This Row],[Reference]],metron,8,FALSE)</f>
        <v>1.9673156855724254</v>
      </c>
      <c r="BU417">
        <f>VLOOKUP(Table1[[#This Row],[Reference]],metron,9,FALSE)</f>
        <v>0.77729484582409181</v>
      </c>
      <c r="BV417">
        <f>VLOOKUP(Table1[[#This Row],[Reference]],metron,10,FALSE)</f>
        <v>2.6892488954344627</v>
      </c>
      <c r="BW417">
        <f>VLOOKUP(Table1[[#This Row],[Reference]],metron,11,FALSE)</f>
        <v>1.7546812539448771</v>
      </c>
      <c r="BX417">
        <f>VLOOKUP(Table1[[#This Row],[Reference]],metron,12,FALSE)</f>
        <v>0.93456764148958549</v>
      </c>
      <c r="BY417" s="6">
        <f>VLOOKUP(Table1[[#This Row],[Reference]],metron,13,FALSE)</f>
        <v>0.77824531874605507</v>
      </c>
      <c r="BZ417" s="6">
        <f>VLOOKUP(Table1[[#This Row],[Reference]],metron,14,FALSE)</f>
        <v>0.41237113402061848</v>
      </c>
      <c r="CA417" s="6">
        <f>VLOOKUP(Table1[[#This Row],[Reference]],metron,15,FALSE)</f>
        <v>13.77153558052435</v>
      </c>
      <c r="CB417" s="6">
        <f>VLOOKUP(Table1[[#This Row],[Reference]],metron,16,FALSE)</f>
        <v>9.0445692883895124</v>
      </c>
      <c r="CC417" s="6">
        <f>VLOOKUP(Table1[[#This Row],[Reference]],metron,17,FALSE)</f>
        <v>6.0821292775665396</v>
      </c>
      <c r="CD417" s="6">
        <f>VLOOKUP(Table1[[#This Row],[Reference]],metron,18,FALSE)</f>
        <v>3.8201520912547529</v>
      </c>
      <c r="CE417" s="6">
        <f>VLOOKUP(Table1[[#This Row],[Reference]],metron,19,FALSE)</f>
        <v>7.6894063029578108</v>
      </c>
      <c r="CF417" s="6">
        <f>VLOOKUP(Table1[[#This Row],[Reference]],metron,20,FALSE)</f>
        <v>5.224417197134759</v>
      </c>
      <c r="CG417" s="6">
        <f>VLOOKUP(Table1[[#This Row],[Reference]],metron,21,FALSE)</f>
        <v>12.297605473204101</v>
      </c>
      <c r="CH417" s="6">
        <f>VLOOKUP(Table1[[#This Row],[Reference]],metron,22,FALSE)</f>
        <v>13.310908399847969</v>
      </c>
      <c r="CI417" s="6">
        <f>VLOOKUP(Table1[[#This Row],[Reference]],metron,23,FALSE)</f>
        <v>1.3713126843657819</v>
      </c>
      <c r="CJ417" s="6">
        <f>VLOOKUP(Table1[[#This Row],[Reference]],metron,24,FALSE)</f>
        <v>1.9516961651917399</v>
      </c>
      <c r="CK417" s="6">
        <f>VLOOKUP(Table1[[#This Row],[Reference]],metron,25,FALSE)</f>
        <v>6.6002949852507375E-2</v>
      </c>
      <c r="CL417" s="6">
        <f>VLOOKUP(Table1[[#This Row],[Reference]],metron,26,FALSE)</f>
        <v>0.1297935103244838</v>
      </c>
    </row>
    <row r="418" spans="1:90" hidden="1" x14ac:dyDescent="0.45">
      <c r="A418" t="s">
        <v>1346</v>
      </c>
      <c r="B418">
        <v>1599609960</v>
      </c>
      <c r="C418" s="23" t="s">
        <v>820</v>
      </c>
      <c r="D418" t="s">
        <v>65</v>
      </c>
      <c r="E418" t="s">
        <v>66</v>
      </c>
      <c r="F418" t="s">
        <v>101</v>
      </c>
      <c r="G418" t="s">
        <v>97</v>
      </c>
      <c r="H418" t="s">
        <v>80</v>
      </c>
      <c r="I418">
        <f>MROUND(Table1[[#This Row],[ProbH]]*100,2)/100</f>
        <v>0.66</v>
      </c>
      <c r="J418">
        <f>1/Table1[[#This Row],[odds_ft_home_team_win]]-Table1[[#This Row],[Margin]]</f>
        <v>0.6501753743133053</v>
      </c>
      <c r="K418">
        <f>1/Table1[[#This Row],[odds_ft_draw]]-Table1[[#This Row],[Margin]]</f>
        <v>0.20438475610889406</v>
      </c>
      <c r="L418">
        <f>1/Table1[[#This Row],[odds_ft_away_team_win]]-Table1[[#This Row],[Margin]]</f>
        <v>0.14543986957780061</v>
      </c>
      <c r="M418">
        <v>9</v>
      </c>
      <c r="N418">
        <v>2</v>
      </c>
      <c r="O418">
        <v>0.5</v>
      </c>
      <c r="P418">
        <v>1.79</v>
      </c>
      <c r="Q418">
        <v>1.06</v>
      </c>
      <c r="R418" t="str" cm="1">
        <f t="array" ref="R4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8">
        <v>1</v>
      </c>
      <c r="T418">
        <v>1</v>
      </c>
      <c r="U418">
        <v>2</v>
      </c>
      <c r="V418">
        <v>0</v>
      </c>
      <c r="W418">
        <v>0</v>
      </c>
      <c r="X418">
        <v>0</v>
      </c>
      <c r="Y418">
        <v>84</v>
      </c>
      <c r="Z418">
        <v>68</v>
      </c>
      <c r="AA418">
        <v>9</v>
      </c>
      <c r="AB418">
        <v>4</v>
      </c>
      <c r="AC418">
        <v>4</v>
      </c>
      <c r="AD418">
        <v>0</v>
      </c>
      <c r="AE418">
        <v>1</v>
      </c>
      <c r="AF418">
        <v>0</v>
      </c>
      <c r="AG418">
        <v>1</v>
      </c>
      <c r="AH418">
        <v>3</v>
      </c>
      <c r="AI418">
        <v>0</v>
      </c>
      <c r="AJ418">
        <v>1</v>
      </c>
      <c r="AK418">
        <v>12</v>
      </c>
      <c r="AL418">
        <v>15</v>
      </c>
      <c r="AM418">
        <v>3</v>
      </c>
      <c r="AN418">
        <v>6</v>
      </c>
      <c r="AO418">
        <v>9</v>
      </c>
      <c r="AP418">
        <v>9</v>
      </c>
      <c r="AQ418">
        <v>6</v>
      </c>
      <c r="AR418">
        <v>4</v>
      </c>
      <c r="AS418">
        <v>51</v>
      </c>
      <c r="AT418">
        <v>49</v>
      </c>
      <c r="AU418">
        <v>1.43</v>
      </c>
      <c r="AV418">
        <v>1.6</v>
      </c>
      <c r="AW418">
        <v>2.75</v>
      </c>
      <c r="AX418">
        <v>88</v>
      </c>
      <c r="AY418">
        <v>88</v>
      </c>
      <c r="AZ418">
        <v>63</v>
      </c>
      <c r="BA418">
        <v>38</v>
      </c>
      <c r="BB418">
        <v>0</v>
      </c>
      <c r="BC418">
        <v>63</v>
      </c>
      <c r="BD418">
        <v>75</v>
      </c>
      <c r="BE418">
        <v>63</v>
      </c>
      <c r="BF418">
        <v>63</v>
      </c>
      <c r="BG418">
        <v>13.5</v>
      </c>
      <c r="BH418">
        <v>6</v>
      </c>
      <c r="BI418">
        <v>1.48</v>
      </c>
      <c r="BJ418">
        <v>4.3499999999999996</v>
      </c>
      <c r="BK418">
        <v>5.85</v>
      </c>
      <c r="BL418">
        <f>(1/Table1[[#This Row],[odds_ft_home_team_win]]+1/Table1[[#This Row],[odds_ft_draw]]+1/Table1[[#This Row],[odds_ft_away_team_win]]-1)/3</f>
        <v>2.5500301362370321E-2</v>
      </c>
      <c r="BM418">
        <v>1.17</v>
      </c>
      <c r="BN418">
        <v>1.57</v>
      </c>
      <c r="BO418">
        <v>2.4500000000000002</v>
      </c>
      <c r="BP418">
        <v>4.3</v>
      </c>
      <c r="BQ418">
        <v>1.67</v>
      </c>
      <c r="BR418">
        <v>2.1</v>
      </c>
      <c r="BS418" t="s">
        <v>713</v>
      </c>
      <c r="BT418">
        <f>VLOOKUP(Table1[[#This Row],[Reference]],metron,8,FALSE)</f>
        <v>2.2311424831798083</v>
      </c>
      <c r="BU418">
        <f>VLOOKUP(Table1[[#This Row],[Reference]],metron,9,FALSE)</f>
        <v>0.55281092137037047</v>
      </c>
      <c r="BV418">
        <f>VLOOKUP(Table1[[#This Row],[Reference]],metron,10,FALSE)</f>
        <v>2.9251336898395728</v>
      </c>
      <c r="BW418">
        <f>VLOOKUP(Table1[[#This Row],[Reference]],metron,11,FALSE)</f>
        <v>2.089675030851502</v>
      </c>
      <c r="BX418">
        <f>VLOOKUP(Table1[[#This Row],[Reference]],metron,12,FALSE)</f>
        <v>0.8354586589880707</v>
      </c>
      <c r="BY418" s="6">
        <f>VLOOKUP(Table1[[#This Row],[Reference]],metron,13,FALSE)</f>
        <v>0.92472233648704238</v>
      </c>
      <c r="BZ418" s="6">
        <f>VLOOKUP(Table1[[#This Row],[Reference]],metron,14,FALSE)</f>
        <v>0.35252982311805842</v>
      </c>
      <c r="CA418" s="6">
        <f>VLOOKUP(Table1[[#This Row],[Reference]],metron,15,FALSE)</f>
        <v>15.366666666666671</v>
      </c>
      <c r="CB418" s="6">
        <f>VLOOKUP(Table1[[#This Row],[Reference]],metron,16,FALSE)</f>
        <v>8.5234848484848484</v>
      </c>
      <c r="CC418" s="6">
        <f>VLOOKUP(Table1[[#This Row],[Reference]],metron,17,FALSE)</f>
        <v>6.6873065015479876</v>
      </c>
      <c r="CD418" s="6">
        <f>VLOOKUP(Table1[[#This Row],[Reference]],metron,18,FALSE)</f>
        <v>3.3490712074303399</v>
      </c>
      <c r="CE418" s="6">
        <f>VLOOKUP(Table1[[#This Row],[Reference]],metron,19,FALSE)</f>
        <v>8.679360165118684</v>
      </c>
      <c r="CF418" s="6">
        <f>VLOOKUP(Table1[[#This Row],[Reference]],metron,20,FALSE)</f>
        <v>5.1744136410545085</v>
      </c>
      <c r="CG418" s="6">
        <f>VLOOKUP(Table1[[#This Row],[Reference]],metron,21,FALSE)</f>
        <v>12.62384615384615</v>
      </c>
      <c r="CH418" s="6">
        <f>VLOOKUP(Table1[[#This Row],[Reference]],metron,22,FALSE)</f>
        <v>13.844615384615381</v>
      </c>
      <c r="CI418" s="6">
        <f>VLOOKUP(Table1[[#This Row],[Reference]],metron,23,FALSE)</f>
        <v>1.369710467706013</v>
      </c>
      <c r="CJ418" s="6">
        <f>VLOOKUP(Table1[[#This Row],[Reference]],metron,24,FALSE)</f>
        <v>2.0920564216778019</v>
      </c>
      <c r="CK418" s="6">
        <f>VLOOKUP(Table1[[#This Row],[Reference]],metron,25,FALSE)</f>
        <v>7.126948775055679E-2</v>
      </c>
      <c r="CL418" s="6">
        <f>VLOOKUP(Table1[[#This Row],[Reference]],metron,26,FALSE)</f>
        <v>0.13214550853749071</v>
      </c>
    </row>
    <row r="419" spans="1:90" hidden="1" x14ac:dyDescent="0.45">
      <c r="A419" t="s">
        <v>1346</v>
      </c>
      <c r="B419">
        <v>1599616800</v>
      </c>
      <c r="C419" s="23" t="s">
        <v>821</v>
      </c>
      <c r="D419" t="s">
        <v>65</v>
      </c>
      <c r="E419" t="s">
        <v>66</v>
      </c>
      <c r="F419" t="s">
        <v>90</v>
      </c>
      <c r="G419" t="s">
        <v>67</v>
      </c>
      <c r="H419" t="s">
        <v>92</v>
      </c>
      <c r="I419">
        <f>MROUND(Table1[[#This Row],[ProbH]]*100,2)/100</f>
        <v>0.46</v>
      </c>
      <c r="J419">
        <f>1/Table1[[#This Row],[odds_ft_home_team_win]]-Table1[[#This Row],[Margin]]</f>
        <v>0.464279828609097</v>
      </c>
      <c r="K419">
        <f>1/Table1[[#This Row],[odds_ft_draw]]-Table1[[#This Row],[Margin]]</f>
        <v>0.28897495056031647</v>
      </c>
      <c r="L419">
        <f>1/Table1[[#This Row],[odds_ft_away_team_win]]-Table1[[#This Row],[Margin]]</f>
        <v>0.24674522083058667</v>
      </c>
      <c r="M419">
        <v>9</v>
      </c>
      <c r="N419">
        <v>1.25</v>
      </c>
      <c r="O419">
        <v>0</v>
      </c>
      <c r="P419">
        <v>1.6</v>
      </c>
      <c r="Q419">
        <v>0.17</v>
      </c>
      <c r="R419" t="str" cm="1">
        <f t="array" ref="R4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9">
        <v>1</v>
      </c>
      <c r="T419">
        <v>1</v>
      </c>
      <c r="U419">
        <v>2</v>
      </c>
      <c r="V419">
        <v>1</v>
      </c>
      <c r="W419">
        <v>1</v>
      </c>
      <c r="X419">
        <v>0</v>
      </c>
      <c r="Y419">
        <v>32</v>
      </c>
      <c r="Z419">
        <v>58</v>
      </c>
      <c r="AA419">
        <v>3</v>
      </c>
      <c r="AB419">
        <v>4</v>
      </c>
      <c r="AC419">
        <v>1</v>
      </c>
      <c r="AD419">
        <v>0</v>
      </c>
      <c r="AE419">
        <v>3</v>
      </c>
      <c r="AF419">
        <v>1</v>
      </c>
      <c r="AG419">
        <v>1</v>
      </c>
      <c r="AH419">
        <v>0</v>
      </c>
      <c r="AI419">
        <v>2</v>
      </c>
      <c r="AJ419">
        <v>2</v>
      </c>
      <c r="AK419">
        <v>20</v>
      </c>
      <c r="AL419">
        <v>14</v>
      </c>
      <c r="AM419">
        <v>3</v>
      </c>
      <c r="AN419">
        <v>5</v>
      </c>
      <c r="AO419">
        <v>17</v>
      </c>
      <c r="AP419">
        <v>9</v>
      </c>
      <c r="AQ419">
        <v>6</v>
      </c>
      <c r="AR419">
        <v>8</v>
      </c>
      <c r="AS419">
        <v>68</v>
      </c>
      <c r="AT419">
        <v>32</v>
      </c>
      <c r="AU419">
        <v>1.97</v>
      </c>
      <c r="AV419">
        <v>1.41</v>
      </c>
      <c r="AW419">
        <v>1.75</v>
      </c>
      <c r="AX419">
        <v>38</v>
      </c>
      <c r="AY419">
        <v>38</v>
      </c>
      <c r="AZ419">
        <v>38</v>
      </c>
      <c r="BA419">
        <v>13</v>
      </c>
      <c r="BB419">
        <v>13</v>
      </c>
      <c r="BC419">
        <v>13</v>
      </c>
      <c r="BD419">
        <v>50</v>
      </c>
      <c r="BE419">
        <v>25</v>
      </c>
      <c r="BF419">
        <v>50</v>
      </c>
      <c r="BG419">
        <v>7.25</v>
      </c>
      <c r="BH419">
        <v>5</v>
      </c>
      <c r="BI419">
        <v>2.0499999999999998</v>
      </c>
      <c r="BJ419">
        <v>3.2</v>
      </c>
      <c r="BK419">
        <v>3.7</v>
      </c>
      <c r="BL419">
        <f>(1/Table1[[#This Row],[odds_ft_home_team_win]]+1/Table1[[#This Row],[odds_ft_draw]]+1/Table1[[#This Row],[odds_ft_away_team_win]]-1)/3</f>
        <v>2.3525049439683549E-2</v>
      </c>
      <c r="BM419">
        <v>1.35</v>
      </c>
      <c r="BN419">
        <v>2.1</v>
      </c>
      <c r="BO419">
        <v>3.8</v>
      </c>
      <c r="BP419">
        <v>7.5</v>
      </c>
      <c r="BQ419">
        <v>1.87</v>
      </c>
      <c r="BR419">
        <v>1.87</v>
      </c>
      <c r="BS419" t="s">
        <v>94</v>
      </c>
      <c r="BT419">
        <f>VLOOKUP(Table1[[#This Row],[Reference]],metron,8,FALSE)</f>
        <v>1.6955772349985931</v>
      </c>
      <c r="BU419">
        <f>VLOOKUP(Table1[[#This Row],[Reference]],metron,9,FALSE)</f>
        <v>1.0239029519551039</v>
      </c>
      <c r="BV419">
        <f>VLOOKUP(Table1[[#This Row],[Reference]],metron,10,FALSE)</f>
        <v>2.5405629139072849</v>
      </c>
      <c r="BW419">
        <f>VLOOKUP(Table1[[#This Row],[Reference]],metron,11,FALSE)</f>
        <v>1.4888836329233679</v>
      </c>
      <c r="BX419">
        <f>VLOOKUP(Table1[[#This Row],[Reference]],metron,12,FALSE)</f>
        <v>1.0516792809839171</v>
      </c>
      <c r="BY419" s="6">
        <f>VLOOKUP(Table1[[#This Row],[Reference]],metron,13,FALSE)</f>
        <v>0.64581362346263005</v>
      </c>
      <c r="BZ419" s="6">
        <f>VLOOKUP(Table1[[#This Row],[Reference]],metron,14,FALSE)</f>
        <v>0.45364238410596031</v>
      </c>
      <c r="CA419" s="6">
        <f>VLOOKUP(Table1[[#This Row],[Reference]],metron,15,FALSE)</f>
        <v>12.686892177589851</v>
      </c>
      <c r="CB419" s="6">
        <f>VLOOKUP(Table1[[#This Row],[Reference]],metron,16,FALSE)</f>
        <v>9.8059196617336148</v>
      </c>
      <c r="CC419" s="6">
        <f>VLOOKUP(Table1[[#This Row],[Reference]],metron,17,FALSE)</f>
        <v>5.3198121263877027</v>
      </c>
      <c r="CD419" s="6">
        <f>VLOOKUP(Table1[[#This Row],[Reference]],metron,18,FALSE)</f>
        <v>4.0954312553373189</v>
      </c>
      <c r="CE419" s="6">
        <f>VLOOKUP(Table1[[#This Row],[Reference]],metron,19,FALSE)</f>
        <v>7.3670800512021479</v>
      </c>
      <c r="CF419" s="6">
        <f>VLOOKUP(Table1[[#This Row],[Reference]],metron,20,FALSE)</f>
        <v>5.710488406396296</v>
      </c>
      <c r="CG419" s="6">
        <f>VLOOKUP(Table1[[#This Row],[Reference]],metron,21,FALSE)</f>
        <v>13.0488908033599</v>
      </c>
      <c r="CH419" s="6">
        <f>VLOOKUP(Table1[[#This Row],[Reference]],metron,22,FALSE)</f>
        <v>13.714839543398661</v>
      </c>
      <c r="CI419" s="6">
        <f>VLOOKUP(Table1[[#This Row],[Reference]],metron,23,FALSE)</f>
        <v>1.567523459812322</v>
      </c>
      <c r="CJ419" s="6">
        <f>VLOOKUP(Table1[[#This Row],[Reference]],metron,24,FALSE)</f>
        <v>1.951040391676867</v>
      </c>
      <c r="CK419" s="6">
        <f>VLOOKUP(Table1[[#This Row],[Reference]],metron,25,FALSE)</f>
        <v>8.3027335781313744E-2</v>
      </c>
      <c r="CL419" s="6">
        <f>VLOOKUP(Table1[[#This Row],[Reference]],metron,26,FALSE)</f>
        <v>0.13117095063239501</v>
      </c>
    </row>
    <row r="420" spans="1:90" hidden="1" x14ac:dyDescent="0.45">
      <c r="A420" t="s">
        <v>1346</v>
      </c>
      <c r="B420">
        <v>1599616800</v>
      </c>
      <c r="C420" s="23" t="s">
        <v>821</v>
      </c>
      <c r="D420" t="s">
        <v>65</v>
      </c>
      <c r="E420" t="s">
        <v>66</v>
      </c>
      <c r="F420" t="s">
        <v>102</v>
      </c>
      <c r="G420" t="s">
        <v>68</v>
      </c>
      <c r="H420" t="s">
        <v>69</v>
      </c>
      <c r="I420">
        <f>MROUND(Table1[[#This Row],[ProbH]]*100,2)/100</f>
        <v>0.24</v>
      </c>
      <c r="J420">
        <f>1/Table1[[#This Row],[odds_ft_home_team_win]]-Table1[[#This Row],[Margin]]</f>
        <v>0.24269432768805974</v>
      </c>
      <c r="K420">
        <f>1/Table1[[#This Row],[odds_ft_draw]]-Table1[[#This Row],[Margin]]</f>
        <v>0.25771780186646354</v>
      </c>
      <c r="L420">
        <f>1/Table1[[#This Row],[odds_ft_away_team_win]]-Table1[[#This Row],[Margin]]</f>
        <v>0.49958787044547687</v>
      </c>
      <c r="M420">
        <v>9</v>
      </c>
      <c r="N420">
        <v>1.33</v>
      </c>
      <c r="O420">
        <v>1.75</v>
      </c>
      <c r="P420">
        <v>1.5</v>
      </c>
      <c r="Q420">
        <v>1.63</v>
      </c>
      <c r="R420" t="str" cm="1">
        <f t="array" ref="R4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20">
        <v>2</v>
      </c>
      <c r="T420">
        <v>3</v>
      </c>
      <c r="U420">
        <v>5</v>
      </c>
      <c r="V420">
        <v>2</v>
      </c>
      <c r="W420">
        <v>2</v>
      </c>
      <c r="X420">
        <v>0</v>
      </c>
      <c r="Y420" t="s">
        <v>822</v>
      </c>
      <c r="Z420" t="s">
        <v>823</v>
      </c>
      <c r="AA420">
        <v>5</v>
      </c>
      <c r="AB420">
        <v>5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16</v>
      </c>
      <c r="AL420">
        <v>23</v>
      </c>
      <c r="AM420">
        <v>8</v>
      </c>
      <c r="AN420">
        <v>9</v>
      </c>
      <c r="AO420">
        <v>8</v>
      </c>
      <c r="AP420">
        <v>14</v>
      </c>
      <c r="AQ420">
        <v>10</v>
      </c>
      <c r="AR420">
        <v>4</v>
      </c>
      <c r="AS420">
        <v>41</v>
      </c>
      <c r="AT420">
        <v>59</v>
      </c>
      <c r="AU420">
        <v>1.82</v>
      </c>
      <c r="AV420">
        <v>2.5099999999999998</v>
      </c>
      <c r="AW420">
        <v>2.96</v>
      </c>
      <c r="AX420">
        <v>84</v>
      </c>
      <c r="AY420">
        <v>84</v>
      </c>
      <c r="AZ420">
        <v>54</v>
      </c>
      <c r="BA420">
        <v>29</v>
      </c>
      <c r="BB420">
        <v>29</v>
      </c>
      <c r="BC420">
        <v>29</v>
      </c>
      <c r="BD420">
        <v>54</v>
      </c>
      <c r="BE420">
        <v>59</v>
      </c>
      <c r="BF420">
        <v>100</v>
      </c>
      <c r="BG420">
        <v>8.08</v>
      </c>
      <c r="BH420">
        <v>3.67</v>
      </c>
      <c r="BI420">
        <v>3.75</v>
      </c>
      <c r="BJ420">
        <v>3.55</v>
      </c>
      <c r="BK420">
        <v>1.91</v>
      </c>
      <c r="BL420">
        <f>(1/Table1[[#This Row],[odds_ft_home_team_win]]+1/Table1[[#This Row],[odds_ft_draw]]+1/Table1[[#This Row],[odds_ft_away_team_win]]-1)/3</f>
        <v>2.3972338978606917E-2</v>
      </c>
      <c r="BM420">
        <v>1.23</v>
      </c>
      <c r="BN420">
        <v>1.74</v>
      </c>
      <c r="BO420">
        <v>2.9</v>
      </c>
      <c r="BP420">
        <v>5.35</v>
      </c>
      <c r="BQ420">
        <v>1.67</v>
      </c>
      <c r="BR420">
        <v>2.1</v>
      </c>
      <c r="BS420" t="s">
        <v>124</v>
      </c>
      <c r="BT420">
        <f>VLOOKUP(Table1[[#This Row],[Reference]],metron,8,FALSE)</f>
        <v>1.0221684690062811</v>
      </c>
      <c r="BU420">
        <f>VLOOKUP(Table1[[#This Row],[Reference]],metron,9,FALSE)</f>
        <v>1.7036119427882386</v>
      </c>
      <c r="BV420">
        <f>VLOOKUP(Table1[[#This Row],[Reference]],metron,10,FALSE)</f>
        <v>2.6014437689969609</v>
      </c>
      <c r="BW420">
        <f>VLOOKUP(Table1[[#This Row],[Reference]],metron,11,FALSE)</f>
        <v>1.067249240121581</v>
      </c>
      <c r="BX420">
        <f>VLOOKUP(Table1[[#This Row],[Reference]],metron,12,FALSE)</f>
        <v>1.53419452887538</v>
      </c>
      <c r="BY420" s="6">
        <f>VLOOKUP(Table1[[#This Row],[Reference]],metron,13,FALSE)</f>
        <v>0.45589353612167299</v>
      </c>
      <c r="BZ420" s="6">
        <f>VLOOKUP(Table1[[#This Row],[Reference]],metron,14,FALSE)</f>
        <v>0.65133079847908748</v>
      </c>
      <c r="CA420" s="6">
        <f>VLOOKUP(Table1[[#This Row],[Reference]],metron,15,FALSE)</f>
        <v>10.75886524822695</v>
      </c>
      <c r="CB420" s="6">
        <f>VLOOKUP(Table1[[#This Row],[Reference]],metron,16,FALSE)</f>
        <v>12.46679561573179</v>
      </c>
      <c r="CC420" s="6">
        <f>VLOOKUP(Table1[[#This Row],[Reference]],metron,17,FALSE)</f>
        <v>4.1157347204161248</v>
      </c>
      <c r="CD420" s="6">
        <f>VLOOKUP(Table1[[#This Row],[Reference]],metron,18,FALSE)</f>
        <v>5.1072821846553964</v>
      </c>
      <c r="CE420" s="6">
        <f>VLOOKUP(Table1[[#This Row],[Reference]],metron,19,FALSE)</f>
        <v>6.6431305278108255</v>
      </c>
      <c r="CF420" s="6">
        <f>VLOOKUP(Table1[[#This Row],[Reference]],metron,20,FALSE)</f>
        <v>7.3595134310763939</v>
      </c>
      <c r="CG420" s="6">
        <f>VLOOKUP(Table1[[#This Row],[Reference]],metron,21,FALSE)</f>
        <v>13.11140235910878</v>
      </c>
      <c r="CH420" s="6">
        <f>VLOOKUP(Table1[[#This Row],[Reference]],metron,22,FALSE)</f>
        <v>12.93184796854522</v>
      </c>
      <c r="CI420" s="6">
        <f>VLOOKUP(Table1[[#This Row],[Reference]],metron,23,FALSE)</f>
        <v>1.8341677096370459</v>
      </c>
      <c r="CJ420" s="6">
        <f>VLOOKUP(Table1[[#This Row],[Reference]],metron,24,FALSE)</f>
        <v>1.7903629536921151</v>
      </c>
      <c r="CK420" s="6">
        <f>VLOOKUP(Table1[[#This Row],[Reference]],metron,25,FALSE)</f>
        <v>0.1095118898623279</v>
      </c>
      <c r="CL420" s="6">
        <f>VLOOKUP(Table1[[#This Row],[Reference]],metron,26,FALSE)</f>
        <v>9.3241551939924908E-2</v>
      </c>
    </row>
    <row r="421" spans="1:90" hidden="1" x14ac:dyDescent="0.45">
      <c r="A421" t="s">
        <v>1346</v>
      </c>
      <c r="B421">
        <v>1599688800</v>
      </c>
      <c r="C421" s="23" t="s">
        <v>824</v>
      </c>
      <c r="D421" t="s">
        <v>65</v>
      </c>
      <c r="E421" t="s">
        <v>66</v>
      </c>
      <c r="F421" t="s">
        <v>85</v>
      </c>
      <c r="G421" t="s">
        <v>107</v>
      </c>
      <c r="H421" t="s">
        <v>130</v>
      </c>
      <c r="I421">
        <f>MROUND(Table1[[#This Row],[ProbH]]*100,2)/100</f>
        <v>0.52</v>
      </c>
      <c r="J421">
        <f>1/Table1[[#This Row],[odds_ft_home_team_win]]-Table1[[#This Row],[Margin]]</f>
        <v>0.51021329130040971</v>
      </c>
      <c r="K421">
        <f>1/Table1[[#This Row],[odds_ft_draw]]-Table1[[#This Row],[Margin]]</f>
        <v>0.26116821872592538</v>
      </c>
      <c r="L421">
        <f>1/Table1[[#This Row],[odds_ft_away_team_win]]-Table1[[#This Row],[Margin]]</f>
        <v>0.22861848997366499</v>
      </c>
      <c r="M421">
        <v>9</v>
      </c>
      <c r="N421">
        <v>3</v>
      </c>
      <c r="O421">
        <v>1.25</v>
      </c>
      <c r="P421">
        <v>2.29</v>
      </c>
      <c r="Q421">
        <v>1.47</v>
      </c>
      <c r="R421" t="str" cm="1">
        <f t="array" ref="R4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1">
        <v>1</v>
      </c>
      <c r="T421">
        <v>1</v>
      </c>
      <c r="U421">
        <v>2</v>
      </c>
      <c r="V421">
        <v>1</v>
      </c>
      <c r="W421">
        <v>1</v>
      </c>
      <c r="X421">
        <v>0</v>
      </c>
      <c r="Y421">
        <v>45</v>
      </c>
      <c r="Z421">
        <v>74</v>
      </c>
      <c r="AA421">
        <v>5</v>
      </c>
      <c r="AB421">
        <v>4</v>
      </c>
      <c r="AC421">
        <v>1</v>
      </c>
      <c r="AD421">
        <v>0</v>
      </c>
      <c r="AE421">
        <v>3</v>
      </c>
      <c r="AF421">
        <v>1</v>
      </c>
      <c r="AG421">
        <v>1</v>
      </c>
      <c r="AH421">
        <v>0</v>
      </c>
      <c r="AI421">
        <v>2</v>
      </c>
      <c r="AJ421">
        <v>2</v>
      </c>
      <c r="AK421">
        <v>7</v>
      </c>
      <c r="AL421">
        <v>20</v>
      </c>
      <c r="AM421">
        <v>2</v>
      </c>
      <c r="AN421">
        <v>9</v>
      </c>
      <c r="AO421">
        <v>5</v>
      </c>
      <c r="AP421">
        <v>11</v>
      </c>
      <c r="AQ421">
        <v>11</v>
      </c>
      <c r="AR421">
        <v>11</v>
      </c>
      <c r="AS421">
        <v>58</v>
      </c>
      <c r="AT421">
        <v>42</v>
      </c>
      <c r="AU421">
        <v>0.94</v>
      </c>
      <c r="AV421">
        <v>2.16</v>
      </c>
      <c r="AW421">
        <v>2.42</v>
      </c>
      <c r="AX421">
        <v>59</v>
      </c>
      <c r="AY421">
        <v>71</v>
      </c>
      <c r="AZ421">
        <v>59</v>
      </c>
      <c r="BA421">
        <v>13</v>
      </c>
      <c r="BB421">
        <v>13</v>
      </c>
      <c r="BC421">
        <v>42</v>
      </c>
      <c r="BD421">
        <v>59</v>
      </c>
      <c r="BE421">
        <v>42</v>
      </c>
      <c r="BF421">
        <v>71</v>
      </c>
      <c r="BG421">
        <v>9.58</v>
      </c>
      <c r="BH421">
        <v>3.33</v>
      </c>
      <c r="BI421">
        <v>1.87</v>
      </c>
      <c r="BJ421">
        <v>3.5</v>
      </c>
      <c r="BK421">
        <v>3.95</v>
      </c>
      <c r="BL421">
        <f>(1/Table1[[#This Row],[odds_ft_home_team_win]]+1/Table1[[#This Row],[odds_ft_draw]]+1/Table1[[#This Row],[odds_ft_away_team_win]]-1)/3</f>
        <v>2.4546066988360298E-2</v>
      </c>
      <c r="BM421">
        <v>1.28</v>
      </c>
      <c r="BN421">
        <v>1.87</v>
      </c>
      <c r="BO421">
        <v>3.25</v>
      </c>
      <c r="BP421">
        <v>6.15</v>
      </c>
      <c r="BQ421">
        <v>1.74</v>
      </c>
      <c r="BR421">
        <v>2</v>
      </c>
      <c r="BS421" t="s">
        <v>128</v>
      </c>
      <c r="BT421">
        <f>VLOOKUP(Table1[[#This Row],[Reference]],metron,8,FALSE)</f>
        <v>1.8614830167843088</v>
      </c>
      <c r="BU421">
        <f>VLOOKUP(Table1[[#This Row],[Reference]],metron,9,FALSE)</f>
        <v>0.87079851622593896</v>
      </c>
      <c r="BV421">
        <f>VLOOKUP(Table1[[#This Row],[Reference]],metron,10,FALSE)</f>
        <v>2.5967403582378576</v>
      </c>
      <c r="BW421">
        <f>VLOOKUP(Table1[[#This Row],[Reference]],metron,11,FALSE)</f>
        <v>1.625948039373891</v>
      </c>
      <c r="BX421">
        <f>VLOOKUP(Table1[[#This Row],[Reference]],metron,12,FALSE)</f>
        <v>0.97079231886396644</v>
      </c>
      <c r="BY421" s="6">
        <f>VLOOKUP(Table1[[#This Row],[Reference]],metron,13,FALSE)</f>
        <v>0.71433182698515174</v>
      </c>
      <c r="BZ421" s="6">
        <f>VLOOKUP(Table1[[#This Row],[Reference]],metron,14,FALSE)</f>
        <v>0.43011620400258233</v>
      </c>
      <c r="CA421" s="6">
        <f>VLOOKUP(Table1[[#This Row],[Reference]],metron,15,FALSE)</f>
        <v>13.39951055368614</v>
      </c>
      <c r="CB421" s="6">
        <f>VLOOKUP(Table1[[#This Row],[Reference]],metron,16,FALSE)</f>
        <v>9.4252064851636579</v>
      </c>
      <c r="CC421" s="6">
        <f>VLOOKUP(Table1[[#This Row],[Reference]],metron,17,FALSE)</f>
        <v>5.7628422023992618</v>
      </c>
      <c r="CD421" s="6">
        <f>VLOOKUP(Table1[[#This Row],[Reference]],metron,18,FALSE)</f>
        <v>3.9375576745616732</v>
      </c>
      <c r="CE421" s="6">
        <f>VLOOKUP(Table1[[#This Row],[Reference]],metron,19,FALSE)</f>
        <v>7.636668351286878</v>
      </c>
      <c r="CF421" s="6">
        <f>VLOOKUP(Table1[[#This Row],[Reference]],metron,20,FALSE)</f>
        <v>5.4876488106019847</v>
      </c>
      <c r="CG421" s="6">
        <f>VLOOKUP(Table1[[#This Row],[Reference]],metron,21,FALSE)</f>
        <v>12.460420531849101</v>
      </c>
      <c r="CH421" s="6">
        <f>VLOOKUP(Table1[[#This Row],[Reference]],metron,22,FALSE)</f>
        <v>13.44897959183673</v>
      </c>
      <c r="CI421" s="6">
        <f>VLOOKUP(Table1[[#This Row],[Reference]],metron,23,FALSE)</f>
        <v>1.462202380952381</v>
      </c>
      <c r="CJ421" s="6">
        <f>VLOOKUP(Table1[[#This Row],[Reference]],metron,24,FALSE)</f>
        <v>2.01547619047619</v>
      </c>
      <c r="CK421" s="6">
        <f>VLOOKUP(Table1[[#This Row],[Reference]],metron,25,FALSE)</f>
        <v>7.7380952380952384E-2</v>
      </c>
      <c r="CL421" s="6">
        <f>VLOOKUP(Table1[[#This Row],[Reference]],metron,26,FALSE)</f>
        <v>0.13754093480202439</v>
      </c>
    </row>
    <row r="422" spans="1:90" hidden="1" x14ac:dyDescent="0.45">
      <c r="A422" t="s">
        <v>1346</v>
      </c>
      <c r="B422">
        <v>1599696000</v>
      </c>
      <c r="C422" s="23" t="s">
        <v>825</v>
      </c>
      <c r="D422" t="s">
        <v>65</v>
      </c>
      <c r="E422" t="s">
        <v>66</v>
      </c>
      <c r="F422" t="s">
        <v>112</v>
      </c>
      <c r="G422" t="s">
        <v>84</v>
      </c>
      <c r="H422" t="s">
        <v>133</v>
      </c>
      <c r="I422">
        <f>MROUND(Table1[[#This Row],[ProbH]]*100,2)/100</f>
        <v>0.46</v>
      </c>
      <c r="J422">
        <f>1/Table1[[#This Row],[odds_ft_home_team_win]]-Table1[[#This Row],[Margin]]</f>
        <v>0.46099488211739015</v>
      </c>
      <c r="K422">
        <f>1/Table1[[#This Row],[odds_ft_draw]]-Table1[[#This Row],[Margin]]</f>
        <v>0.27169746675517675</v>
      </c>
      <c r="L422">
        <f>1/Table1[[#This Row],[odds_ft_away_team_win]]-Table1[[#This Row],[Margin]]</f>
        <v>0.26730765112743315</v>
      </c>
      <c r="M422">
        <v>9</v>
      </c>
      <c r="N422">
        <v>3</v>
      </c>
      <c r="O422">
        <v>1.67</v>
      </c>
      <c r="P422">
        <v>2.1800000000000002</v>
      </c>
      <c r="Q422">
        <v>1.38</v>
      </c>
      <c r="R422" t="str" cm="1">
        <f t="array" ref="R4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 t="s">
        <v>193</v>
      </c>
      <c r="AA422">
        <v>10</v>
      </c>
      <c r="AB422">
        <v>5</v>
      </c>
      <c r="AC422">
        <v>1</v>
      </c>
      <c r="AD422">
        <v>0</v>
      </c>
      <c r="AE422">
        <v>2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16</v>
      </c>
      <c r="AL422">
        <v>13</v>
      </c>
      <c r="AM422">
        <v>4</v>
      </c>
      <c r="AN422">
        <v>0</v>
      </c>
      <c r="AO422">
        <v>12</v>
      </c>
      <c r="AP422">
        <v>13</v>
      </c>
      <c r="AQ422">
        <v>-1</v>
      </c>
      <c r="AR422">
        <v>-1</v>
      </c>
      <c r="AS422">
        <v>53</v>
      </c>
      <c r="AT422">
        <v>47</v>
      </c>
      <c r="AU422">
        <v>1.66</v>
      </c>
      <c r="AV422">
        <v>1.21</v>
      </c>
      <c r="AW422">
        <v>2</v>
      </c>
      <c r="AX422">
        <v>29</v>
      </c>
      <c r="AY422">
        <v>67</v>
      </c>
      <c r="AZ422">
        <v>25</v>
      </c>
      <c r="BA422">
        <v>13</v>
      </c>
      <c r="BB422">
        <v>13</v>
      </c>
      <c r="BC422">
        <v>13</v>
      </c>
      <c r="BD422">
        <v>50</v>
      </c>
      <c r="BE422">
        <v>42</v>
      </c>
      <c r="BF422">
        <v>84</v>
      </c>
      <c r="BG422">
        <v>12.08</v>
      </c>
      <c r="BH422">
        <v>4.67</v>
      </c>
      <c r="BI422">
        <v>2.0499999999999998</v>
      </c>
      <c r="BJ422">
        <v>3.35</v>
      </c>
      <c r="BK422">
        <v>3.4</v>
      </c>
      <c r="BL422">
        <f>(1/Table1[[#This Row],[odds_ft_home_team_win]]+1/Table1[[#This Row],[odds_ft_draw]]+1/Table1[[#This Row],[odds_ft_away_team_win]]-1)/3</f>
        <v>2.6809995931390402E-2</v>
      </c>
      <c r="BM422">
        <v>1.28</v>
      </c>
      <c r="BN422">
        <v>1.91</v>
      </c>
      <c r="BO422">
        <v>3.25</v>
      </c>
      <c r="BP422">
        <v>6.25</v>
      </c>
      <c r="BQ422">
        <v>1.74</v>
      </c>
      <c r="BR422">
        <v>2</v>
      </c>
      <c r="BS422" t="s">
        <v>116</v>
      </c>
      <c r="BT422">
        <f>VLOOKUP(Table1[[#This Row],[Reference]],metron,8,FALSE)</f>
        <v>1.6955772349985931</v>
      </c>
      <c r="BU422">
        <f>VLOOKUP(Table1[[#This Row],[Reference]],metron,9,FALSE)</f>
        <v>1.0239029519551039</v>
      </c>
      <c r="BV422">
        <f>VLOOKUP(Table1[[#This Row],[Reference]],metron,10,FALSE)</f>
        <v>2.5405629139072849</v>
      </c>
      <c r="BW422">
        <f>VLOOKUP(Table1[[#This Row],[Reference]],metron,11,FALSE)</f>
        <v>1.4888836329233679</v>
      </c>
      <c r="BX422">
        <f>VLOOKUP(Table1[[#This Row],[Reference]],metron,12,FALSE)</f>
        <v>1.0516792809839171</v>
      </c>
      <c r="BY422" s="6">
        <f>VLOOKUP(Table1[[#This Row],[Reference]],metron,13,FALSE)</f>
        <v>0.64581362346263005</v>
      </c>
      <c r="BZ422" s="6">
        <f>VLOOKUP(Table1[[#This Row],[Reference]],metron,14,FALSE)</f>
        <v>0.45364238410596031</v>
      </c>
      <c r="CA422" s="6">
        <f>VLOOKUP(Table1[[#This Row],[Reference]],metron,15,FALSE)</f>
        <v>12.686892177589851</v>
      </c>
      <c r="CB422" s="6">
        <f>VLOOKUP(Table1[[#This Row],[Reference]],metron,16,FALSE)</f>
        <v>9.8059196617336148</v>
      </c>
      <c r="CC422" s="6">
        <f>VLOOKUP(Table1[[#This Row],[Reference]],metron,17,FALSE)</f>
        <v>5.3198121263877027</v>
      </c>
      <c r="CD422" s="6">
        <f>VLOOKUP(Table1[[#This Row],[Reference]],metron,18,FALSE)</f>
        <v>4.0954312553373189</v>
      </c>
      <c r="CE422" s="6">
        <f>VLOOKUP(Table1[[#This Row],[Reference]],metron,19,FALSE)</f>
        <v>7.3670800512021479</v>
      </c>
      <c r="CF422" s="6">
        <f>VLOOKUP(Table1[[#This Row],[Reference]],metron,20,FALSE)</f>
        <v>5.710488406396296</v>
      </c>
      <c r="CG422" s="6">
        <f>VLOOKUP(Table1[[#This Row],[Reference]],metron,21,FALSE)</f>
        <v>13.0488908033599</v>
      </c>
      <c r="CH422" s="6">
        <f>VLOOKUP(Table1[[#This Row],[Reference]],metron,22,FALSE)</f>
        <v>13.714839543398661</v>
      </c>
      <c r="CI422" s="6">
        <f>VLOOKUP(Table1[[#This Row],[Reference]],metron,23,FALSE)</f>
        <v>1.567523459812322</v>
      </c>
      <c r="CJ422" s="6">
        <f>VLOOKUP(Table1[[#This Row],[Reference]],metron,24,FALSE)</f>
        <v>1.951040391676867</v>
      </c>
      <c r="CK422" s="6">
        <f>VLOOKUP(Table1[[#This Row],[Reference]],metron,25,FALSE)</f>
        <v>8.3027335781313744E-2</v>
      </c>
      <c r="CL422" s="6">
        <f>VLOOKUP(Table1[[#This Row],[Reference]],metron,26,FALSE)</f>
        <v>0.13117095063239501</v>
      </c>
    </row>
    <row r="423" spans="1:90" hidden="1" x14ac:dyDescent="0.45">
      <c r="A423" t="s">
        <v>1346</v>
      </c>
      <c r="B423">
        <v>1599703200</v>
      </c>
      <c r="C423" s="23" t="s">
        <v>826</v>
      </c>
      <c r="D423" t="s">
        <v>65</v>
      </c>
      <c r="E423" t="s">
        <v>66</v>
      </c>
      <c r="F423" t="s">
        <v>113</v>
      </c>
      <c r="G423" t="s">
        <v>106</v>
      </c>
      <c r="H423" t="s">
        <v>122</v>
      </c>
      <c r="I423">
        <f>MROUND(Table1[[#This Row],[ProbH]]*100,2)/100</f>
        <v>0.48</v>
      </c>
      <c r="J423">
        <f>1/Table1[[#This Row],[odds_ft_home_team_win]]-Table1[[#This Row],[Margin]]</f>
        <v>0.48131871208285359</v>
      </c>
      <c r="K423">
        <f>1/Table1[[#This Row],[odds_ft_draw]]-Table1[[#This Row],[Margin]]</f>
        <v>0.26313588321045572</v>
      </c>
      <c r="L423">
        <f>1/Table1[[#This Row],[odds_ft_away_team_win]]-Table1[[#This Row],[Margin]]</f>
        <v>0.25554540470669085</v>
      </c>
      <c r="M423">
        <v>9</v>
      </c>
      <c r="N423">
        <v>1.25</v>
      </c>
      <c r="O423">
        <v>0</v>
      </c>
      <c r="P423">
        <v>1.53</v>
      </c>
      <c r="Q423">
        <v>0.47</v>
      </c>
      <c r="R423" t="str" cm="1">
        <f t="array" ref="R4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0</v>
      </c>
      <c r="Y423">
        <v>8</v>
      </c>
      <c r="AA423">
        <v>4</v>
      </c>
      <c r="AB423">
        <v>4</v>
      </c>
      <c r="AC423">
        <v>3</v>
      </c>
      <c r="AD423">
        <v>1</v>
      </c>
      <c r="AE423">
        <v>4</v>
      </c>
      <c r="AF423">
        <v>1</v>
      </c>
      <c r="AG423">
        <v>1</v>
      </c>
      <c r="AH423">
        <v>3</v>
      </c>
      <c r="AI423">
        <v>5</v>
      </c>
      <c r="AJ423">
        <v>0</v>
      </c>
      <c r="AK423">
        <v>10</v>
      </c>
      <c r="AL423">
        <v>6</v>
      </c>
      <c r="AM423">
        <v>3</v>
      </c>
      <c r="AN423">
        <v>2</v>
      </c>
      <c r="AO423">
        <v>7</v>
      </c>
      <c r="AP423">
        <v>4</v>
      </c>
      <c r="AQ423">
        <v>11</v>
      </c>
      <c r="AR423">
        <v>19</v>
      </c>
      <c r="AS423">
        <v>60</v>
      </c>
      <c r="AT423">
        <v>40</v>
      </c>
      <c r="AU423">
        <v>1.21</v>
      </c>
      <c r="AV423">
        <v>0.71</v>
      </c>
      <c r="AW423">
        <v>2.92</v>
      </c>
      <c r="AX423">
        <v>54</v>
      </c>
      <c r="AY423">
        <v>88</v>
      </c>
      <c r="AZ423">
        <v>75</v>
      </c>
      <c r="BA423">
        <v>29</v>
      </c>
      <c r="BB423">
        <v>13</v>
      </c>
      <c r="BC423">
        <v>25</v>
      </c>
      <c r="BD423">
        <v>75</v>
      </c>
      <c r="BE423">
        <v>75</v>
      </c>
      <c r="BF423">
        <v>75</v>
      </c>
      <c r="BG423">
        <v>7.5</v>
      </c>
      <c r="BH423">
        <v>5.17</v>
      </c>
      <c r="BI423">
        <v>2.0099999999999998</v>
      </c>
      <c r="BJ423">
        <v>3.58</v>
      </c>
      <c r="BK423">
        <v>3.68</v>
      </c>
      <c r="BL423">
        <f>(1/Table1[[#This Row],[odds_ft_home_team_win]]+1/Table1[[#This Row],[odds_ft_draw]]+1/Table1[[#This Row],[odds_ft_away_team_win]]-1)/3</f>
        <v>1.6193725728091746E-2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 t="s">
        <v>120</v>
      </c>
      <c r="BT423">
        <f>VLOOKUP(Table1[[#This Row],[Reference]],metron,8,FALSE)</f>
        <v>1.743992017160418</v>
      </c>
      <c r="BU423">
        <f>VLOOKUP(Table1[[#This Row],[Reference]],metron,9,FALSE)</f>
        <v>0.97803937284245479</v>
      </c>
      <c r="BV423">
        <f>VLOOKUP(Table1[[#This Row],[Reference]],metron,10,FALSE)</f>
        <v>2.5271929824561399</v>
      </c>
      <c r="BW423">
        <f>VLOOKUP(Table1[[#This Row],[Reference]],metron,11,FALSE)</f>
        <v>1.510877192982456</v>
      </c>
      <c r="BX423">
        <f>VLOOKUP(Table1[[#This Row],[Reference]],metron,12,FALSE)</f>
        <v>1.0163157894736841</v>
      </c>
      <c r="BY423" s="6">
        <f>VLOOKUP(Table1[[#This Row],[Reference]],metron,13,FALSE)</f>
        <v>0.67350877192982461</v>
      </c>
      <c r="BZ423" s="6">
        <f>VLOOKUP(Table1[[#This Row],[Reference]],metron,14,FALSE)</f>
        <v>0.4442105263157895</v>
      </c>
      <c r="CA423" s="6">
        <f>VLOOKUP(Table1[[#This Row],[Reference]],metron,15,FALSE)</f>
        <v>12.80980392156863</v>
      </c>
      <c r="CB423" s="6">
        <f>VLOOKUP(Table1[[#This Row],[Reference]],metron,16,FALSE)</f>
        <v>9.6872549019607845</v>
      </c>
      <c r="CC423" s="6">
        <f>VLOOKUP(Table1[[#This Row],[Reference]],metron,17,FALSE)</f>
        <v>5.6491169610129957</v>
      </c>
      <c r="CD423" s="6">
        <f>VLOOKUP(Table1[[#This Row],[Reference]],metron,18,FALSE)</f>
        <v>4.1379540153282237</v>
      </c>
      <c r="CE423" s="6">
        <f>VLOOKUP(Table1[[#This Row],[Reference]],metron,19,FALSE)</f>
        <v>7.1606869605556343</v>
      </c>
      <c r="CF423" s="6">
        <f>VLOOKUP(Table1[[#This Row],[Reference]],metron,20,FALSE)</f>
        <v>5.5493008866325608</v>
      </c>
      <c r="CG423" s="6">
        <f>VLOOKUP(Table1[[#This Row],[Reference]],metron,21,FALSE)</f>
        <v>12.9029029029029</v>
      </c>
      <c r="CH423" s="6">
        <f>VLOOKUP(Table1[[#This Row],[Reference]],metron,22,FALSE)</f>
        <v>13.75508842175509</v>
      </c>
      <c r="CI423" s="6">
        <f>VLOOKUP(Table1[[#This Row],[Reference]],metron,23,FALSE)</f>
        <v>1.5287356321839081</v>
      </c>
      <c r="CJ423" s="6">
        <f>VLOOKUP(Table1[[#This Row],[Reference]],metron,24,FALSE)</f>
        <v>1.9664750957854411</v>
      </c>
      <c r="CK423" s="6">
        <f>VLOOKUP(Table1[[#This Row],[Reference]],metron,25,FALSE)</f>
        <v>8.8441890166028103E-2</v>
      </c>
      <c r="CL423" s="6">
        <f>VLOOKUP(Table1[[#This Row],[Reference]],metron,26,FALSE)</f>
        <v>0.13409961685823751</v>
      </c>
    </row>
    <row r="424" spans="1:90" hidden="1" x14ac:dyDescent="0.45">
      <c r="A424" t="s">
        <v>1346</v>
      </c>
      <c r="B424">
        <v>1599703560</v>
      </c>
      <c r="C424" s="23" t="s">
        <v>827</v>
      </c>
      <c r="D424" t="s">
        <v>65</v>
      </c>
      <c r="E424" t="s">
        <v>66</v>
      </c>
      <c r="F424" t="s">
        <v>73</v>
      </c>
      <c r="G424" t="s">
        <v>96</v>
      </c>
      <c r="H424" t="s">
        <v>74</v>
      </c>
      <c r="I424">
        <f>MROUND(Table1[[#This Row],[ProbH]]*100,2)/100</f>
        <v>0.48</v>
      </c>
      <c r="J424">
        <f>1/Table1[[#This Row],[odds_ft_home_team_win]]-Table1[[#This Row],[Margin]]</f>
        <v>0.4870843694373107</v>
      </c>
      <c r="K424">
        <f>1/Table1[[#This Row],[odds_ft_draw]]-Table1[[#This Row],[Margin]]</f>
        <v>0.26838150367562136</v>
      </c>
      <c r="L424">
        <f>1/Table1[[#This Row],[odds_ft_away_team_win]]-Table1[[#This Row],[Margin]]</f>
        <v>0.24453412688706805</v>
      </c>
      <c r="M424">
        <v>9</v>
      </c>
      <c r="N424">
        <v>2.33</v>
      </c>
      <c r="O424">
        <v>1.67</v>
      </c>
      <c r="P424">
        <v>2.09</v>
      </c>
      <c r="Q424">
        <v>1.25</v>
      </c>
      <c r="R424" t="str" cm="1">
        <f t="array" ref="R4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24">
        <v>1</v>
      </c>
      <c r="T424">
        <v>2</v>
      </c>
      <c r="U424">
        <v>3</v>
      </c>
      <c r="V424">
        <v>1</v>
      </c>
      <c r="W424">
        <v>0</v>
      </c>
      <c r="X424">
        <v>1</v>
      </c>
      <c r="Y424">
        <v>68</v>
      </c>
      <c r="Z424" t="s">
        <v>828</v>
      </c>
      <c r="AA424">
        <v>16</v>
      </c>
      <c r="AB424">
        <v>0</v>
      </c>
      <c r="AC424">
        <v>2</v>
      </c>
      <c r="AD424">
        <v>0</v>
      </c>
      <c r="AE424">
        <v>3</v>
      </c>
      <c r="AF424">
        <v>0</v>
      </c>
      <c r="AG424">
        <v>1</v>
      </c>
      <c r="AH424">
        <v>1</v>
      </c>
      <c r="AI424">
        <v>2</v>
      </c>
      <c r="AJ424">
        <v>1</v>
      </c>
      <c r="AK424">
        <v>20</v>
      </c>
      <c r="AL424">
        <v>6</v>
      </c>
      <c r="AM424">
        <v>3</v>
      </c>
      <c r="AN424">
        <v>4</v>
      </c>
      <c r="AO424">
        <v>17</v>
      </c>
      <c r="AP424">
        <v>2</v>
      </c>
      <c r="AQ424">
        <v>19</v>
      </c>
      <c r="AR424">
        <v>18</v>
      </c>
      <c r="AS424">
        <v>70</v>
      </c>
      <c r="AT424">
        <v>30</v>
      </c>
      <c r="AU424">
        <v>2.15</v>
      </c>
      <c r="AV424">
        <v>0.83</v>
      </c>
      <c r="AW424">
        <v>1.67</v>
      </c>
      <c r="AX424">
        <v>50</v>
      </c>
      <c r="AY424">
        <v>67</v>
      </c>
      <c r="AZ424">
        <v>33</v>
      </c>
      <c r="BA424">
        <v>0</v>
      </c>
      <c r="BB424">
        <v>0</v>
      </c>
      <c r="BC424">
        <v>17</v>
      </c>
      <c r="BD424">
        <v>50</v>
      </c>
      <c r="BE424">
        <v>34</v>
      </c>
      <c r="BF424">
        <v>67</v>
      </c>
      <c r="BG424">
        <v>10.33</v>
      </c>
      <c r="BH424">
        <v>6</v>
      </c>
      <c r="BI424">
        <v>1.95</v>
      </c>
      <c r="BJ424">
        <v>3.4</v>
      </c>
      <c r="BK424">
        <v>3.7</v>
      </c>
      <c r="BL424">
        <f>(1/Table1[[#This Row],[odds_ft_home_team_win]]+1/Table1[[#This Row],[odds_ft_draw]]+1/Table1[[#This Row],[odds_ft_away_team_win]]-1)/3</f>
        <v>2.5736143383202181E-2</v>
      </c>
      <c r="BM424">
        <v>1.26</v>
      </c>
      <c r="BN424">
        <v>1.83</v>
      </c>
      <c r="BO424">
        <v>3.1</v>
      </c>
      <c r="BP424">
        <v>5.8</v>
      </c>
      <c r="BQ424">
        <v>1.69</v>
      </c>
      <c r="BR424">
        <v>2.0499999999999998</v>
      </c>
      <c r="BS424" t="s">
        <v>142</v>
      </c>
      <c r="BT424">
        <f>VLOOKUP(Table1[[#This Row],[Reference]],metron,8,FALSE)</f>
        <v>1.743992017160418</v>
      </c>
      <c r="BU424">
        <f>VLOOKUP(Table1[[#This Row],[Reference]],metron,9,FALSE)</f>
        <v>0.97803937284245479</v>
      </c>
      <c r="BV424">
        <f>VLOOKUP(Table1[[#This Row],[Reference]],metron,10,FALSE)</f>
        <v>2.5271929824561399</v>
      </c>
      <c r="BW424">
        <f>VLOOKUP(Table1[[#This Row],[Reference]],metron,11,FALSE)</f>
        <v>1.510877192982456</v>
      </c>
      <c r="BX424">
        <f>VLOOKUP(Table1[[#This Row],[Reference]],metron,12,FALSE)</f>
        <v>1.0163157894736841</v>
      </c>
      <c r="BY424" s="6">
        <f>VLOOKUP(Table1[[#This Row],[Reference]],metron,13,FALSE)</f>
        <v>0.67350877192982461</v>
      </c>
      <c r="BZ424" s="6">
        <f>VLOOKUP(Table1[[#This Row],[Reference]],metron,14,FALSE)</f>
        <v>0.4442105263157895</v>
      </c>
      <c r="CA424" s="6">
        <f>VLOOKUP(Table1[[#This Row],[Reference]],metron,15,FALSE)</f>
        <v>12.80980392156863</v>
      </c>
      <c r="CB424" s="6">
        <f>VLOOKUP(Table1[[#This Row],[Reference]],metron,16,FALSE)</f>
        <v>9.6872549019607845</v>
      </c>
      <c r="CC424" s="6">
        <f>VLOOKUP(Table1[[#This Row],[Reference]],metron,17,FALSE)</f>
        <v>5.6491169610129957</v>
      </c>
      <c r="CD424" s="6">
        <f>VLOOKUP(Table1[[#This Row],[Reference]],metron,18,FALSE)</f>
        <v>4.1379540153282237</v>
      </c>
      <c r="CE424" s="6">
        <f>VLOOKUP(Table1[[#This Row],[Reference]],metron,19,FALSE)</f>
        <v>7.1606869605556343</v>
      </c>
      <c r="CF424" s="6">
        <f>VLOOKUP(Table1[[#This Row],[Reference]],metron,20,FALSE)</f>
        <v>5.5493008866325608</v>
      </c>
      <c r="CG424" s="6">
        <f>VLOOKUP(Table1[[#This Row],[Reference]],metron,21,FALSE)</f>
        <v>12.9029029029029</v>
      </c>
      <c r="CH424" s="6">
        <f>VLOOKUP(Table1[[#This Row],[Reference]],metron,22,FALSE)</f>
        <v>13.75508842175509</v>
      </c>
      <c r="CI424" s="6">
        <f>VLOOKUP(Table1[[#This Row],[Reference]],metron,23,FALSE)</f>
        <v>1.5287356321839081</v>
      </c>
      <c r="CJ424" s="6">
        <f>VLOOKUP(Table1[[#This Row],[Reference]],metron,24,FALSE)</f>
        <v>1.9664750957854411</v>
      </c>
      <c r="CK424" s="6">
        <f>VLOOKUP(Table1[[#This Row],[Reference]],metron,25,FALSE)</f>
        <v>8.8441890166028103E-2</v>
      </c>
      <c r="CL424" s="6">
        <f>VLOOKUP(Table1[[#This Row],[Reference]],metron,26,FALSE)</f>
        <v>0.13409961685823751</v>
      </c>
    </row>
    <row r="425" spans="1:90" hidden="1" x14ac:dyDescent="0.45">
      <c r="A425" t="s">
        <v>1346</v>
      </c>
      <c r="B425">
        <v>1599870600</v>
      </c>
      <c r="C425" s="23" t="s">
        <v>829</v>
      </c>
      <c r="D425" t="s">
        <v>65</v>
      </c>
      <c r="E425" t="s">
        <v>66</v>
      </c>
      <c r="F425" t="s">
        <v>72</v>
      </c>
      <c r="G425" t="s">
        <v>90</v>
      </c>
      <c r="H425" t="s">
        <v>215</v>
      </c>
      <c r="I425">
        <f>MROUND(Table1[[#This Row],[ProbH]]*100,2)/100</f>
        <v>0.3</v>
      </c>
      <c r="J425">
        <f>1/Table1[[#This Row],[odds_ft_home_team_win]]-Table1[[#This Row],[Margin]]</f>
        <v>0.30281836540746021</v>
      </c>
      <c r="K425">
        <f>1/Table1[[#This Row],[odds_ft_draw]]-Table1[[#This Row],[Margin]]</f>
        <v>0.28744951294844379</v>
      </c>
      <c r="L425">
        <f>1/Table1[[#This Row],[odds_ft_away_team_win]]-Table1[[#This Row],[Margin]]</f>
        <v>0.409732121644096</v>
      </c>
      <c r="M425">
        <v>10</v>
      </c>
      <c r="N425">
        <v>1.4</v>
      </c>
      <c r="O425">
        <v>1.5</v>
      </c>
      <c r="P425">
        <v>1.29</v>
      </c>
      <c r="Q425">
        <v>1.35</v>
      </c>
      <c r="R425" t="str" cm="1">
        <f t="array" ref="R4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25">
        <v>1</v>
      </c>
      <c r="T425">
        <v>2</v>
      </c>
      <c r="U425">
        <v>3</v>
      </c>
      <c r="V425">
        <v>0</v>
      </c>
      <c r="W425">
        <v>0</v>
      </c>
      <c r="X425">
        <v>0</v>
      </c>
      <c r="Y425">
        <v>65</v>
      </c>
      <c r="Z425" t="s">
        <v>830</v>
      </c>
      <c r="AA425">
        <v>4</v>
      </c>
      <c r="AB425">
        <v>7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10</v>
      </c>
      <c r="AL425">
        <v>17</v>
      </c>
      <c r="AM425">
        <v>5</v>
      </c>
      <c r="AN425">
        <v>6</v>
      </c>
      <c r="AO425">
        <v>5</v>
      </c>
      <c r="AP425">
        <v>11</v>
      </c>
      <c r="AQ425">
        <v>14</v>
      </c>
      <c r="AR425">
        <v>10</v>
      </c>
      <c r="AS425">
        <v>42</v>
      </c>
      <c r="AT425">
        <v>58</v>
      </c>
      <c r="AU425">
        <v>1.2</v>
      </c>
      <c r="AV425">
        <v>1.9</v>
      </c>
      <c r="AW425">
        <v>2.23</v>
      </c>
      <c r="AX425">
        <v>33</v>
      </c>
      <c r="AY425">
        <v>78</v>
      </c>
      <c r="AZ425">
        <v>33</v>
      </c>
      <c r="BA425">
        <v>13</v>
      </c>
      <c r="BB425">
        <v>0</v>
      </c>
      <c r="BC425">
        <v>10</v>
      </c>
      <c r="BD425">
        <v>75</v>
      </c>
      <c r="BE425">
        <v>35</v>
      </c>
      <c r="BF425">
        <v>90</v>
      </c>
      <c r="BG425">
        <v>8.85</v>
      </c>
      <c r="BH425">
        <v>7.5</v>
      </c>
      <c r="BI425">
        <v>3.05</v>
      </c>
      <c r="BJ425">
        <v>3.2</v>
      </c>
      <c r="BK425">
        <v>2.2999999999999998</v>
      </c>
      <c r="BL425">
        <f>(1/Table1[[#This Row],[odds_ft_home_team_win]]+1/Table1[[#This Row],[odds_ft_draw]]+1/Table1[[#This Row],[odds_ft_away_team_win]]-1)/3</f>
        <v>2.5050487051556214E-2</v>
      </c>
      <c r="BM425">
        <v>1.3</v>
      </c>
      <c r="BN425">
        <v>1.95</v>
      </c>
      <c r="BO425">
        <v>3.4</v>
      </c>
      <c r="BP425">
        <v>6.6</v>
      </c>
      <c r="BQ425">
        <v>1.74</v>
      </c>
      <c r="BR425">
        <v>2</v>
      </c>
      <c r="BS425" t="s">
        <v>76</v>
      </c>
      <c r="BT425">
        <f>VLOOKUP(Table1[[#This Row],[Reference]],metron,8,FALSE)</f>
        <v>1.2142445227270171</v>
      </c>
      <c r="BU425">
        <f>VLOOKUP(Table1[[#This Row],[Reference]],metron,9,FALSE)</f>
        <v>1.4993969533036628</v>
      </c>
      <c r="BV425">
        <f>VLOOKUP(Table1[[#This Row],[Reference]],metron,10,FALSE)</f>
        <v>2.5726407816919519</v>
      </c>
      <c r="BW425">
        <f>VLOOKUP(Table1[[#This Row],[Reference]],metron,11,FALSE)</f>
        <v>1.1805091283106199</v>
      </c>
      <c r="BX425">
        <f>VLOOKUP(Table1[[#This Row],[Reference]],metron,12,FALSE)</f>
        <v>1.3921316533813319</v>
      </c>
      <c r="BY425" s="6">
        <f>VLOOKUP(Table1[[#This Row],[Reference]],metron,13,FALSE)</f>
        <v>0.5209673269873939</v>
      </c>
      <c r="BZ425" s="6">
        <f>VLOOKUP(Table1[[#This Row],[Reference]],metron,14,FALSE)</f>
        <v>0.61847182917417032</v>
      </c>
      <c r="CA425" s="6">
        <f>VLOOKUP(Table1[[#This Row],[Reference]],metron,15,FALSE)</f>
        <v>11.149200710479571</v>
      </c>
      <c r="CB425" s="6">
        <f>VLOOKUP(Table1[[#This Row],[Reference]],metron,16,FALSE)</f>
        <v>11.444049733570161</v>
      </c>
      <c r="CC425" s="6">
        <f>VLOOKUP(Table1[[#This Row],[Reference]],metron,17,FALSE)</f>
        <v>4.5257270693512304</v>
      </c>
      <c r="CD425" s="6">
        <f>VLOOKUP(Table1[[#This Row],[Reference]],metron,18,FALSE)</f>
        <v>4.8465324384787474</v>
      </c>
      <c r="CE425" s="6">
        <f>VLOOKUP(Table1[[#This Row],[Reference]],metron,19,FALSE)</f>
        <v>6.6234736411283404</v>
      </c>
      <c r="CF425" s="6">
        <f>VLOOKUP(Table1[[#This Row],[Reference]],metron,20,FALSE)</f>
        <v>6.5975172950914134</v>
      </c>
      <c r="CG425" s="6">
        <f>VLOOKUP(Table1[[#This Row],[Reference]],metron,21,FALSE)</f>
        <v>12.90081154192967</v>
      </c>
      <c r="CH425" s="6">
        <f>VLOOKUP(Table1[[#This Row],[Reference]],metron,22,FALSE)</f>
        <v>13.00360685302074</v>
      </c>
      <c r="CI425" s="6">
        <f>VLOOKUP(Table1[[#This Row],[Reference]],metron,23,FALSE)</f>
        <v>1.7502145922746779</v>
      </c>
      <c r="CJ425" s="6">
        <f>VLOOKUP(Table1[[#This Row],[Reference]],metron,24,FALSE)</f>
        <v>1.831402831402831</v>
      </c>
      <c r="CK425" s="6">
        <f>VLOOKUP(Table1[[#This Row],[Reference]],metron,25,FALSE)</f>
        <v>9.6525096525096526E-2</v>
      </c>
      <c r="CL425" s="6">
        <f>VLOOKUP(Table1[[#This Row],[Reference]],metron,26,FALSE)</f>
        <v>0.1244101244101244</v>
      </c>
    </row>
    <row r="426" spans="1:90" hidden="1" x14ac:dyDescent="0.45">
      <c r="A426" t="s">
        <v>1346</v>
      </c>
      <c r="B426">
        <v>1599877800</v>
      </c>
      <c r="C426" s="23" t="s">
        <v>831</v>
      </c>
      <c r="D426" t="s">
        <v>65</v>
      </c>
      <c r="E426" t="s">
        <v>66</v>
      </c>
      <c r="F426" t="s">
        <v>78</v>
      </c>
      <c r="G426" t="s">
        <v>102</v>
      </c>
      <c r="H426" t="s">
        <v>114</v>
      </c>
      <c r="I426">
        <f>MROUND(Table1[[#This Row],[ProbH]]*100,2)/100</f>
        <v>0.46</v>
      </c>
      <c r="J426">
        <f>1/Table1[[#This Row],[odds_ft_home_team_win]]-Table1[[#This Row],[Margin]]</f>
        <v>0.45273027051196063</v>
      </c>
      <c r="K426">
        <f>1/Table1[[#This Row],[odds_ft_draw]]-Table1[[#This Row],[Margin]]</f>
        <v>0.28903979432148447</v>
      </c>
      <c r="L426">
        <f>1/Table1[[#This Row],[odds_ft_away_team_win]]-Table1[[#This Row],[Margin]]</f>
        <v>0.2582299351665549</v>
      </c>
      <c r="M426">
        <v>10</v>
      </c>
      <c r="N426">
        <v>1.25</v>
      </c>
      <c r="O426">
        <v>1.2</v>
      </c>
      <c r="P426">
        <v>1.41</v>
      </c>
      <c r="Q426">
        <v>1.33</v>
      </c>
      <c r="R426" t="str" cm="1">
        <f t="array" ref="R4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0</v>
      </c>
      <c r="Y426">
        <v>7</v>
      </c>
      <c r="AA426">
        <v>1</v>
      </c>
      <c r="AB426">
        <v>8</v>
      </c>
      <c r="AC426">
        <v>2</v>
      </c>
      <c r="AD426">
        <v>0</v>
      </c>
      <c r="AE426">
        <v>4</v>
      </c>
      <c r="AF426">
        <v>0</v>
      </c>
      <c r="AG426">
        <v>0</v>
      </c>
      <c r="AH426">
        <v>2</v>
      </c>
      <c r="AI426">
        <v>1</v>
      </c>
      <c r="AJ426">
        <v>3</v>
      </c>
      <c r="AK426">
        <v>7</v>
      </c>
      <c r="AL426">
        <v>7</v>
      </c>
      <c r="AM426">
        <v>5</v>
      </c>
      <c r="AN426">
        <v>4</v>
      </c>
      <c r="AO426">
        <v>2</v>
      </c>
      <c r="AP426">
        <v>3</v>
      </c>
      <c r="AQ426">
        <v>14</v>
      </c>
      <c r="AR426">
        <v>21</v>
      </c>
      <c r="AS426">
        <v>46</v>
      </c>
      <c r="AT426">
        <v>54</v>
      </c>
      <c r="AU426">
        <v>1.08</v>
      </c>
      <c r="AV426">
        <v>1.0900000000000001</v>
      </c>
      <c r="AW426">
        <v>2.13</v>
      </c>
      <c r="AX426">
        <v>43</v>
      </c>
      <c r="AY426">
        <v>55</v>
      </c>
      <c r="AZ426">
        <v>30</v>
      </c>
      <c r="BA426">
        <v>20</v>
      </c>
      <c r="BB426">
        <v>20</v>
      </c>
      <c r="BC426">
        <v>30</v>
      </c>
      <c r="BD426">
        <v>40</v>
      </c>
      <c r="BE426">
        <v>45</v>
      </c>
      <c r="BF426">
        <v>78</v>
      </c>
      <c r="BG426">
        <v>8.5500000000000007</v>
      </c>
      <c r="BH426">
        <v>5.3</v>
      </c>
      <c r="BI426">
        <v>2.1</v>
      </c>
      <c r="BJ426">
        <v>3.2</v>
      </c>
      <c r="BK426">
        <v>3.55</v>
      </c>
      <c r="BL426">
        <f>(1/Table1[[#This Row],[odds_ft_home_team_win]]+1/Table1[[#This Row],[odds_ft_draw]]+1/Table1[[#This Row],[odds_ft_away_team_win]]-1)/3</f>
        <v>2.3460205678515516E-2</v>
      </c>
      <c r="BM426">
        <v>1.38</v>
      </c>
      <c r="BN426">
        <v>2.2000000000000002</v>
      </c>
      <c r="BO426">
        <v>4.0999999999999996</v>
      </c>
      <c r="BP426">
        <v>8</v>
      </c>
      <c r="BQ426">
        <v>1.91</v>
      </c>
      <c r="BR426">
        <v>1.8</v>
      </c>
      <c r="BS426" t="s">
        <v>82</v>
      </c>
      <c r="BT426">
        <f>VLOOKUP(Table1[[#This Row],[Reference]],metron,8,FALSE)</f>
        <v>1.6955772349985931</v>
      </c>
      <c r="BU426">
        <f>VLOOKUP(Table1[[#This Row],[Reference]],metron,9,FALSE)</f>
        <v>1.0239029519551039</v>
      </c>
      <c r="BV426">
        <f>VLOOKUP(Table1[[#This Row],[Reference]],metron,10,FALSE)</f>
        <v>2.5405629139072849</v>
      </c>
      <c r="BW426">
        <f>VLOOKUP(Table1[[#This Row],[Reference]],metron,11,FALSE)</f>
        <v>1.4888836329233679</v>
      </c>
      <c r="BX426">
        <f>VLOOKUP(Table1[[#This Row],[Reference]],metron,12,FALSE)</f>
        <v>1.0516792809839171</v>
      </c>
      <c r="BY426" s="6">
        <f>VLOOKUP(Table1[[#This Row],[Reference]],metron,13,FALSE)</f>
        <v>0.64581362346263005</v>
      </c>
      <c r="BZ426" s="6">
        <f>VLOOKUP(Table1[[#This Row],[Reference]],metron,14,FALSE)</f>
        <v>0.45364238410596031</v>
      </c>
      <c r="CA426" s="6">
        <f>VLOOKUP(Table1[[#This Row],[Reference]],metron,15,FALSE)</f>
        <v>12.686892177589851</v>
      </c>
      <c r="CB426" s="6">
        <f>VLOOKUP(Table1[[#This Row],[Reference]],metron,16,FALSE)</f>
        <v>9.8059196617336148</v>
      </c>
      <c r="CC426" s="6">
        <f>VLOOKUP(Table1[[#This Row],[Reference]],metron,17,FALSE)</f>
        <v>5.3198121263877027</v>
      </c>
      <c r="CD426" s="6">
        <f>VLOOKUP(Table1[[#This Row],[Reference]],metron,18,FALSE)</f>
        <v>4.0954312553373189</v>
      </c>
      <c r="CE426" s="6">
        <f>VLOOKUP(Table1[[#This Row],[Reference]],metron,19,FALSE)</f>
        <v>7.3670800512021479</v>
      </c>
      <c r="CF426" s="6">
        <f>VLOOKUP(Table1[[#This Row],[Reference]],metron,20,FALSE)</f>
        <v>5.710488406396296</v>
      </c>
      <c r="CG426" s="6">
        <f>VLOOKUP(Table1[[#This Row],[Reference]],metron,21,FALSE)</f>
        <v>13.0488908033599</v>
      </c>
      <c r="CH426" s="6">
        <f>VLOOKUP(Table1[[#This Row],[Reference]],metron,22,FALSE)</f>
        <v>13.714839543398661</v>
      </c>
      <c r="CI426" s="6">
        <f>VLOOKUP(Table1[[#This Row],[Reference]],metron,23,FALSE)</f>
        <v>1.567523459812322</v>
      </c>
      <c r="CJ426" s="6">
        <f>VLOOKUP(Table1[[#This Row],[Reference]],metron,24,FALSE)</f>
        <v>1.951040391676867</v>
      </c>
      <c r="CK426" s="6">
        <f>VLOOKUP(Table1[[#This Row],[Reference]],metron,25,FALSE)</f>
        <v>8.3027335781313744E-2</v>
      </c>
      <c r="CL426" s="6">
        <f>VLOOKUP(Table1[[#This Row],[Reference]],metron,26,FALSE)</f>
        <v>0.13117095063239501</v>
      </c>
    </row>
    <row r="427" spans="1:90" hidden="1" x14ac:dyDescent="0.45">
      <c r="A427" t="s">
        <v>1346</v>
      </c>
      <c r="B427">
        <v>1599948000</v>
      </c>
      <c r="C427" s="23" t="s">
        <v>832</v>
      </c>
      <c r="D427" t="s">
        <v>65</v>
      </c>
      <c r="E427" t="s">
        <v>66</v>
      </c>
      <c r="F427" t="s">
        <v>97</v>
      </c>
      <c r="G427" t="s">
        <v>113</v>
      </c>
      <c r="H427" t="s">
        <v>130</v>
      </c>
      <c r="I427">
        <f>MROUND(Table1[[#This Row],[ProbH]]*100,2)/100</f>
        <v>0.5</v>
      </c>
      <c r="J427">
        <f>1/Table1[[#This Row],[odds_ft_home_team_win]]-Table1[[#This Row],[Margin]]</f>
        <v>0.49632708835056899</v>
      </c>
      <c r="K427">
        <f>1/Table1[[#This Row],[odds_ft_draw]]-Table1[[#This Row],[Margin]]</f>
        <v>0.25974966945270805</v>
      </c>
      <c r="L427">
        <f>1/Table1[[#This Row],[odds_ft_away_team_win]]-Table1[[#This Row],[Margin]]</f>
        <v>0.24392324219672282</v>
      </c>
      <c r="M427">
        <v>10</v>
      </c>
      <c r="N427">
        <v>1.5</v>
      </c>
      <c r="O427">
        <v>0.25</v>
      </c>
      <c r="P427">
        <v>1.21</v>
      </c>
      <c r="Q427">
        <v>0.65</v>
      </c>
      <c r="R427" t="str" cm="1">
        <f t="array" ref="R4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7">
        <v>1</v>
      </c>
      <c r="T427">
        <v>1</v>
      </c>
      <c r="U427">
        <v>2</v>
      </c>
      <c r="V427">
        <v>0</v>
      </c>
      <c r="W427">
        <v>0</v>
      </c>
      <c r="X427">
        <v>0</v>
      </c>
      <c r="Y427">
        <v>53</v>
      </c>
      <c r="Z427">
        <v>51</v>
      </c>
      <c r="AA427">
        <v>4</v>
      </c>
      <c r="AB427">
        <v>3</v>
      </c>
      <c r="AC427">
        <v>3</v>
      </c>
      <c r="AD427">
        <v>0</v>
      </c>
      <c r="AE427">
        <v>1</v>
      </c>
      <c r="AF427">
        <v>0</v>
      </c>
      <c r="AG427">
        <v>2</v>
      </c>
      <c r="AH427">
        <v>1</v>
      </c>
      <c r="AI427">
        <v>1</v>
      </c>
      <c r="AJ427">
        <v>0</v>
      </c>
      <c r="AK427">
        <v>4</v>
      </c>
      <c r="AL427">
        <v>7</v>
      </c>
      <c r="AM427">
        <v>0</v>
      </c>
      <c r="AN427">
        <v>3</v>
      </c>
      <c r="AO427">
        <v>4</v>
      </c>
      <c r="AP427">
        <v>4</v>
      </c>
      <c r="AQ427">
        <v>17</v>
      </c>
      <c r="AR427">
        <v>10</v>
      </c>
      <c r="AS427">
        <v>50</v>
      </c>
      <c r="AT427">
        <v>50</v>
      </c>
      <c r="AU427">
        <v>0.56000000000000005</v>
      </c>
      <c r="AV427">
        <v>0.82</v>
      </c>
      <c r="AW427">
        <v>2.75</v>
      </c>
      <c r="AX427">
        <v>63</v>
      </c>
      <c r="AY427">
        <v>63</v>
      </c>
      <c r="AZ427">
        <v>50</v>
      </c>
      <c r="BA427">
        <v>25</v>
      </c>
      <c r="BB427">
        <v>13</v>
      </c>
      <c r="BC427">
        <v>25</v>
      </c>
      <c r="BD427">
        <v>63</v>
      </c>
      <c r="BE427">
        <v>50</v>
      </c>
      <c r="BF427">
        <v>75</v>
      </c>
      <c r="BG427">
        <v>8.5</v>
      </c>
      <c r="BH427">
        <v>5.25</v>
      </c>
      <c r="BI427">
        <v>1.95</v>
      </c>
      <c r="BJ427">
        <v>3.62</v>
      </c>
      <c r="BK427">
        <v>3.84</v>
      </c>
      <c r="BL427">
        <f>(1/Table1[[#This Row],[odds_ft_home_team_win]]+1/Table1[[#This Row],[odds_ft_draw]]+1/Table1[[#This Row],[odds_ft_away_team_win]]-1)/3</f>
        <v>1.6493424469943879E-2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 t="s">
        <v>136</v>
      </c>
      <c r="BT427">
        <f>VLOOKUP(Table1[[#This Row],[Reference]],metron,8,FALSE)</f>
        <v>1.8001937313313046</v>
      </c>
      <c r="BU427">
        <f>VLOOKUP(Table1[[#This Row],[Reference]],metron,9,FALSE)</f>
        <v>0.9268512077832276</v>
      </c>
      <c r="BV427">
        <f>VLOOKUP(Table1[[#This Row],[Reference]],metron,10,FALSE)</f>
        <v>2.5202079886551649</v>
      </c>
      <c r="BW427">
        <f>VLOOKUP(Table1[[#This Row],[Reference]],metron,11,FALSE)</f>
        <v>1.5342708579532029</v>
      </c>
      <c r="BX427">
        <f>VLOOKUP(Table1[[#This Row],[Reference]],metron,12,FALSE)</f>
        <v>0.98593713070196176</v>
      </c>
      <c r="BY427" s="6">
        <f>VLOOKUP(Table1[[#This Row],[Reference]],metron,13,FALSE)</f>
        <v>0.67513590167809023</v>
      </c>
      <c r="BZ427" s="6">
        <f>VLOOKUP(Table1[[#This Row],[Reference]],metron,14,FALSE)</f>
        <v>0.4286727337194185</v>
      </c>
      <c r="CA427" s="6">
        <f>VLOOKUP(Table1[[#This Row],[Reference]],metron,15,FALSE)</f>
        <v>12.98669114272602</v>
      </c>
      <c r="CB427" s="6">
        <f>VLOOKUP(Table1[[#This Row],[Reference]],metron,16,FALSE)</f>
        <v>9.4167049105094076</v>
      </c>
      <c r="CC427" s="6">
        <f>VLOOKUP(Table1[[#This Row],[Reference]],metron,17,FALSE)</f>
        <v>5.6645716945996272</v>
      </c>
      <c r="CD427" s="6">
        <f>VLOOKUP(Table1[[#This Row],[Reference]],metron,18,FALSE)</f>
        <v>4.0242085661080074</v>
      </c>
      <c r="CE427" s="6">
        <f>VLOOKUP(Table1[[#This Row],[Reference]],metron,19,FALSE)</f>
        <v>7.3221194481263927</v>
      </c>
      <c r="CF427" s="6">
        <f>VLOOKUP(Table1[[#This Row],[Reference]],metron,20,FALSE)</f>
        <v>5.3924963444014002</v>
      </c>
      <c r="CG427" s="6">
        <f>VLOOKUP(Table1[[#This Row],[Reference]],metron,21,FALSE)</f>
        <v>12.508162313432839</v>
      </c>
      <c r="CH427" s="6">
        <f>VLOOKUP(Table1[[#This Row],[Reference]],metron,22,FALSE)</f>
        <v>13.36963619402985</v>
      </c>
      <c r="CI427" s="6">
        <f>VLOOKUP(Table1[[#This Row],[Reference]],metron,23,FALSE)</f>
        <v>1.4438014689517029</v>
      </c>
      <c r="CJ427" s="6">
        <f>VLOOKUP(Table1[[#This Row],[Reference]],metron,24,FALSE)</f>
        <v>1.9410193634542621</v>
      </c>
      <c r="CK427" s="6">
        <f>VLOOKUP(Table1[[#This Row],[Reference]],metron,25,FALSE)</f>
        <v>8.4130870242599604E-2</v>
      </c>
      <c r="CL427" s="6">
        <f>VLOOKUP(Table1[[#This Row],[Reference]],metron,26,FALSE)</f>
        <v>0.1275317160026708</v>
      </c>
    </row>
    <row r="428" spans="1:90" hidden="1" x14ac:dyDescent="0.45">
      <c r="A428" t="s">
        <v>1346</v>
      </c>
      <c r="B428">
        <v>1599955200</v>
      </c>
      <c r="C428" s="23" t="s">
        <v>833</v>
      </c>
      <c r="D428" t="s">
        <v>65</v>
      </c>
      <c r="E428" t="s">
        <v>66</v>
      </c>
      <c r="F428" t="s">
        <v>107</v>
      </c>
      <c r="G428" t="s">
        <v>73</v>
      </c>
      <c r="H428" t="s">
        <v>158</v>
      </c>
      <c r="I428">
        <f>MROUND(Table1[[#This Row],[ProbH]]*100,2)/100</f>
        <v>0.48</v>
      </c>
      <c r="J428">
        <f>1/Table1[[#This Row],[odds_ft_home_team_win]]-Table1[[#This Row],[Margin]]</f>
        <v>0.47457158651188508</v>
      </c>
      <c r="K428">
        <f>1/Table1[[#This Row],[odds_ft_draw]]-Table1[[#This Row],[Margin]]</f>
        <v>0.27307904919845222</v>
      </c>
      <c r="L428">
        <f>1/Table1[[#This Row],[odds_ft_away_team_win]]-Table1[[#This Row],[Margin]]</f>
        <v>0.25234936428966287</v>
      </c>
      <c r="M428">
        <v>10</v>
      </c>
      <c r="N428">
        <v>1.25</v>
      </c>
      <c r="O428">
        <v>0.4</v>
      </c>
      <c r="P428">
        <v>1.53</v>
      </c>
      <c r="Q428">
        <v>0.8</v>
      </c>
      <c r="R428" s="9" t="str" cm="1">
        <f t="array" ref="R4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8">
        <v>2</v>
      </c>
      <c r="T428">
        <v>0</v>
      </c>
      <c r="U428">
        <v>2</v>
      </c>
      <c r="V428">
        <v>1</v>
      </c>
      <c r="W428">
        <v>1</v>
      </c>
      <c r="X428">
        <v>0</v>
      </c>
      <c r="Y428" t="s">
        <v>834</v>
      </c>
      <c r="AA428">
        <v>7</v>
      </c>
      <c r="AB428">
        <v>8</v>
      </c>
      <c r="AC428">
        <v>2</v>
      </c>
      <c r="AD428">
        <v>0</v>
      </c>
      <c r="AE428">
        <v>3</v>
      </c>
      <c r="AF428">
        <v>0</v>
      </c>
      <c r="AG428">
        <v>0</v>
      </c>
      <c r="AH428">
        <v>2</v>
      </c>
      <c r="AI428">
        <v>0</v>
      </c>
      <c r="AJ428">
        <v>3</v>
      </c>
      <c r="AK428">
        <v>16</v>
      </c>
      <c r="AL428">
        <v>11</v>
      </c>
      <c r="AM428">
        <v>9</v>
      </c>
      <c r="AN428">
        <v>4</v>
      </c>
      <c r="AO428">
        <v>7</v>
      </c>
      <c r="AP428">
        <v>7</v>
      </c>
      <c r="AQ428">
        <v>15</v>
      </c>
      <c r="AR428">
        <v>13</v>
      </c>
      <c r="AS428">
        <v>52</v>
      </c>
      <c r="AT428">
        <v>48</v>
      </c>
      <c r="AU428">
        <v>1.8</v>
      </c>
      <c r="AV428">
        <v>1.43</v>
      </c>
      <c r="AW428">
        <v>2.88</v>
      </c>
      <c r="AX428">
        <v>90</v>
      </c>
      <c r="AY428">
        <v>100</v>
      </c>
      <c r="AZ428">
        <v>55</v>
      </c>
      <c r="BA428">
        <v>33</v>
      </c>
      <c r="BB428">
        <v>0</v>
      </c>
      <c r="BC428">
        <v>33</v>
      </c>
      <c r="BD428">
        <v>65</v>
      </c>
      <c r="BE428">
        <v>68</v>
      </c>
      <c r="BF428">
        <v>100</v>
      </c>
      <c r="BG428">
        <v>8.6</v>
      </c>
      <c r="BH428">
        <v>3.9</v>
      </c>
      <c r="BI428">
        <v>2</v>
      </c>
      <c r="BJ428">
        <v>3.35</v>
      </c>
      <c r="BK428">
        <v>3.6</v>
      </c>
      <c r="BL428">
        <f>(1/Table1[[#This Row],[odds_ft_home_team_win]]+1/Table1[[#This Row],[odds_ft_draw]]+1/Table1[[#This Row],[odds_ft_away_team_win]]-1)/3</f>
        <v>2.5428413488114938E-2</v>
      </c>
      <c r="BM428">
        <v>1.28</v>
      </c>
      <c r="BN428">
        <v>1.91</v>
      </c>
      <c r="BO428">
        <v>3.25</v>
      </c>
      <c r="BP428">
        <v>6.25</v>
      </c>
      <c r="BQ428">
        <v>1.71</v>
      </c>
      <c r="BR428">
        <v>2</v>
      </c>
      <c r="BS428" t="s">
        <v>161</v>
      </c>
      <c r="BT428">
        <f>VLOOKUP(Table1[[#This Row],[Reference]],metron,8,FALSE)</f>
        <v>1.743992017160418</v>
      </c>
      <c r="BU428">
        <f>VLOOKUP(Table1[[#This Row],[Reference]],metron,9,FALSE)</f>
        <v>0.97803937284245479</v>
      </c>
      <c r="BV428">
        <f>VLOOKUP(Table1[[#This Row],[Reference]],metron,10,FALSE)</f>
        <v>2.5271929824561399</v>
      </c>
      <c r="BW428">
        <f>VLOOKUP(Table1[[#This Row],[Reference]],metron,11,FALSE)</f>
        <v>1.510877192982456</v>
      </c>
      <c r="BX428">
        <f>VLOOKUP(Table1[[#This Row],[Reference]],metron,12,FALSE)</f>
        <v>1.0163157894736841</v>
      </c>
      <c r="BY428" s="6">
        <f>VLOOKUP(Table1[[#This Row],[Reference]],metron,13,FALSE)</f>
        <v>0.67350877192982461</v>
      </c>
      <c r="BZ428" s="6">
        <f>VLOOKUP(Table1[[#This Row],[Reference]],metron,14,FALSE)</f>
        <v>0.4442105263157895</v>
      </c>
      <c r="CA428" s="6">
        <f>VLOOKUP(Table1[[#This Row],[Reference]],metron,15,FALSE)</f>
        <v>12.80980392156863</v>
      </c>
      <c r="CB428" s="6">
        <f>VLOOKUP(Table1[[#This Row],[Reference]],metron,16,FALSE)</f>
        <v>9.6872549019607845</v>
      </c>
      <c r="CC428" s="6">
        <f>VLOOKUP(Table1[[#This Row],[Reference]],metron,17,FALSE)</f>
        <v>5.6491169610129957</v>
      </c>
      <c r="CD428" s="6">
        <f>VLOOKUP(Table1[[#This Row],[Reference]],metron,18,FALSE)</f>
        <v>4.1379540153282237</v>
      </c>
      <c r="CE428" s="6">
        <f>VLOOKUP(Table1[[#This Row],[Reference]],metron,19,FALSE)</f>
        <v>7.1606869605556343</v>
      </c>
      <c r="CF428" s="6">
        <f>VLOOKUP(Table1[[#This Row],[Reference]],metron,20,FALSE)</f>
        <v>5.5493008866325608</v>
      </c>
      <c r="CG428" s="6">
        <f>VLOOKUP(Table1[[#This Row],[Reference]],metron,21,FALSE)</f>
        <v>12.9029029029029</v>
      </c>
      <c r="CH428" s="6">
        <f>VLOOKUP(Table1[[#This Row],[Reference]],metron,22,FALSE)</f>
        <v>13.75508842175509</v>
      </c>
      <c r="CI428" s="6">
        <f>VLOOKUP(Table1[[#This Row],[Reference]],metron,23,FALSE)</f>
        <v>1.5287356321839081</v>
      </c>
      <c r="CJ428" s="6">
        <f>VLOOKUP(Table1[[#This Row],[Reference]],metron,24,FALSE)</f>
        <v>1.9664750957854411</v>
      </c>
      <c r="CK428" s="6">
        <f>VLOOKUP(Table1[[#This Row],[Reference]],metron,25,FALSE)</f>
        <v>8.8441890166028103E-2</v>
      </c>
      <c r="CL428" s="6">
        <f>VLOOKUP(Table1[[#This Row],[Reference]],metron,26,FALSE)</f>
        <v>0.13409961685823751</v>
      </c>
    </row>
    <row r="429" spans="1:90" hidden="1" x14ac:dyDescent="0.45">
      <c r="A429" t="s">
        <v>1346</v>
      </c>
      <c r="B429">
        <v>1599962400</v>
      </c>
      <c r="C429" s="23" t="s">
        <v>835</v>
      </c>
      <c r="D429" t="s">
        <v>65</v>
      </c>
      <c r="E429" t="s">
        <v>66</v>
      </c>
      <c r="F429" t="s">
        <v>68</v>
      </c>
      <c r="G429" t="s">
        <v>79</v>
      </c>
      <c r="H429" t="s">
        <v>122</v>
      </c>
      <c r="I429">
        <f>MROUND(Table1[[#This Row],[ProbH]]*100,2)/100</f>
        <v>0.56000000000000005</v>
      </c>
      <c r="J429">
        <f>1/Table1[[#This Row],[odds_ft_home_team_win]]-Table1[[#This Row],[Margin]]</f>
        <v>0.56632419726628891</v>
      </c>
      <c r="K429">
        <f>1/Table1[[#This Row],[odds_ft_draw]]-Table1[[#This Row],[Margin]]</f>
        <v>0.23434848067518763</v>
      </c>
      <c r="L429">
        <f>1/Table1[[#This Row],[odds_ft_away_team_win]]-Table1[[#This Row],[Margin]]</f>
        <v>0.19932732205852341</v>
      </c>
      <c r="M429">
        <v>10</v>
      </c>
      <c r="N429">
        <v>2.25</v>
      </c>
      <c r="O429">
        <v>0.6</v>
      </c>
      <c r="P429">
        <v>2.37</v>
      </c>
      <c r="Q429">
        <v>0.55000000000000004</v>
      </c>
      <c r="R429" t="str" cm="1">
        <f t="array" ref="R4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9">
        <v>1</v>
      </c>
      <c r="T429">
        <v>1</v>
      </c>
      <c r="U429">
        <v>2</v>
      </c>
      <c r="V429">
        <v>2</v>
      </c>
      <c r="W429">
        <v>1</v>
      </c>
      <c r="X429">
        <v>1</v>
      </c>
      <c r="Y429">
        <v>19</v>
      </c>
      <c r="Z429">
        <v>29</v>
      </c>
      <c r="AA429">
        <v>6</v>
      </c>
      <c r="AB429">
        <v>2</v>
      </c>
      <c r="AC429">
        <v>2</v>
      </c>
      <c r="AD429">
        <v>0</v>
      </c>
      <c r="AE429">
        <v>2</v>
      </c>
      <c r="AF429">
        <v>0</v>
      </c>
      <c r="AG429">
        <v>0</v>
      </c>
      <c r="AH429">
        <v>2</v>
      </c>
      <c r="AI429">
        <v>1</v>
      </c>
      <c r="AJ429">
        <v>1</v>
      </c>
      <c r="AK429">
        <v>13</v>
      </c>
      <c r="AL429">
        <v>9</v>
      </c>
      <c r="AM429">
        <v>7</v>
      </c>
      <c r="AN429">
        <v>4</v>
      </c>
      <c r="AO429">
        <v>6</v>
      </c>
      <c r="AP429">
        <v>5</v>
      </c>
      <c r="AQ429">
        <v>17</v>
      </c>
      <c r="AR429">
        <v>19</v>
      </c>
      <c r="AS429">
        <v>69</v>
      </c>
      <c r="AT429">
        <v>31</v>
      </c>
      <c r="AU429">
        <v>1.71</v>
      </c>
      <c r="AV429">
        <v>1.1000000000000001</v>
      </c>
      <c r="AW429">
        <v>4</v>
      </c>
      <c r="AX429">
        <v>88</v>
      </c>
      <c r="AY429">
        <v>100</v>
      </c>
      <c r="AZ429">
        <v>100</v>
      </c>
      <c r="BA429">
        <v>80</v>
      </c>
      <c r="BB429">
        <v>20</v>
      </c>
      <c r="BC429">
        <v>75</v>
      </c>
      <c r="BD429">
        <v>88</v>
      </c>
      <c r="BE429">
        <v>68</v>
      </c>
      <c r="BF429">
        <v>90</v>
      </c>
      <c r="BG429">
        <v>10.6</v>
      </c>
      <c r="BH429">
        <v>4.3499999999999996</v>
      </c>
      <c r="BI429">
        <v>1.69</v>
      </c>
      <c r="BJ429">
        <v>3.85</v>
      </c>
      <c r="BK429">
        <v>4.45</v>
      </c>
      <c r="BL429">
        <f>(1/Table1[[#This Row],[odds_ft_home_team_win]]+1/Table1[[#This Row],[odds_ft_draw]]+1/Table1[[#This Row],[odds_ft_away_team_win]]-1)/3</f>
        <v>2.53917790650721E-2</v>
      </c>
      <c r="BM429">
        <v>1.1499999999999999</v>
      </c>
      <c r="BN429">
        <v>1.5</v>
      </c>
      <c r="BO429">
        <v>2.25</v>
      </c>
      <c r="BP429">
        <v>3.9</v>
      </c>
      <c r="BQ429">
        <v>1.51</v>
      </c>
      <c r="BR429">
        <v>2.4500000000000002</v>
      </c>
      <c r="BS429" t="s">
        <v>116</v>
      </c>
      <c r="BT429">
        <f>VLOOKUP(Table1[[#This Row],[Reference]],metron,8,FALSE)</f>
        <v>1.9673156855724254</v>
      </c>
      <c r="BU429">
        <f>VLOOKUP(Table1[[#This Row],[Reference]],metron,9,FALSE)</f>
        <v>0.77729484582409181</v>
      </c>
      <c r="BV429">
        <f>VLOOKUP(Table1[[#This Row],[Reference]],metron,10,FALSE)</f>
        <v>2.6892488954344627</v>
      </c>
      <c r="BW429">
        <f>VLOOKUP(Table1[[#This Row],[Reference]],metron,11,FALSE)</f>
        <v>1.7546812539448771</v>
      </c>
      <c r="BX429">
        <f>VLOOKUP(Table1[[#This Row],[Reference]],metron,12,FALSE)</f>
        <v>0.93456764148958549</v>
      </c>
      <c r="BY429" s="6">
        <f>VLOOKUP(Table1[[#This Row],[Reference]],metron,13,FALSE)</f>
        <v>0.77824531874605507</v>
      </c>
      <c r="BZ429" s="6">
        <f>VLOOKUP(Table1[[#This Row],[Reference]],metron,14,FALSE)</f>
        <v>0.41237113402061848</v>
      </c>
      <c r="CA429" s="6">
        <f>VLOOKUP(Table1[[#This Row],[Reference]],metron,15,FALSE)</f>
        <v>13.77153558052435</v>
      </c>
      <c r="CB429" s="6">
        <f>VLOOKUP(Table1[[#This Row],[Reference]],metron,16,FALSE)</f>
        <v>9.0445692883895124</v>
      </c>
      <c r="CC429" s="6">
        <f>VLOOKUP(Table1[[#This Row],[Reference]],metron,17,FALSE)</f>
        <v>6.0821292775665396</v>
      </c>
      <c r="CD429" s="6">
        <f>VLOOKUP(Table1[[#This Row],[Reference]],metron,18,FALSE)</f>
        <v>3.8201520912547529</v>
      </c>
      <c r="CE429" s="6">
        <f>VLOOKUP(Table1[[#This Row],[Reference]],metron,19,FALSE)</f>
        <v>7.6894063029578108</v>
      </c>
      <c r="CF429" s="6">
        <f>VLOOKUP(Table1[[#This Row],[Reference]],metron,20,FALSE)</f>
        <v>5.224417197134759</v>
      </c>
      <c r="CG429" s="6">
        <f>VLOOKUP(Table1[[#This Row],[Reference]],metron,21,FALSE)</f>
        <v>12.297605473204101</v>
      </c>
      <c r="CH429" s="6">
        <f>VLOOKUP(Table1[[#This Row],[Reference]],metron,22,FALSE)</f>
        <v>13.310908399847969</v>
      </c>
      <c r="CI429" s="6">
        <f>VLOOKUP(Table1[[#This Row],[Reference]],metron,23,FALSE)</f>
        <v>1.3713126843657819</v>
      </c>
      <c r="CJ429" s="6">
        <f>VLOOKUP(Table1[[#This Row],[Reference]],metron,24,FALSE)</f>
        <v>1.9516961651917399</v>
      </c>
      <c r="CK429" s="6">
        <f>VLOOKUP(Table1[[#This Row],[Reference]],metron,25,FALSE)</f>
        <v>6.6002949852507375E-2</v>
      </c>
      <c r="CL429" s="6">
        <f>VLOOKUP(Table1[[#This Row],[Reference]],metron,26,FALSE)</f>
        <v>0.1297935103244838</v>
      </c>
    </row>
    <row r="430" spans="1:90" hidden="1" x14ac:dyDescent="0.45">
      <c r="A430" t="s">
        <v>1346</v>
      </c>
      <c r="B430">
        <v>1600016400</v>
      </c>
      <c r="C430" s="23" t="s">
        <v>836</v>
      </c>
      <c r="D430" t="s">
        <v>65</v>
      </c>
      <c r="E430" t="s">
        <v>66</v>
      </c>
      <c r="F430" t="s">
        <v>96</v>
      </c>
      <c r="G430" t="s">
        <v>91</v>
      </c>
      <c r="H430" t="s">
        <v>133</v>
      </c>
      <c r="I430">
        <f>MROUND(Table1[[#This Row],[ProbH]]*100,2)/100</f>
        <v>0.56000000000000005</v>
      </c>
      <c r="J430">
        <f>1/Table1[[#This Row],[odds_ft_home_team_win]]-Table1[[#This Row],[Margin]]</f>
        <v>0.56683127938188671</v>
      </c>
      <c r="K430">
        <f>1/Table1[[#This Row],[odds_ft_draw]]-Table1[[#This Row],[Margin]]</f>
        <v>0.23827319778736783</v>
      </c>
      <c r="L430">
        <f>1/Table1[[#This Row],[odds_ft_away_team_win]]-Table1[[#This Row],[Margin]]</f>
        <v>0.19489552283074552</v>
      </c>
      <c r="M430">
        <v>10</v>
      </c>
      <c r="N430">
        <v>2.2000000000000002</v>
      </c>
      <c r="O430">
        <v>0.75</v>
      </c>
      <c r="P430">
        <v>1.65</v>
      </c>
      <c r="Q430">
        <v>0.35</v>
      </c>
      <c r="R430" t="str" cm="1">
        <f t="array" ref="R4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30">
        <v>3</v>
      </c>
      <c r="T430">
        <v>0</v>
      </c>
      <c r="U430">
        <v>3</v>
      </c>
      <c r="V430">
        <v>1</v>
      </c>
      <c r="W430">
        <v>1</v>
      </c>
      <c r="X430">
        <v>0</v>
      </c>
      <c r="Y430" t="s">
        <v>837</v>
      </c>
      <c r="AA430">
        <v>3</v>
      </c>
      <c r="AB430">
        <v>2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6</v>
      </c>
      <c r="AL430">
        <v>15</v>
      </c>
      <c r="AM430">
        <v>5</v>
      </c>
      <c r="AN430">
        <v>5</v>
      </c>
      <c r="AO430">
        <v>1</v>
      </c>
      <c r="AP430">
        <v>10</v>
      </c>
      <c r="AQ430">
        <v>18</v>
      </c>
      <c r="AR430">
        <v>17</v>
      </c>
      <c r="AS430">
        <v>48</v>
      </c>
      <c r="AT430">
        <v>52</v>
      </c>
      <c r="AU430">
        <v>0.91</v>
      </c>
      <c r="AV430">
        <v>1.59</v>
      </c>
      <c r="AW430">
        <v>3.45</v>
      </c>
      <c r="AX430">
        <v>78</v>
      </c>
      <c r="AY430">
        <v>100</v>
      </c>
      <c r="AZ430">
        <v>68</v>
      </c>
      <c r="BA430">
        <v>45</v>
      </c>
      <c r="BB430">
        <v>33</v>
      </c>
      <c r="BC430">
        <v>35</v>
      </c>
      <c r="BD430">
        <v>78</v>
      </c>
      <c r="BE430">
        <v>78</v>
      </c>
      <c r="BF430">
        <v>100</v>
      </c>
      <c r="BG430">
        <v>12.4</v>
      </c>
      <c r="BH430">
        <v>6.75</v>
      </c>
      <c r="BI430">
        <v>1.69</v>
      </c>
      <c r="BJ430">
        <v>3.8</v>
      </c>
      <c r="BK430">
        <v>4.55</v>
      </c>
      <c r="BL430">
        <f>(1/Table1[[#This Row],[odds_ft_home_team_win]]+1/Table1[[#This Row],[odds_ft_draw]]+1/Table1[[#This Row],[odds_ft_away_team_win]]-1)/3</f>
        <v>2.4884696949474261E-2</v>
      </c>
      <c r="BM430">
        <v>1.24</v>
      </c>
      <c r="BN430">
        <v>1.77</v>
      </c>
      <c r="BO430">
        <v>2.95</v>
      </c>
      <c r="BP430">
        <v>5.45</v>
      </c>
      <c r="BQ430">
        <v>1.71</v>
      </c>
      <c r="BR430">
        <v>2</v>
      </c>
      <c r="BS430" t="s">
        <v>99</v>
      </c>
      <c r="BT430">
        <f>VLOOKUP(Table1[[#This Row],[Reference]],metron,8,FALSE)</f>
        <v>1.9673156855724254</v>
      </c>
      <c r="BU430">
        <f>VLOOKUP(Table1[[#This Row],[Reference]],metron,9,FALSE)</f>
        <v>0.77729484582409181</v>
      </c>
      <c r="BV430">
        <f>VLOOKUP(Table1[[#This Row],[Reference]],metron,10,FALSE)</f>
        <v>2.6892488954344627</v>
      </c>
      <c r="BW430">
        <f>VLOOKUP(Table1[[#This Row],[Reference]],metron,11,FALSE)</f>
        <v>1.7546812539448771</v>
      </c>
      <c r="BX430">
        <f>VLOOKUP(Table1[[#This Row],[Reference]],metron,12,FALSE)</f>
        <v>0.93456764148958549</v>
      </c>
      <c r="BY430" s="6">
        <f>VLOOKUP(Table1[[#This Row],[Reference]],metron,13,FALSE)</f>
        <v>0.77824531874605507</v>
      </c>
      <c r="BZ430" s="6">
        <f>VLOOKUP(Table1[[#This Row],[Reference]],metron,14,FALSE)</f>
        <v>0.41237113402061848</v>
      </c>
      <c r="CA430" s="6">
        <f>VLOOKUP(Table1[[#This Row],[Reference]],metron,15,FALSE)</f>
        <v>13.77153558052435</v>
      </c>
      <c r="CB430" s="6">
        <f>VLOOKUP(Table1[[#This Row],[Reference]],metron,16,FALSE)</f>
        <v>9.0445692883895124</v>
      </c>
      <c r="CC430" s="6">
        <f>VLOOKUP(Table1[[#This Row],[Reference]],metron,17,FALSE)</f>
        <v>6.0821292775665396</v>
      </c>
      <c r="CD430" s="6">
        <f>VLOOKUP(Table1[[#This Row],[Reference]],metron,18,FALSE)</f>
        <v>3.8201520912547529</v>
      </c>
      <c r="CE430" s="6">
        <f>VLOOKUP(Table1[[#This Row],[Reference]],metron,19,FALSE)</f>
        <v>7.6894063029578108</v>
      </c>
      <c r="CF430" s="6">
        <f>VLOOKUP(Table1[[#This Row],[Reference]],metron,20,FALSE)</f>
        <v>5.224417197134759</v>
      </c>
      <c r="CG430" s="6">
        <f>VLOOKUP(Table1[[#This Row],[Reference]],metron,21,FALSE)</f>
        <v>12.297605473204101</v>
      </c>
      <c r="CH430" s="6">
        <f>VLOOKUP(Table1[[#This Row],[Reference]],metron,22,FALSE)</f>
        <v>13.310908399847969</v>
      </c>
      <c r="CI430" s="6">
        <f>VLOOKUP(Table1[[#This Row],[Reference]],metron,23,FALSE)</f>
        <v>1.3713126843657819</v>
      </c>
      <c r="CJ430" s="6">
        <f>VLOOKUP(Table1[[#This Row],[Reference]],metron,24,FALSE)</f>
        <v>1.9516961651917399</v>
      </c>
      <c r="CK430" s="6">
        <f>VLOOKUP(Table1[[#This Row],[Reference]],metron,25,FALSE)</f>
        <v>6.6002949852507375E-2</v>
      </c>
      <c r="CL430" s="6">
        <f>VLOOKUP(Table1[[#This Row],[Reference]],metron,26,FALSE)</f>
        <v>0.1297935103244838</v>
      </c>
    </row>
    <row r="431" spans="1:90" hidden="1" x14ac:dyDescent="0.45">
      <c r="A431" t="s">
        <v>1346</v>
      </c>
      <c r="B431">
        <v>1600041600</v>
      </c>
      <c r="C431" s="23" t="s">
        <v>838</v>
      </c>
      <c r="D431" t="s">
        <v>65</v>
      </c>
      <c r="E431" t="s">
        <v>66</v>
      </c>
      <c r="F431" t="s">
        <v>67</v>
      </c>
      <c r="G431" t="s">
        <v>85</v>
      </c>
      <c r="H431" t="s">
        <v>69</v>
      </c>
      <c r="I431">
        <f>MROUND(Table1[[#This Row],[ProbH]]*100,2)/100</f>
        <v>0.28000000000000003</v>
      </c>
      <c r="J431">
        <f>1/Table1[[#This Row],[odds_ft_home_team_win]]-Table1[[#This Row],[Margin]]</f>
        <v>0.28712541941455516</v>
      </c>
      <c r="K431">
        <f>1/Table1[[#This Row],[odds_ft_draw]]-Table1[[#This Row],[Margin]]</f>
        <v>0.2731328821011223</v>
      </c>
      <c r="L431">
        <f>1/Table1[[#This Row],[odds_ft_away_team_win]]-Table1[[#This Row],[Margin]]</f>
        <v>0.4397416984843226</v>
      </c>
      <c r="M431">
        <v>10</v>
      </c>
      <c r="N431">
        <v>2.5</v>
      </c>
      <c r="O431">
        <v>1.6</v>
      </c>
      <c r="P431">
        <v>1.82</v>
      </c>
      <c r="Q431">
        <v>1.5</v>
      </c>
      <c r="R431" t="str" cm="1">
        <f t="array" ref="R4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1">
        <v>2</v>
      </c>
      <c r="T431">
        <v>3</v>
      </c>
      <c r="U431">
        <v>5</v>
      </c>
      <c r="V431">
        <v>1</v>
      </c>
      <c r="W431">
        <v>0</v>
      </c>
      <c r="X431">
        <v>1</v>
      </c>
      <c r="Y431" t="s">
        <v>839</v>
      </c>
      <c r="Z431" t="s">
        <v>840</v>
      </c>
      <c r="AA431">
        <v>2</v>
      </c>
      <c r="AB431">
        <v>5</v>
      </c>
      <c r="AC431">
        <v>1</v>
      </c>
      <c r="AD431">
        <v>0</v>
      </c>
      <c r="AE431">
        <v>2</v>
      </c>
      <c r="AF431">
        <v>0</v>
      </c>
      <c r="AG431">
        <v>0</v>
      </c>
      <c r="AH431">
        <v>1</v>
      </c>
      <c r="AI431">
        <v>0</v>
      </c>
      <c r="AJ431">
        <v>2</v>
      </c>
      <c r="AK431">
        <v>10</v>
      </c>
      <c r="AL431">
        <v>12</v>
      </c>
      <c r="AM431">
        <v>7</v>
      </c>
      <c r="AN431">
        <v>7</v>
      </c>
      <c r="AO431">
        <v>3</v>
      </c>
      <c r="AP431">
        <v>5</v>
      </c>
      <c r="AQ431">
        <v>12</v>
      </c>
      <c r="AR431">
        <v>16</v>
      </c>
      <c r="AS431">
        <v>31</v>
      </c>
      <c r="AT431">
        <v>69</v>
      </c>
      <c r="AU431">
        <v>1.38</v>
      </c>
      <c r="AV431">
        <v>1.56</v>
      </c>
      <c r="AW431">
        <v>2.13</v>
      </c>
      <c r="AX431">
        <v>38</v>
      </c>
      <c r="AY431">
        <v>58</v>
      </c>
      <c r="AZ431">
        <v>25</v>
      </c>
      <c r="BA431">
        <v>25</v>
      </c>
      <c r="BB431">
        <v>25</v>
      </c>
      <c r="BC431">
        <v>13</v>
      </c>
      <c r="BD431">
        <v>58</v>
      </c>
      <c r="BE431">
        <v>38</v>
      </c>
      <c r="BF431">
        <v>68</v>
      </c>
      <c r="BG431">
        <v>7.7</v>
      </c>
      <c r="BH431">
        <v>4.2</v>
      </c>
      <c r="BI431">
        <v>3.2</v>
      </c>
      <c r="BJ431">
        <v>3.35</v>
      </c>
      <c r="BK431">
        <v>2.15</v>
      </c>
      <c r="BL431">
        <f>(1/Table1[[#This Row],[odds_ft_home_team_win]]+1/Table1[[#This Row],[odds_ft_draw]]+1/Table1[[#This Row],[odds_ft_away_team_win]]-1)/3</f>
        <v>2.5374580585444839E-2</v>
      </c>
      <c r="BM431">
        <v>1.31</v>
      </c>
      <c r="BN431">
        <v>1.95</v>
      </c>
      <c r="BO431">
        <v>3.5</v>
      </c>
      <c r="BP431">
        <v>6.7</v>
      </c>
      <c r="BQ431">
        <v>1.77</v>
      </c>
      <c r="BR431">
        <v>1.95</v>
      </c>
      <c r="BS431" t="s">
        <v>70</v>
      </c>
      <c r="BT431">
        <f>VLOOKUP(Table1[[#This Row],[Reference]],metron,8,FALSE)</f>
        <v>1.1529533168233341</v>
      </c>
      <c r="BU431">
        <f>VLOOKUP(Table1[[#This Row],[Reference]],metron,9,FALSE)</f>
        <v>1.5628535554286829</v>
      </c>
      <c r="BV431">
        <f>VLOOKUP(Table1[[#This Row],[Reference]],metron,10,FALSE)</f>
        <v>2.5445607358071678</v>
      </c>
      <c r="BW431">
        <f>VLOOKUP(Table1[[#This Row],[Reference]],metron,11,FALSE)</f>
        <v>1.128766254360926</v>
      </c>
      <c r="BX431">
        <f>VLOOKUP(Table1[[#This Row],[Reference]],metron,12,FALSE)</f>
        <v>1.415794481446242</v>
      </c>
      <c r="BY431" s="6">
        <f>VLOOKUP(Table1[[#This Row],[Reference]],metron,13,FALSE)</f>
        <v>0.49635267998731369</v>
      </c>
      <c r="BZ431" s="6">
        <f>VLOOKUP(Table1[[#This Row],[Reference]],metron,14,FALSE)</f>
        <v>0.61084681255946716</v>
      </c>
      <c r="CA431" s="6">
        <f>VLOOKUP(Table1[[#This Row],[Reference]],metron,15,FALSE)</f>
        <v>11.04442036836403</v>
      </c>
      <c r="CB431" s="6">
        <f>VLOOKUP(Table1[[#This Row],[Reference]],metron,16,FALSE)</f>
        <v>11.38840736728061</v>
      </c>
      <c r="CC431" s="6">
        <f>VLOOKUP(Table1[[#This Row],[Reference]],metron,17,FALSE)</f>
        <v>4.5379574003276897</v>
      </c>
      <c r="CD431" s="6">
        <f>VLOOKUP(Table1[[#This Row],[Reference]],metron,18,FALSE)</f>
        <v>4.8481703986892413</v>
      </c>
      <c r="CE431" s="6">
        <f>VLOOKUP(Table1[[#This Row],[Reference]],metron,19,FALSE)</f>
        <v>6.5064629680363399</v>
      </c>
      <c r="CF431" s="6">
        <f>VLOOKUP(Table1[[#This Row],[Reference]],metron,20,FALSE)</f>
        <v>6.540236968591369</v>
      </c>
      <c r="CG431" s="6">
        <f>VLOOKUP(Table1[[#This Row],[Reference]],metron,21,FALSE)</f>
        <v>13.117582417582421</v>
      </c>
      <c r="CH431" s="6">
        <f>VLOOKUP(Table1[[#This Row],[Reference]],metron,22,FALSE)</f>
        <v>13.28241758241758</v>
      </c>
      <c r="CI431" s="6">
        <f>VLOOKUP(Table1[[#This Row],[Reference]],metron,23,FALSE)</f>
        <v>1.792592592592593</v>
      </c>
      <c r="CJ431" s="6">
        <f>VLOOKUP(Table1[[#This Row],[Reference]],metron,24,FALSE)</f>
        <v>1.806980433632998</v>
      </c>
      <c r="CK431" s="6">
        <f>VLOOKUP(Table1[[#This Row],[Reference]],metron,25,FALSE)</f>
        <v>0.1047065044949762</v>
      </c>
      <c r="CL431" s="6">
        <f>VLOOKUP(Table1[[#This Row],[Reference]],metron,26,FALSE)</f>
        <v>0.1073506081438392</v>
      </c>
    </row>
    <row r="432" spans="1:90" hidden="1" x14ac:dyDescent="0.45">
      <c r="A432" t="s">
        <v>1346</v>
      </c>
      <c r="B432">
        <v>1600049160</v>
      </c>
      <c r="C432" s="23" t="s">
        <v>841</v>
      </c>
      <c r="D432" t="s">
        <v>65</v>
      </c>
      <c r="E432" t="s">
        <v>66</v>
      </c>
      <c r="F432" t="s">
        <v>106</v>
      </c>
      <c r="G432" t="s">
        <v>112</v>
      </c>
      <c r="H432" t="s">
        <v>103</v>
      </c>
      <c r="I432">
        <f>MROUND(Table1[[#This Row],[ProbH]]*100,2)/100</f>
        <v>0.3</v>
      </c>
      <c r="J432">
        <f>1/Table1[[#This Row],[odds_ft_home_team_win]]-Table1[[#This Row],[Margin]]</f>
        <v>0.29763945472220366</v>
      </c>
      <c r="K432">
        <f>1/Table1[[#This Row],[odds_ft_draw]]-Table1[[#This Row],[Margin]]</f>
        <v>0.29251912702123078</v>
      </c>
      <c r="L432">
        <f>1/Table1[[#This Row],[odds_ft_away_team_win]]-Table1[[#This Row],[Margin]]</f>
        <v>0.40984141825656556</v>
      </c>
      <c r="M432">
        <v>10</v>
      </c>
      <c r="N432">
        <v>2</v>
      </c>
      <c r="O432">
        <v>1</v>
      </c>
      <c r="P432">
        <v>1.59</v>
      </c>
      <c r="Q432">
        <v>1.77</v>
      </c>
      <c r="R432" t="str" cm="1">
        <f t="array" ref="R4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2">
        <v>1</v>
      </c>
      <c r="T432">
        <v>2</v>
      </c>
      <c r="U432">
        <v>3</v>
      </c>
      <c r="V432">
        <v>1</v>
      </c>
      <c r="W432">
        <v>1</v>
      </c>
      <c r="X432">
        <v>0</v>
      </c>
      <c r="Y432">
        <v>10</v>
      </c>
      <c r="Z432" t="s">
        <v>842</v>
      </c>
      <c r="AA432">
        <v>3</v>
      </c>
      <c r="AB432">
        <v>8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14</v>
      </c>
      <c r="AL432">
        <v>8</v>
      </c>
      <c r="AM432">
        <v>7</v>
      </c>
      <c r="AN432">
        <v>5</v>
      </c>
      <c r="AO432">
        <v>7</v>
      </c>
      <c r="AP432">
        <v>3</v>
      </c>
      <c r="AQ432">
        <v>8</v>
      </c>
      <c r="AR432">
        <v>9</v>
      </c>
      <c r="AS432">
        <v>51</v>
      </c>
      <c r="AT432">
        <v>49</v>
      </c>
      <c r="AU432">
        <v>1.57</v>
      </c>
      <c r="AV432">
        <v>1.28</v>
      </c>
      <c r="AW432">
        <v>2</v>
      </c>
      <c r="AX432">
        <v>45</v>
      </c>
      <c r="AY432">
        <v>55</v>
      </c>
      <c r="AZ432">
        <v>33</v>
      </c>
      <c r="BA432">
        <v>23</v>
      </c>
      <c r="BB432">
        <v>0</v>
      </c>
      <c r="BC432">
        <v>33</v>
      </c>
      <c r="BD432">
        <v>65</v>
      </c>
      <c r="BE432">
        <v>23</v>
      </c>
      <c r="BF432">
        <v>68</v>
      </c>
      <c r="BG432">
        <v>11.25</v>
      </c>
      <c r="BH432">
        <v>4.3</v>
      </c>
      <c r="BI432">
        <v>3.1</v>
      </c>
      <c r="BJ432">
        <v>3.15</v>
      </c>
      <c r="BK432">
        <v>2.2999999999999998</v>
      </c>
      <c r="BL432">
        <f>(1/Table1[[#This Row],[odds_ft_home_team_win]]+1/Table1[[#This Row],[odds_ft_draw]]+1/Table1[[#This Row],[odds_ft_away_team_win]]-1)/3</f>
        <v>2.4941190439086675E-2</v>
      </c>
      <c r="BM432">
        <v>1.29</v>
      </c>
      <c r="BN432">
        <v>1.91</v>
      </c>
      <c r="BO432">
        <v>3.35</v>
      </c>
      <c r="BP432">
        <v>6.45</v>
      </c>
      <c r="BQ432">
        <v>1.71</v>
      </c>
      <c r="BR432">
        <v>2.0499999999999998</v>
      </c>
      <c r="BS432" t="s">
        <v>110</v>
      </c>
      <c r="BT432">
        <f>VLOOKUP(Table1[[#This Row],[Reference]],metron,8,FALSE)</f>
        <v>1.2142445227270171</v>
      </c>
      <c r="BU432">
        <f>VLOOKUP(Table1[[#This Row],[Reference]],metron,9,FALSE)</f>
        <v>1.4993969533036628</v>
      </c>
      <c r="BV432">
        <f>VLOOKUP(Table1[[#This Row],[Reference]],metron,10,FALSE)</f>
        <v>2.5726407816919519</v>
      </c>
      <c r="BW432">
        <f>VLOOKUP(Table1[[#This Row],[Reference]],metron,11,FALSE)</f>
        <v>1.1805091283106199</v>
      </c>
      <c r="BX432">
        <f>VLOOKUP(Table1[[#This Row],[Reference]],metron,12,FALSE)</f>
        <v>1.3921316533813319</v>
      </c>
      <c r="BY432" s="6">
        <f>VLOOKUP(Table1[[#This Row],[Reference]],metron,13,FALSE)</f>
        <v>0.5209673269873939</v>
      </c>
      <c r="BZ432" s="6">
        <f>VLOOKUP(Table1[[#This Row],[Reference]],metron,14,FALSE)</f>
        <v>0.61847182917417032</v>
      </c>
      <c r="CA432" s="6">
        <f>VLOOKUP(Table1[[#This Row],[Reference]],metron,15,FALSE)</f>
        <v>11.149200710479571</v>
      </c>
      <c r="CB432" s="6">
        <f>VLOOKUP(Table1[[#This Row],[Reference]],metron,16,FALSE)</f>
        <v>11.444049733570161</v>
      </c>
      <c r="CC432" s="6">
        <f>VLOOKUP(Table1[[#This Row],[Reference]],metron,17,FALSE)</f>
        <v>4.5257270693512304</v>
      </c>
      <c r="CD432" s="6">
        <f>VLOOKUP(Table1[[#This Row],[Reference]],metron,18,FALSE)</f>
        <v>4.8465324384787474</v>
      </c>
      <c r="CE432" s="6">
        <f>VLOOKUP(Table1[[#This Row],[Reference]],metron,19,FALSE)</f>
        <v>6.6234736411283404</v>
      </c>
      <c r="CF432" s="6">
        <f>VLOOKUP(Table1[[#This Row],[Reference]],metron,20,FALSE)</f>
        <v>6.5975172950914134</v>
      </c>
      <c r="CG432" s="6">
        <f>VLOOKUP(Table1[[#This Row],[Reference]],metron,21,FALSE)</f>
        <v>12.90081154192967</v>
      </c>
      <c r="CH432" s="6">
        <f>VLOOKUP(Table1[[#This Row],[Reference]],metron,22,FALSE)</f>
        <v>13.00360685302074</v>
      </c>
      <c r="CI432" s="6">
        <f>VLOOKUP(Table1[[#This Row],[Reference]],metron,23,FALSE)</f>
        <v>1.7502145922746779</v>
      </c>
      <c r="CJ432" s="6">
        <f>VLOOKUP(Table1[[#This Row],[Reference]],metron,24,FALSE)</f>
        <v>1.831402831402831</v>
      </c>
      <c r="CK432" s="6">
        <f>VLOOKUP(Table1[[#This Row],[Reference]],metron,25,FALSE)</f>
        <v>9.6525096525096526E-2</v>
      </c>
      <c r="CL432" s="6">
        <f>VLOOKUP(Table1[[#This Row],[Reference]],metron,26,FALSE)</f>
        <v>0.1244101244101244</v>
      </c>
    </row>
    <row r="433" spans="1:90" hidden="1" x14ac:dyDescent="0.45">
      <c r="A433" t="s">
        <v>1346</v>
      </c>
      <c r="B433">
        <v>1600135200</v>
      </c>
      <c r="C433" s="23" t="s">
        <v>843</v>
      </c>
      <c r="D433" t="s">
        <v>65</v>
      </c>
      <c r="E433" t="s">
        <v>66</v>
      </c>
      <c r="F433" t="s">
        <v>84</v>
      </c>
      <c r="G433" t="s">
        <v>101</v>
      </c>
      <c r="H433" t="s">
        <v>98</v>
      </c>
      <c r="I433">
        <f>MROUND(Table1[[#This Row],[ProbH]]*100,2)/100</f>
        <v>0.46</v>
      </c>
      <c r="J433">
        <f>1/Table1[[#This Row],[odds_ft_home_team_win]]-Table1[[#This Row],[Margin]]</f>
        <v>0.45913182346109177</v>
      </c>
      <c r="K433">
        <f>1/Table1[[#This Row],[odds_ft_draw]]-Table1[[#This Row],[Margin]]</f>
        <v>0.25704123112659694</v>
      </c>
      <c r="L433">
        <f>1/Table1[[#This Row],[odds_ft_away_team_win]]-Table1[[#This Row],[Margin]]</f>
        <v>0.28382694541231124</v>
      </c>
      <c r="M433">
        <v>10</v>
      </c>
      <c r="N433">
        <v>1.8</v>
      </c>
      <c r="O433">
        <v>1</v>
      </c>
      <c r="P433">
        <v>1.43</v>
      </c>
      <c r="Q433">
        <v>1.39</v>
      </c>
      <c r="R433" t="str" cm="1">
        <f t="array" ref="R4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33">
        <v>1</v>
      </c>
      <c r="T433">
        <v>1</v>
      </c>
      <c r="U433">
        <v>2</v>
      </c>
      <c r="V433">
        <v>1</v>
      </c>
      <c r="W433">
        <v>0</v>
      </c>
      <c r="X433">
        <v>1</v>
      </c>
      <c r="Y433">
        <v>84</v>
      </c>
      <c r="Z433">
        <v>8</v>
      </c>
      <c r="AA433">
        <v>4</v>
      </c>
      <c r="AB433">
        <v>3</v>
      </c>
      <c r="AC433">
        <v>2</v>
      </c>
      <c r="AD433">
        <v>1</v>
      </c>
      <c r="AE433">
        <v>1</v>
      </c>
      <c r="AF433">
        <v>1</v>
      </c>
      <c r="AG433">
        <v>0</v>
      </c>
      <c r="AH433">
        <v>3</v>
      </c>
      <c r="AI433">
        <v>1</v>
      </c>
      <c r="AJ433">
        <v>1</v>
      </c>
      <c r="AK433">
        <v>18</v>
      </c>
      <c r="AL433">
        <v>7</v>
      </c>
      <c r="AM433">
        <v>5</v>
      </c>
      <c r="AN433">
        <v>4</v>
      </c>
      <c r="AO433">
        <v>13</v>
      </c>
      <c r="AP433">
        <v>3</v>
      </c>
      <c r="AQ433">
        <v>14</v>
      </c>
      <c r="AR433">
        <v>9</v>
      </c>
      <c r="AS433">
        <v>67</v>
      </c>
      <c r="AT433">
        <v>33</v>
      </c>
      <c r="AU433">
        <v>2.08</v>
      </c>
      <c r="AV433">
        <v>0.95</v>
      </c>
      <c r="AW433">
        <v>2.85</v>
      </c>
      <c r="AX433">
        <v>68</v>
      </c>
      <c r="AY433">
        <v>68</v>
      </c>
      <c r="AZ433">
        <v>55</v>
      </c>
      <c r="BA433">
        <v>33</v>
      </c>
      <c r="BB433">
        <v>10</v>
      </c>
      <c r="BC433">
        <v>45</v>
      </c>
      <c r="BD433">
        <v>68</v>
      </c>
      <c r="BE433">
        <v>43</v>
      </c>
      <c r="BF433">
        <v>90</v>
      </c>
      <c r="BG433">
        <v>10</v>
      </c>
      <c r="BH433">
        <v>6.05</v>
      </c>
      <c r="BI433">
        <v>2.0499999999999998</v>
      </c>
      <c r="BJ433">
        <v>3.5</v>
      </c>
      <c r="BK433">
        <v>3.2</v>
      </c>
      <c r="BL433">
        <f>(1/Table1[[#This Row],[odds_ft_home_team_win]]+1/Table1[[#This Row],[odds_ft_draw]]+1/Table1[[#This Row],[odds_ft_away_team_win]]-1)/3</f>
        <v>2.8673054587688762E-2</v>
      </c>
      <c r="BM433">
        <v>1.26</v>
      </c>
      <c r="BN433">
        <v>1.83</v>
      </c>
      <c r="BO433">
        <v>3.1</v>
      </c>
      <c r="BP433">
        <v>5.8</v>
      </c>
      <c r="BQ433">
        <v>1.67</v>
      </c>
      <c r="BR433">
        <v>2.1</v>
      </c>
      <c r="BS433" t="s">
        <v>88</v>
      </c>
      <c r="BT433">
        <f>VLOOKUP(Table1[[#This Row],[Reference]],metron,8,FALSE)</f>
        <v>1.6955772349985931</v>
      </c>
      <c r="BU433">
        <f>VLOOKUP(Table1[[#This Row],[Reference]],metron,9,FALSE)</f>
        <v>1.0239029519551039</v>
      </c>
      <c r="BV433">
        <f>VLOOKUP(Table1[[#This Row],[Reference]],metron,10,FALSE)</f>
        <v>2.5405629139072849</v>
      </c>
      <c r="BW433">
        <f>VLOOKUP(Table1[[#This Row],[Reference]],metron,11,FALSE)</f>
        <v>1.4888836329233679</v>
      </c>
      <c r="BX433">
        <f>VLOOKUP(Table1[[#This Row],[Reference]],metron,12,FALSE)</f>
        <v>1.0516792809839171</v>
      </c>
      <c r="BY433" s="6">
        <f>VLOOKUP(Table1[[#This Row],[Reference]],metron,13,FALSE)</f>
        <v>0.64581362346263005</v>
      </c>
      <c r="BZ433" s="6">
        <f>VLOOKUP(Table1[[#This Row],[Reference]],metron,14,FALSE)</f>
        <v>0.45364238410596031</v>
      </c>
      <c r="CA433" s="6">
        <f>VLOOKUP(Table1[[#This Row],[Reference]],metron,15,FALSE)</f>
        <v>12.686892177589851</v>
      </c>
      <c r="CB433" s="6">
        <f>VLOOKUP(Table1[[#This Row],[Reference]],metron,16,FALSE)</f>
        <v>9.8059196617336148</v>
      </c>
      <c r="CC433" s="6">
        <f>VLOOKUP(Table1[[#This Row],[Reference]],metron,17,FALSE)</f>
        <v>5.3198121263877027</v>
      </c>
      <c r="CD433" s="6">
        <f>VLOOKUP(Table1[[#This Row],[Reference]],metron,18,FALSE)</f>
        <v>4.0954312553373189</v>
      </c>
      <c r="CE433" s="6">
        <f>VLOOKUP(Table1[[#This Row],[Reference]],metron,19,FALSE)</f>
        <v>7.3670800512021479</v>
      </c>
      <c r="CF433" s="6">
        <f>VLOOKUP(Table1[[#This Row],[Reference]],metron,20,FALSE)</f>
        <v>5.710488406396296</v>
      </c>
      <c r="CG433" s="6">
        <f>VLOOKUP(Table1[[#This Row],[Reference]],metron,21,FALSE)</f>
        <v>13.0488908033599</v>
      </c>
      <c r="CH433" s="6">
        <f>VLOOKUP(Table1[[#This Row],[Reference]],metron,22,FALSE)</f>
        <v>13.714839543398661</v>
      </c>
      <c r="CI433" s="6">
        <f>VLOOKUP(Table1[[#This Row],[Reference]],metron,23,FALSE)</f>
        <v>1.567523459812322</v>
      </c>
      <c r="CJ433" s="6">
        <f>VLOOKUP(Table1[[#This Row],[Reference]],metron,24,FALSE)</f>
        <v>1.951040391676867</v>
      </c>
      <c r="CK433" s="6">
        <f>VLOOKUP(Table1[[#This Row],[Reference]],metron,25,FALSE)</f>
        <v>8.3027335781313744E-2</v>
      </c>
      <c r="CL433" s="6">
        <f>VLOOKUP(Table1[[#This Row],[Reference]],metron,26,FALSE)</f>
        <v>0.13117095063239501</v>
      </c>
    </row>
    <row r="434" spans="1:90" hidden="1" x14ac:dyDescent="0.45">
      <c r="A434" t="s">
        <v>1346</v>
      </c>
      <c r="B434">
        <v>1600475400</v>
      </c>
      <c r="C434" s="23" t="s">
        <v>844</v>
      </c>
      <c r="D434" t="s">
        <v>65</v>
      </c>
      <c r="E434" t="s">
        <v>66</v>
      </c>
      <c r="F434" t="s">
        <v>72</v>
      </c>
      <c r="G434" t="s">
        <v>102</v>
      </c>
      <c r="H434" t="s">
        <v>74</v>
      </c>
      <c r="I434">
        <f>MROUND(Table1[[#This Row],[ProbH]]*100,2)/100</f>
        <v>0.46</v>
      </c>
      <c r="J434">
        <f>1/Table1[[#This Row],[odds_ft_home_team_win]]-Table1[[#This Row],[Margin]]</f>
        <v>0.45019033254327373</v>
      </c>
      <c r="K434">
        <f>1/Table1[[#This Row],[odds_ft_draw]]-Table1[[#This Row],[Margin]]</f>
        <v>0.28169216404510528</v>
      </c>
      <c r="L434">
        <f>1/Table1[[#This Row],[odds_ft_away_team_win]]-Table1[[#This Row],[Margin]]</f>
        <v>0.26811750341162111</v>
      </c>
      <c r="M434">
        <v>11</v>
      </c>
      <c r="N434">
        <v>1.17</v>
      </c>
      <c r="O434">
        <v>1</v>
      </c>
      <c r="P434">
        <v>1.29</v>
      </c>
      <c r="Q434">
        <v>1.33</v>
      </c>
      <c r="R434" t="str" cm="1">
        <f t="array" ref="R4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4">
        <v>0</v>
      </c>
      <c r="T434">
        <v>1</v>
      </c>
      <c r="U434">
        <v>1</v>
      </c>
      <c r="V434">
        <v>1</v>
      </c>
      <c r="W434">
        <v>0</v>
      </c>
      <c r="X434">
        <v>1</v>
      </c>
      <c r="Z434">
        <v>40</v>
      </c>
      <c r="AA434">
        <v>7</v>
      </c>
      <c r="AB434">
        <v>4</v>
      </c>
      <c r="AC434">
        <v>1</v>
      </c>
      <c r="AD434">
        <v>0</v>
      </c>
      <c r="AE434">
        <v>4</v>
      </c>
      <c r="AF434">
        <v>0</v>
      </c>
      <c r="AG434">
        <v>0</v>
      </c>
      <c r="AH434">
        <v>1</v>
      </c>
      <c r="AI434">
        <v>1</v>
      </c>
      <c r="AJ434">
        <v>3</v>
      </c>
      <c r="AK434">
        <v>11</v>
      </c>
      <c r="AL434">
        <v>5</v>
      </c>
      <c r="AM434">
        <v>4</v>
      </c>
      <c r="AN434">
        <v>2</v>
      </c>
      <c r="AO434">
        <v>7</v>
      </c>
      <c r="AP434">
        <v>3</v>
      </c>
      <c r="AQ434">
        <v>13</v>
      </c>
      <c r="AR434">
        <v>13</v>
      </c>
      <c r="AS434">
        <v>55</v>
      </c>
      <c r="AT434">
        <v>45</v>
      </c>
      <c r="AU434">
        <v>1.34</v>
      </c>
      <c r="AV434">
        <v>0.75</v>
      </c>
      <c r="AW434">
        <v>2.5</v>
      </c>
      <c r="AX434">
        <v>50</v>
      </c>
      <c r="AY434">
        <v>67</v>
      </c>
      <c r="AZ434">
        <v>50</v>
      </c>
      <c r="BA434">
        <v>17</v>
      </c>
      <c r="BB434">
        <v>17</v>
      </c>
      <c r="BC434">
        <v>34</v>
      </c>
      <c r="BD434">
        <v>83</v>
      </c>
      <c r="BE434">
        <v>33</v>
      </c>
      <c r="BF434">
        <v>75</v>
      </c>
      <c r="BG434">
        <v>9</v>
      </c>
      <c r="BH434">
        <v>6.83</v>
      </c>
      <c r="BI434">
        <v>2.1</v>
      </c>
      <c r="BJ434">
        <v>3.25</v>
      </c>
      <c r="BK434">
        <v>3.4</v>
      </c>
      <c r="BL434">
        <f>(1/Table1[[#This Row],[odds_ft_home_team_win]]+1/Table1[[#This Row],[odds_ft_draw]]+1/Table1[[#This Row],[odds_ft_away_team_win]]-1)/3</f>
        <v>2.6000143647202451E-2</v>
      </c>
      <c r="BM434">
        <v>1.33</v>
      </c>
      <c r="BN434">
        <v>2.0499999999999998</v>
      </c>
      <c r="BO434">
        <v>3.65</v>
      </c>
      <c r="BP434">
        <v>7</v>
      </c>
      <c r="BQ434">
        <v>1.83</v>
      </c>
      <c r="BR434">
        <v>1.91</v>
      </c>
      <c r="BS434" t="s">
        <v>76</v>
      </c>
      <c r="BT434">
        <f>VLOOKUP(Table1[[#This Row],[Reference]],metron,8,FALSE)</f>
        <v>1.6955772349985931</v>
      </c>
      <c r="BU434">
        <f>VLOOKUP(Table1[[#This Row],[Reference]],metron,9,FALSE)</f>
        <v>1.0239029519551039</v>
      </c>
      <c r="BV434">
        <f>VLOOKUP(Table1[[#This Row],[Reference]],metron,10,FALSE)</f>
        <v>2.5405629139072849</v>
      </c>
      <c r="BW434">
        <f>VLOOKUP(Table1[[#This Row],[Reference]],metron,11,FALSE)</f>
        <v>1.4888836329233679</v>
      </c>
      <c r="BX434">
        <f>VLOOKUP(Table1[[#This Row],[Reference]],metron,12,FALSE)</f>
        <v>1.0516792809839171</v>
      </c>
      <c r="BY434" s="6">
        <f>VLOOKUP(Table1[[#This Row],[Reference]],metron,13,FALSE)</f>
        <v>0.64581362346263005</v>
      </c>
      <c r="BZ434" s="6">
        <f>VLOOKUP(Table1[[#This Row],[Reference]],metron,14,FALSE)</f>
        <v>0.45364238410596031</v>
      </c>
      <c r="CA434" s="6">
        <f>VLOOKUP(Table1[[#This Row],[Reference]],metron,15,FALSE)</f>
        <v>12.686892177589851</v>
      </c>
      <c r="CB434" s="6">
        <f>VLOOKUP(Table1[[#This Row],[Reference]],metron,16,FALSE)</f>
        <v>9.8059196617336148</v>
      </c>
      <c r="CC434" s="6">
        <f>VLOOKUP(Table1[[#This Row],[Reference]],metron,17,FALSE)</f>
        <v>5.3198121263877027</v>
      </c>
      <c r="CD434" s="6">
        <f>VLOOKUP(Table1[[#This Row],[Reference]],metron,18,FALSE)</f>
        <v>4.0954312553373189</v>
      </c>
      <c r="CE434" s="6">
        <f>VLOOKUP(Table1[[#This Row],[Reference]],metron,19,FALSE)</f>
        <v>7.3670800512021479</v>
      </c>
      <c r="CF434" s="6">
        <f>VLOOKUP(Table1[[#This Row],[Reference]],metron,20,FALSE)</f>
        <v>5.710488406396296</v>
      </c>
      <c r="CG434" s="6">
        <f>VLOOKUP(Table1[[#This Row],[Reference]],metron,21,FALSE)</f>
        <v>13.0488908033599</v>
      </c>
      <c r="CH434" s="6">
        <f>VLOOKUP(Table1[[#This Row],[Reference]],metron,22,FALSE)</f>
        <v>13.714839543398661</v>
      </c>
      <c r="CI434" s="6">
        <f>VLOOKUP(Table1[[#This Row],[Reference]],metron,23,FALSE)</f>
        <v>1.567523459812322</v>
      </c>
      <c r="CJ434" s="6">
        <f>VLOOKUP(Table1[[#This Row],[Reference]],metron,24,FALSE)</f>
        <v>1.951040391676867</v>
      </c>
      <c r="CK434" s="6">
        <f>VLOOKUP(Table1[[#This Row],[Reference]],metron,25,FALSE)</f>
        <v>8.3027335781313744E-2</v>
      </c>
      <c r="CL434" s="6">
        <f>VLOOKUP(Table1[[#This Row],[Reference]],metron,26,FALSE)</f>
        <v>0.13117095063239501</v>
      </c>
    </row>
    <row r="435" spans="1:90" hidden="1" x14ac:dyDescent="0.45">
      <c r="A435" t="s">
        <v>1346</v>
      </c>
      <c r="B435">
        <v>1600482600</v>
      </c>
      <c r="C435" s="23" t="s">
        <v>845</v>
      </c>
      <c r="D435" t="s">
        <v>65</v>
      </c>
      <c r="E435" t="s">
        <v>66</v>
      </c>
      <c r="F435" t="s">
        <v>113</v>
      </c>
      <c r="G435" t="s">
        <v>112</v>
      </c>
      <c r="H435" t="s">
        <v>108</v>
      </c>
      <c r="I435">
        <f>MROUND(Table1[[#This Row],[ProbH]]*100,2)/100</f>
        <v>0.18</v>
      </c>
      <c r="J435">
        <f>1/Table1[[#This Row],[odds_ft_home_team_win]]-Table1[[#This Row],[Margin]]</f>
        <v>0.18990399486352205</v>
      </c>
      <c r="K435">
        <f>1/Table1[[#This Row],[odds_ft_draw]]-Table1[[#This Row],[Margin]]</f>
        <v>0.25247187511096031</v>
      </c>
      <c r="L435">
        <f>1/Table1[[#This Row],[odds_ft_away_team_win]]-Table1[[#This Row],[Margin]]</f>
        <v>0.55762413002551769</v>
      </c>
      <c r="M435">
        <v>11</v>
      </c>
      <c r="N435">
        <v>1.6</v>
      </c>
      <c r="O435">
        <v>1.4</v>
      </c>
      <c r="P435">
        <v>1.53</v>
      </c>
      <c r="Q435">
        <v>1.77</v>
      </c>
      <c r="R435" t="str" cm="1">
        <f t="array" ref="R4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5">
        <v>2</v>
      </c>
      <c r="T435">
        <v>3</v>
      </c>
      <c r="U435">
        <v>5</v>
      </c>
      <c r="V435">
        <v>2</v>
      </c>
      <c r="W435">
        <v>1</v>
      </c>
      <c r="X435">
        <v>1</v>
      </c>
      <c r="Y435" t="s">
        <v>846</v>
      </c>
      <c r="Z435" t="s">
        <v>847</v>
      </c>
      <c r="AA435">
        <v>1</v>
      </c>
      <c r="AB435">
        <v>1</v>
      </c>
      <c r="AC435">
        <v>4</v>
      </c>
      <c r="AD435">
        <v>0</v>
      </c>
      <c r="AE435">
        <v>1</v>
      </c>
      <c r="AF435">
        <v>0</v>
      </c>
      <c r="AG435">
        <v>1</v>
      </c>
      <c r="AH435">
        <v>3</v>
      </c>
      <c r="AI435">
        <v>0</v>
      </c>
      <c r="AJ435">
        <v>1</v>
      </c>
      <c r="AK435">
        <v>11</v>
      </c>
      <c r="AL435">
        <v>4</v>
      </c>
      <c r="AM435">
        <v>7</v>
      </c>
      <c r="AN435">
        <v>3</v>
      </c>
      <c r="AO435">
        <v>4</v>
      </c>
      <c r="AP435">
        <v>1</v>
      </c>
      <c r="AQ435">
        <v>11</v>
      </c>
      <c r="AR435">
        <v>16</v>
      </c>
      <c r="AS435">
        <v>56</v>
      </c>
      <c r="AT435">
        <v>44</v>
      </c>
      <c r="AU435">
        <v>1.46</v>
      </c>
      <c r="AV435">
        <v>0.73</v>
      </c>
      <c r="AW435">
        <v>2.2000000000000002</v>
      </c>
      <c r="AX435">
        <v>60</v>
      </c>
      <c r="AY435">
        <v>60</v>
      </c>
      <c r="AZ435">
        <v>40</v>
      </c>
      <c r="BA435">
        <v>20</v>
      </c>
      <c r="BB435">
        <v>10</v>
      </c>
      <c r="BC435">
        <v>30</v>
      </c>
      <c r="BD435">
        <v>60</v>
      </c>
      <c r="BE435">
        <v>40</v>
      </c>
      <c r="BF435">
        <v>60</v>
      </c>
      <c r="BG435">
        <v>11.8</v>
      </c>
      <c r="BH435">
        <v>4.4000000000000004</v>
      </c>
      <c r="BI435">
        <v>4.68</v>
      </c>
      <c r="BJ435">
        <v>3.62</v>
      </c>
      <c r="BK435">
        <v>1.72</v>
      </c>
      <c r="BL435">
        <f>(1/Table1[[#This Row],[odds_ft_home_team_win]]+1/Table1[[#This Row],[odds_ft_draw]]+1/Table1[[#This Row],[odds_ft_away_team_win]]-1)/3</f>
        <v>2.3771218811691641E-2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 t="s">
        <v>120</v>
      </c>
      <c r="BT435">
        <f>VLOOKUP(Table1[[#This Row],[Reference]],metron,8,FALSE)</f>
        <v>0.82644342026658157</v>
      </c>
      <c r="BU435">
        <f>VLOOKUP(Table1[[#This Row],[Reference]],metron,9,FALSE)</f>
        <v>1.9167800490169129</v>
      </c>
      <c r="BV435">
        <f>VLOOKUP(Table1[[#This Row],[Reference]],metron,10,FALSE)</f>
        <v>2.731488406881077</v>
      </c>
      <c r="BW435">
        <f>VLOOKUP(Table1[[#This Row],[Reference]],metron,11,FALSE)</f>
        <v>1.007479431563201</v>
      </c>
      <c r="BX435">
        <f>VLOOKUP(Table1[[#This Row],[Reference]],metron,12,FALSE)</f>
        <v>1.724008975317876</v>
      </c>
      <c r="BY435" s="6">
        <f>VLOOKUP(Table1[[#This Row],[Reference]],metron,13,FALSE)</f>
        <v>0.43829468960359008</v>
      </c>
      <c r="BZ435" s="6">
        <f>VLOOKUP(Table1[[#This Row],[Reference]],metron,14,FALSE)</f>
        <v>0.72700074794315628</v>
      </c>
      <c r="CA435" s="6">
        <f>VLOOKUP(Table1[[#This Row],[Reference]],metron,15,FALSE)</f>
        <v>10.21282401091405</v>
      </c>
      <c r="CB435" s="6">
        <f>VLOOKUP(Table1[[#This Row],[Reference]],metron,16,FALSE)</f>
        <v>13.16098226466576</v>
      </c>
      <c r="CC435" s="6">
        <f>VLOOKUP(Table1[[#This Row],[Reference]],metron,17,FALSE)</f>
        <v>4.0596393897364784</v>
      </c>
      <c r="CD435" s="6">
        <f>VLOOKUP(Table1[[#This Row],[Reference]],metron,18,FALSE)</f>
        <v>5.7378640776699026</v>
      </c>
      <c r="CE435" s="6">
        <f>VLOOKUP(Table1[[#This Row],[Reference]],metron,19,FALSE)</f>
        <v>6.1531846211775711</v>
      </c>
      <c r="CF435" s="6">
        <f>VLOOKUP(Table1[[#This Row],[Reference]],metron,20,FALSE)</f>
        <v>7.4231181869958576</v>
      </c>
      <c r="CG435" s="6">
        <f>VLOOKUP(Table1[[#This Row],[Reference]],metron,21,FALSE)</f>
        <v>13.193905817174519</v>
      </c>
      <c r="CH435" s="6">
        <f>VLOOKUP(Table1[[#This Row],[Reference]],metron,22,FALSE)</f>
        <v>12.612188365650971</v>
      </c>
      <c r="CI435" s="6">
        <f>VLOOKUP(Table1[[#This Row],[Reference]],metron,23,FALSE)</f>
        <v>1.8245614035087721</v>
      </c>
      <c r="CJ435" s="6">
        <f>VLOOKUP(Table1[[#This Row],[Reference]],metron,24,FALSE)</f>
        <v>1.808367071524966</v>
      </c>
      <c r="CK435" s="6">
        <f>VLOOKUP(Table1[[#This Row],[Reference]],metron,25,FALSE)</f>
        <v>9.041835357624832E-2</v>
      </c>
      <c r="CL435" s="6">
        <f>VLOOKUP(Table1[[#This Row],[Reference]],metron,26,FALSE)</f>
        <v>9.1767881241565458E-2</v>
      </c>
    </row>
    <row r="436" spans="1:90" hidden="1" x14ac:dyDescent="0.45">
      <c r="A436" t="s">
        <v>1346</v>
      </c>
      <c r="B436">
        <v>1600552800</v>
      </c>
      <c r="C436" s="23" t="s">
        <v>848</v>
      </c>
      <c r="D436" t="s">
        <v>65</v>
      </c>
      <c r="E436" t="s">
        <v>66</v>
      </c>
      <c r="F436" t="s">
        <v>97</v>
      </c>
      <c r="G436" t="s">
        <v>84</v>
      </c>
      <c r="H436" t="s">
        <v>92</v>
      </c>
      <c r="I436">
        <f>MROUND(Table1[[#This Row],[ProbH]]*100,2)/100</f>
        <v>0.32</v>
      </c>
      <c r="J436">
        <f>1/Table1[[#This Row],[odds_ft_home_team_win]]-Table1[[#This Row],[Margin]]</f>
        <v>0.31215650101848652</v>
      </c>
      <c r="K436">
        <f>1/Table1[[#This Row],[odds_ft_draw]]-Table1[[#This Row],[Margin]]</f>
        <v>0.30650678350436222</v>
      </c>
      <c r="L436">
        <f>1/Table1[[#This Row],[odds_ft_away_team_win]]-Table1[[#This Row],[Margin]]</f>
        <v>0.38133671547715131</v>
      </c>
      <c r="M436">
        <v>11</v>
      </c>
      <c r="N436">
        <v>1.4</v>
      </c>
      <c r="O436">
        <v>1.25</v>
      </c>
      <c r="P436">
        <v>1.21</v>
      </c>
      <c r="Q436">
        <v>1.38</v>
      </c>
      <c r="R436" t="str" cm="1">
        <f t="array" ref="R4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Z436">
        <v>76</v>
      </c>
      <c r="AA436">
        <v>1</v>
      </c>
      <c r="AB436">
        <v>4</v>
      </c>
      <c r="AC436">
        <v>2</v>
      </c>
      <c r="AD436">
        <v>1</v>
      </c>
      <c r="AE436">
        <v>2</v>
      </c>
      <c r="AF436">
        <v>0</v>
      </c>
      <c r="AG436">
        <v>2</v>
      </c>
      <c r="AH436">
        <v>1</v>
      </c>
      <c r="AI436">
        <v>0</v>
      </c>
      <c r="AJ436">
        <v>2</v>
      </c>
      <c r="AK436">
        <v>10</v>
      </c>
      <c r="AL436">
        <v>16</v>
      </c>
      <c r="AM436">
        <v>2</v>
      </c>
      <c r="AN436">
        <v>3</v>
      </c>
      <c r="AO436">
        <v>8</v>
      </c>
      <c r="AP436">
        <v>13</v>
      </c>
      <c r="AQ436">
        <v>12</v>
      </c>
      <c r="AR436">
        <v>18</v>
      </c>
      <c r="AS436">
        <v>56</v>
      </c>
      <c r="AT436">
        <v>44</v>
      </c>
      <c r="AU436">
        <v>1.1100000000000001</v>
      </c>
      <c r="AV436">
        <v>1.56</v>
      </c>
      <c r="AW436">
        <v>1.5</v>
      </c>
      <c r="AX436">
        <v>43</v>
      </c>
      <c r="AY436">
        <v>43</v>
      </c>
      <c r="AZ436">
        <v>20</v>
      </c>
      <c r="BA436">
        <v>0</v>
      </c>
      <c r="BB436">
        <v>0</v>
      </c>
      <c r="BC436">
        <v>10</v>
      </c>
      <c r="BD436">
        <v>30</v>
      </c>
      <c r="BE436">
        <v>33</v>
      </c>
      <c r="BF436">
        <v>78</v>
      </c>
      <c r="BG436">
        <v>9.65</v>
      </c>
      <c r="BH436">
        <v>5.3</v>
      </c>
      <c r="BI436">
        <v>2.95</v>
      </c>
      <c r="BJ436">
        <v>3</v>
      </c>
      <c r="BK436">
        <v>2.4500000000000002</v>
      </c>
      <c r="BL436">
        <f>(1/Table1[[#This Row],[odds_ft_home_team_win]]+1/Table1[[#This Row],[odds_ft_draw]]+1/Table1[[#This Row],[odds_ft_away_team_win]]-1)/3</f>
        <v>2.6826549828971109E-2</v>
      </c>
      <c r="BM436">
        <v>1.43</v>
      </c>
      <c r="BN436">
        <v>2.35</v>
      </c>
      <c r="BO436">
        <v>4.45</v>
      </c>
      <c r="BP436">
        <v>8.75</v>
      </c>
      <c r="BQ436">
        <v>1.95</v>
      </c>
      <c r="BR436">
        <v>1.77</v>
      </c>
      <c r="BS436" t="s">
        <v>136</v>
      </c>
      <c r="BT436">
        <f>VLOOKUP(Table1[[#This Row],[Reference]],metron,8,FALSE)</f>
        <v>1.274681051426811</v>
      </c>
      <c r="BU436">
        <f>VLOOKUP(Table1[[#This Row],[Reference]],metron,9,FALSE)</f>
        <v>1.4392482240810365</v>
      </c>
      <c r="BV436">
        <f>VLOOKUP(Table1[[#This Row],[Reference]],metron,10,FALSE)</f>
        <v>2.5313454284174597</v>
      </c>
      <c r="BW436">
        <f>VLOOKUP(Table1[[#This Row],[Reference]],metron,11,FALSE)</f>
        <v>1.210167055864918</v>
      </c>
      <c r="BX436">
        <f>VLOOKUP(Table1[[#This Row],[Reference]],metron,12,FALSE)</f>
        <v>1.3211783725525419</v>
      </c>
      <c r="BY436" s="6">
        <f>VLOOKUP(Table1[[#This Row],[Reference]],metron,13,FALSE)</f>
        <v>0.53135669362084459</v>
      </c>
      <c r="BZ436" s="6">
        <f>VLOOKUP(Table1[[#This Row],[Reference]],metron,14,FALSE)</f>
        <v>0.55633423180592989</v>
      </c>
      <c r="CA436" s="6">
        <f>VLOOKUP(Table1[[#This Row],[Reference]],metron,15,FALSE)</f>
        <v>11.21109010712035</v>
      </c>
      <c r="CB436" s="6">
        <f>VLOOKUP(Table1[[#This Row],[Reference]],metron,16,FALSE)</f>
        <v>11.01700787401575</v>
      </c>
      <c r="CC436" s="6">
        <f>VLOOKUP(Table1[[#This Row],[Reference]],metron,17,FALSE)</f>
        <v>4.6792332268370611</v>
      </c>
      <c r="CD436" s="6">
        <f>VLOOKUP(Table1[[#This Row],[Reference]],metron,18,FALSE)</f>
        <v>4.7080804854679013</v>
      </c>
      <c r="CE436" s="6">
        <f>VLOOKUP(Table1[[#This Row],[Reference]],metron,19,FALSE)</f>
        <v>6.5318568802832893</v>
      </c>
      <c r="CF436" s="6">
        <f>VLOOKUP(Table1[[#This Row],[Reference]],metron,20,FALSE)</f>
        <v>6.3089273885478487</v>
      </c>
      <c r="CG436" s="6">
        <f>VLOOKUP(Table1[[#This Row],[Reference]],metron,21,FALSE)</f>
        <v>12.72547770700637</v>
      </c>
      <c r="CH436" s="6">
        <f>VLOOKUP(Table1[[#This Row],[Reference]],metron,22,FALSE)</f>
        <v>13.06847133757962</v>
      </c>
      <c r="CI436" s="6">
        <f>VLOOKUP(Table1[[#This Row],[Reference]],metron,23,FALSE)</f>
        <v>1.6902356902356901</v>
      </c>
      <c r="CJ436" s="6">
        <f>VLOOKUP(Table1[[#This Row],[Reference]],metron,24,FALSE)</f>
        <v>1.8050198959289869</v>
      </c>
      <c r="CK436" s="6">
        <f>VLOOKUP(Table1[[#This Row],[Reference]],metron,25,FALSE)</f>
        <v>0.105907560453015</v>
      </c>
      <c r="CL436" s="6">
        <f>VLOOKUP(Table1[[#This Row],[Reference]],metron,26,FALSE)</f>
        <v>0.1141720232629324</v>
      </c>
    </row>
    <row r="437" spans="1:90" hidden="1" x14ac:dyDescent="0.45">
      <c r="A437" t="s">
        <v>1346</v>
      </c>
      <c r="B437">
        <v>1600560000</v>
      </c>
      <c r="C437" s="23" t="s">
        <v>849</v>
      </c>
      <c r="D437" t="s">
        <v>65</v>
      </c>
      <c r="E437" t="s">
        <v>66</v>
      </c>
      <c r="F437" t="s">
        <v>107</v>
      </c>
      <c r="G437" t="s">
        <v>67</v>
      </c>
      <c r="H437" t="s">
        <v>215</v>
      </c>
      <c r="I437">
        <f>MROUND(Table1[[#This Row],[ProbH]]*100,2)/100</f>
        <v>0.57999999999999996</v>
      </c>
      <c r="J437">
        <f>1/Table1[[#This Row],[odds_ft_home_team_win]]-Table1[[#This Row],[Margin]]</f>
        <v>0.5746401932976154</v>
      </c>
      <c r="K437">
        <f>1/Table1[[#This Row],[odds_ft_draw]]-Table1[[#This Row],[Margin]]</f>
        <v>0.23899569282487657</v>
      </c>
      <c r="L437">
        <f>1/Table1[[#This Row],[odds_ft_away_team_win]]-Table1[[#This Row],[Margin]]</f>
        <v>0.18636411387750815</v>
      </c>
      <c r="M437">
        <v>11</v>
      </c>
      <c r="N437">
        <v>1.6</v>
      </c>
      <c r="O437">
        <v>0.2</v>
      </c>
      <c r="P437">
        <v>1.53</v>
      </c>
      <c r="Q437">
        <v>0.17</v>
      </c>
      <c r="R437" t="str" cm="1">
        <f t="array" ref="R4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37">
        <v>3</v>
      </c>
      <c r="T437">
        <v>0</v>
      </c>
      <c r="U437">
        <v>3</v>
      </c>
      <c r="V437">
        <v>0</v>
      </c>
      <c r="W437">
        <v>0</v>
      </c>
      <c r="X437">
        <v>0</v>
      </c>
      <c r="Y437" t="s">
        <v>850</v>
      </c>
      <c r="AA437">
        <v>6</v>
      </c>
      <c r="AB437">
        <v>4</v>
      </c>
      <c r="AC437">
        <v>0</v>
      </c>
      <c r="AD437">
        <v>0</v>
      </c>
      <c r="AE437">
        <v>2</v>
      </c>
      <c r="AF437">
        <v>1</v>
      </c>
      <c r="AG437">
        <v>0</v>
      </c>
      <c r="AH437">
        <v>0</v>
      </c>
      <c r="AI437">
        <v>2</v>
      </c>
      <c r="AJ437">
        <v>1</v>
      </c>
      <c r="AK437">
        <v>22</v>
      </c>
      <c r="AL437">
        <v>7</v>
      </c>
      <c r="AM437">
        <v>7</v>
      </c>
      <c r="AN437">
        <v>4</v>
      </c>
      <c r="AO437">
        <v>15</v>
      </c>
      <c r="AP437">
        <v>3</v>
      </c>
      <c r="AQ437">
        <v>10</v>
      </c>
      <c r="AR437">
        <v>7</v>
      </c>
      <c r="AS437">
        <v>78</v>
      </c>
      <c r="AT437">
        <v>22</v>
      </c>
      <c r="AU437">
        <v>2.4700000000000002</v>
      </c>
      <c r="AV437">
        <v>0.84</v>
      </c>
      <c r="AW437">
        <v>2.5</v>
      </c>
      <c r="AX437">
        <v>70</v>
      </c>
      <c r="AY437">
        <v>80</v>
      </c>
      <c r="AZ437">
        <v>40</v>
      </c>
      <c r="BA437">
        <v>20</v>
      </c>
      <c r="BB437">
        <v>10</v>
      </c>
      <c r="BC437">
        <v>20</v>
      </c>
      <c r="BD437">
        <v>80</v>
      </c>
      <c r="BE437">
        <v>40</v>
      </c>
      <c r="BF437">
        <v>80</v>
      </c>
      <c r="BG437">
        <v>9.4</v>
      </c>
      <c r="BH437">
        <v>5.8</v>
      </c>
      <c r="BI437">
        <v>1.67</v>
      </c>
      <c r="BJ437">
        <v>3.8</v>
      </c>
      <c r="BK437">
        <v>4.75</v>
      </c>
      <c r="BL437">
        <f>(1/Table1[[#This Row],[odds_ft_home_team_win]]+1/Table1[[#This Row],[odds_ft_draw]]+1/Table1[[#This Row],[odds_ft_away_team_win]]-1)/3</f>
        <v>2.4162201911965536E-2</v>
      </c>
      <c r="BM437">
        <v>1.31</v>
      </c>
      <c r="BN437">
        <v>1.95</v>
      </c>
      <c r="BO437">
        <v>3.5</v>
      </c>
      <c r="BP437">
        <v>6.7</v>
      </c>
      <c r="BQ437">
        <v>1.91</v>
      </c>
      <c r="BR437">
        <v>1.8</v>
      </c>
      <c r="BS437" t="s">
        <v>161</v>
      </c>
      <c r="BT437">
        <f>VLOOKUP(Table1[[#This Row],[Reference]],metron,8,FALSE)</f>
        <v>2.0230889143600308</v>
      </c>
      <c r="BU437">
        <f>VLOOKUP(Table1[[#This Row],[Reference]],metron,9,FALSE)</f>
        <v>0.72731480520165426</v>
      </c>
      <c r="BV437">
        <f>VLOOKUP(Table1[[#This Row],[Reference]],metron,10,FALSE)</f>
        <v>2.6362999299229148</v>
      </c>
      <c r="BW437">
        <f>VLOOKUP(Table1[[#This Row],[Reference]],metron,11,FALSE)</f>
        <v>1.7619715019855171</v>
      </c>
      <c r="BX437">
        <f>VLOOKUP(Table1[[#This Row],[Reference]],metron,12,FALSE)</f>
        <v>0.87432842793739785</v>
      </c>
      <c r="BY437" s="6">
        <f>VLOOKUP(Table1[[#This Row],[Reference]],metron,13,FALSE)</f>
        <v>0.78411214953271025</v>
      </c>
      <c r="BZ437" s="6">
        <f>VLOOKUP(Table1[[#This Row],[Reference]],metron,14,FALSE)</f>
        <v>0.38060747663551397</v>
      </c>
      <c r="CA437" s="6">
        <f>VLOOKUP(Table1[[#This Row],[Reference]],metron,15,FALSE)</f>
        <v>14.215499378367181</v>
      </c>
      <c r="CB437" s="6">
        <f>VLOOKUP(Table1[[#This Row],[Reference]],metron,16,FALSE)</f>
        <v>8.9523612261806136</v>
      </c>
      <c r="CC437" s="6">
        <f>VLOOKUP(Table1[[#This Row],[Reference]],metron,17,FALSE)</f>
        <v>6.3083121289228163</v>
      </c>
      <c r="CD437" s="6">
        <f>VLOOKUP(Table1[[#This Row],[Reference]],metron,18,FALSE)</f>
        <v>3.7757524374735061</v>
      </c>
      <c r="CE437" s="6">
        <f>VLOOKUP(Table1[[#This Row],[Reference]],metron,19,FALSE)</f>
        <v>7.9071872494443642</v>
      </c>
      <c r="CF437" s="6">
        <f>VLOOKUP(Table1[[#This Row],[Reference]],metron,20,FALSE)</f>
        <v>5.1766087887071075</v>
      </c>
      <c r="CG437" s="6">
        <f>VLOOKUP(Table1[[#This Row],[Reference]],metron,21,FALSE)</f>
        <v>12.634239592183521</v>
      </c>
      <c r="CH437" s="6">
        <f>VLOOKUP(Table1[[#This Row],[Reference]],metron,22,FALSE)</f>
        <v>13.597706032285471</v>
      </c>
      <c r="CI437" s="6">
        <f>VLOOKUP(Table1[[#This Row],[Reference]],metron,23,FALSE)</f>
        <v>1.365400161681487</v>
      </c>
      <c r="CJ437" s="6">
        <f>VLOOKUP(Table1[[#This Row],[Reference]],metron,24,FALSE)</f>
        <v>1.963621665319321</v>
      </c>
      <c r="CK437" s="6">
        <f>VLOOKUP(Table1[[#This Row],[Reference]],metron,25,FALSE)</f>
        <v>7.1544058205335492E-2</v>
      </c>
      <c r="CL437" s="6">
        <f>VLOOKUP(Table1[[#This Row],[Reference]],metron,26,FALSE)</f>
        <v>0.1216653193209378</v>
      </c>
    </row>
    <row r="438" spans="1:90" hidden="1" x14ac:dyDescent="0.45">
      <c r="A438" t="s">
        <v>1346</v>
      </c>
      <c r="B438">
        <v>1600567200</v>
      </c>
      <c r="C438" s="23" t="s">
        <v>851</v>
      </c>
      <c r="D438" t="s">
        <v>65</v>
      </c>
      <c r="E438" t="s">
        <v>66</v>
      </c>
      <c r="F438" t="s">
        <v>68</v>
      </c>
      <c r="G438" t="s">
        <v>90</v>
      </c>
      <c r="H438" t="s">
        <v>130</v>
      </c>
      <c r="I438">
        <f>MROUND(Table1[[#This Row],[ProbH]]*100,2)/100</f>
        <v>0.42</v>
      </c>
      <c r="J438">
        <f>1/Table1[[#This Row],[odds_ft_home_team_win]]-Table1[[#This Row],[Margin]]</f>
        <v>0.42863416776460256</v>
      </c>
      <c r="K438">
        <f>1/Table1[[#This Row],[odds_ft_draw]]-Table1[[#This Row],[Margin]]</f>
        <v>0.26394378568291615</v>
      </c>
      <c r="L438">
        <f>1/Table1[[#This Row],[odds_ft_away_team_win]]-Table1[[#This Row],[Margin]]</f>
        <v>0.30742204655248134</v>
      </c>
      <c r="M438">
        <v>11</v>
      </c>
      <c r="N438">
        <v>2</v>
      </c>
      <c r="O438">
        <v>1.8</v>
      </c>
      <c r="P438">
        <v>2.37</v>
      </c>
      <c r="Q438">
        <v>1.35</v>
      </c>
      <c r="R438" t="str" cm="1">
        <f t="array" ref="R4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27</v>
      </c>
      <c r="AA438">
        <v>1</v>
      </c>
      <c r="AB438">
        <v>7</v>
      </c>
      <c r="AC438">
        <v>4</v>
      </c>
      <c r="AD438">
        <v>0</v>
      </c>
      <c r="AE438">
        <v>4</v>
      </c>
      <c r="AF438">
        <v>0</v>
      </c>
      <c r="AG438">
        <v>0</v>
      </c>
      <c r="AH438">
        <v>4</v>
      </c>
      <c r="AI438">
        <v>3</v>
      </c>
      <c r="AJ438">
        <v>1</v>
      </c>
      <c r="AK438">
        <v>14</v>
      </c>
      <c r="AL438">
        <v>15</v>
      </c>
      <c r="AM438">
        <v>3</v>
      </c>
      <c r="AN438">
        <v>5</v>
      </c>
      <c r="AO438">
        <v>11</v>
      </c>
      <c r="AP438">
        <v>10</v>
      </c>
      <c r="AQ438">
        <v>15</v>
      </c>
      <c r="AR438">
        <v>9</v>
      </c>
      <c r="AS438">
        <v>45</v>
      </c>
      <c r="AT438">
        <v>55</v>
      </c>
      <c r="AU438">
        <v>1.3</v>
      </c>
      <c r="AV438">
        <v>1.64</v>
      </c>
      <c r="AW438">
        <v>3</v>
      </c>
      <c r="AX438">
        <v>60</v>
      </c>
      <c r="AY438">
        <v>90</v>
      </c>
      <c r="AZ438">
        <v>60</v>
      </c>
      <c r="BA438">
        <v>50</v>
      </c>
      <c r="BB438">
        <v>0</v>
      </c>
      <c r="BC438">
        <v>30</v>
      </c>
      <c r="BD438">
        <v>60</v>
      </c>
      <c r="BE438">
        <v>60</v>
      </c>
      <c r="BF438">
        <v>90</v>
      </c>
      <c r="BG438">
        <v>9.1999999999999993</v>
      </c>
      <c r="BH438">
        <v>4.8</v>
      </c>
      <c r="BI438">
        <v>2.2000000000000002</v>
      </c>
      <c r="BJ438">
        <v>3.45</v>
      </c>
      <c r="BK438">
        <v>3</v>
      </c>
      <c r="BL438">
        <f>(1/Table1[[#This Row],[odds_ft_home_team_win]]+1/Table1[[#This Row],[odds_ft_draw]]+1/Table1[[#This Row],[odds_ft_away_team_win]]-1)/3</f>
        <v>2.5911286780851972E-2</v>
      </c>
      <c r="BM438">
        <v>1.25</v>
      </c>
      <c r="BN438">
        <v>1.8</v>
      </c>
      <c r="BO438">
        <v>3</v>
      </c>
      <c r="BP438">
        <v>5.6</v>
      </c>
      <c r="BQ438">
        <v>1.65</v>
      </c>
      <c r="BR438">
        <v>2.15</v>
      </c>
      <c r="BS438" t="s">
        <v>116</v>
      </c>
      <c r="BT438">
        <f>VLOOKUP(Table1[[#This Row],[Reference]],metron,8,FALSE)</f>
        <v>1.5780106027030405</v>
      </c>
      <c r="BU438">
        <f>VLOOKUP(Table1[[#This Row],[Reference]],metron,9,FALSE)</f>
        <v>1.1353025412447635</v>
      </c>
      <c r="BV438">
        <f>VLOOKUP(Table1[[#This Row],[Reference]],metron,10,FALSE)</f>
        <v>2.4884649511978703</v>
      </c>
      <c r="BW438">
        <f>VLOOKUP(Table1[[#This Row],[Reference]],metron,11,FALSE)</f>
        <v>1.396960958296362</v>
      </c>
      <c r="BX438">
        <f>VLOOKUP(Table1[[#This Row],[Reference]],metron,12,FALSE)</f>
        <v>1.091503992901508</v>
      </c>
      <c r="BY438" s="6">
        <f>VLOOKUP(Table1[[#This Row],[Reference]],metron,13,FALSE)</f>
        <v>0.60765391014975045</v>
      </c>
      <c r="BZ438" s="6">
        <f>VLOOKUP(Table1[[#This Row],[Reference]],metron,14,FALSE)</f>
        <v>0.47276760953965608</v>
      </c>
      <c r="CA438" s="6">
        <f>VLOOKUP(Table1[[#This Row],[Reference]],metron,15,FALSE)</f>
        <v>12.29504785684561</v>
      </c>
      <c r="CB438" s="6">
        <f>VLOOKUP(Table1[[#This Row],[Reference]],metron,16,FALSE)</f>
        <v>10.047232625884311</v>
      </c>
      <c r="CC438" s="6">
        <f>VLOOKUP(Table1[[#This Row],[Reference]],metron,17,FALSE)</f>
        <v>5.2917192097519967</v>
      </c>
      <c r="CD438" s="6">
        <f>VLOOKUP(Table1[[#This Row],[Reference]],metron,18,FALSE)</f>
        <v>4.2580916351408158</v>
      </c>
      <c r="CE438" s="6">
        <f>VLOOKUP(Table1[[#This Row],[Reference]],metron,19,FALSE)</f>
        <v>7.0033286470936131</v>
      </c>
      <c r="CF438" s="6">
        <f>VLOOKUP(Table1[[#This Row],[Reference]],metron,20,FALSE)</f>
        <v>5.789140990743495</v>
      </c>
      <c r="CG438" s="6">
        <f>VLOOKUP(Table1[[#This Row],[Reference]],metron,21,FALSE)</f>
        <v>12.77041895895049</v>
      </c>
      <c r="CH438" s="6">
        <f>VLOOKUP(Table1[[#This Row],[Reference]],metron,22,FALSE)</f>
        <v>13.411129919593741</v>
      </c>
      <c r="CI438" s="6">
        <f>VLOOKUP(Table1[[#This Row],[Reference]],metron,23,FALSE)</f>
        <v>1.556141062018646</v>
      </c>
      <c r="CJ438" s="6">
        <f>VLOOKUP(Table1[[#This Row],[Reference]],metron,24,FALSE)</f>
        <v>1.9114308877178761</v>
      </c>
      <c r="CK438" s="6">
        <f>VLOOKUP(Table1[[#This Row],[Reference]],metron,25,FALSE)</f>
        <v>8.4920956627482766E-2</v>
      </c>
      <c r="CL438" s="6">
        <f>VLOOKUP(Table1[[#This Row],[Reference]],metron,26,FALSE)</f>
        <v>0.1323469801378192</v>
      </c>
    </row>
    <row r="439" spans="1:90" hidden="1" x14ac:dyDescent="0.45">
      <c r="A439" t="s">
        <v>1346</v>
      </c>
      <c r="B439">
        <v>1600621200</v>
      </c>
      <c r="C439" s="23" t="s">
        <v>852</v>
      </c>
      <c r="D439" t="s">
        <v>65</v>
      </c>
      <c r="E439" t="s">
        <v>66</v>
      </c>
      <c r="F439" t="s">
        <v>79</v>
      </c>
      <c r="G439" t="s">
        <v>73</v>
      </c>
      <c r="H439" t="s">
        <v>133</v>
      </c>
      <c r="I439">
        <f>MROUND(Table1[[#This Row],[ProbH]]*100,2)/100</f>
        <v>0.36</v>
      </c>
      <c r="J439">
        <f>1/Table1[[#This Row],[odds_ft_home_team_win]]-Table1[[#This Row],[Margin]]</f>
        <v>0.36481955100880931</v>
      </c>
      <c r="K439">
        <f>1/Table1[[#This Row],[odds_ft_draw]]-Table1[[#This Row],[Margin]]</f>
        <v>0.26251776072747934</v>
      </c>
      <c r="L439">
        <f>1/Table1[[#This Row],[odds_ft_away_team_win]]-Table1[[#This Row],[Margin]]</f>
        <v>0.37266268826371124</v>
      </c>
      <c r="M439">
        <v>11</v>
      </c>
      <c r="N439">
        <v>2.25</v>
      </c>
      <c r="O439">
        <v>0.33</v>
      </c>
      <c r="P439">
        <v>2</v>
      </c>
      <c r="Q439">
        <v>0.8</v>
      </c>
      <c r="R439" t="str" cm="1">
        <f t="array" ref="R4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9">
        <v>1</v>
      </c>
      <c r="T439">
        <v>2</v>
      </c>
      <c r="U439">
        <v>3</v>
      </c>
      <c r="V439">
        <v>1</v>
      </c>
      <c r="W439">
        <v>0</v>
      </c>
      <c r="X439">
        <v>1</v>
      </c>
      <c r="Y439" t="s">
        <v>650</v>
      </c>
      <c r="Z439" t="s">
        <v>853</v>
      </c>
      <c r="AA439">
        <v>4</v>
      </c>
      <c r="AB439">
        <v>7</v>
      </c>
      <c r="AC439">
        <v>3</v>
      </c>
      <c r="AD439">
        <v>0</v>
      </c>
      <c r="AE439">
        <v>0</v>
      </c>
      <c r="AF439">
        <v>0</v>
      </c>
      <c r="AG439">
        <v>1</v>
      </c>
      <c r="AH439">
        <v>2</v>
      </c>
      <c r="AI439">
        <v>0</v>
      </c>
      <c r="AJ439">
        <v>0</v>
      </c>
      <c r="AK439">
        <v>9</v>
      </c>
      <c r="AL439">
        <v>16</v>
      </c>
      <c r="AM439">
        <v>4</v>
      </c>
      <c r="AN439">
        <v>7</v>
      </c>
      <c r="AO439">
        <v>5</v>
      </c>
      <c r="AP439">
        <v>9</v>
      </c>
      <c r="AQ439">
        <v>10</v>
      </c>
      <c r="AR439">
        <v>11</v>
      </c>
      <c r="AS439">
        <v>54</v>
      </c>
      <c r="AT439">
        <v>46</v>
      </c>
      <c r="AU439">
        <v>1.1100000000000001</v>
      </c>
      <c r="AV439">
        <v>1.84</v>
      </c>
      <c r="AW439">
        <v>2.92</v>
      </c>
      <c r="AX439">
        <v>59</v>
      </c>
      <c r="AY439">
        <v>75</v>
      </c>
      <c r="AZ439">
        <v>50</v>
      </c>
      <c r="BA439">
        <v>42</v>
      </c>
      <c r="BB439">
        <v>25</v>
      </c>
      <c r="BC439">
        <v>42</v>
      </c>
      <c r="BD439">
        <v>67</v>
      </c>
      <c r="BE439">
        <v>50</v>
      </c>
      <c r="BF439">
        <v>100</v>
      </c>
      <c r="BG439">
        <v>8.58</v>
      </c>
      <c r="BH439">
        <v>4.42</v>
      </c>
      <c r="BI439">
        <v>2.5499999999999998</v>
      </c>
      <c r="BJ439">
        <v>3.45</v>
      </c>
      <c r="BK439">
        <v>2.5</v>
      </c>
      <c r="BL439">
        <f>(1/Table1[[#This Row],[odds_ft_home_team_win]]+1/Table1[[#This Row],[odds_ft_draw]]+1/Table1[[#This Row],[odds_ft_away_team_win]]-1)/3</f>
        <v>2.73373117362888E-2</v>
      </c>
      <c r="BM439">
        <v>1.2</v>
      </c>
      <c r="BN439">
        <v>1.67</v>
      </c>
      <c r="BO439">
        <v>2.7</v>
      </c>
      <c r="BP439">
        <v>4.8499999999999996</v>
      </c>
      <c r="BQ439">
        <v>1.56</v>
      </c>
      <c r="BR439">
        <v>2.2999999999999998</v>
      </c>
      <c r="BS439" t="s">
        <v>140</v>
      </c>
      <c r="BT439">
        <f>VLOOKUP(Table1[[#This Row],[Reference]],metron,8,FALSE)</f>
        <v>1.4023864615972674</v>
      </c>
      <c r="BU439">
        <f>VLOOKUP(Table1[[#This Row],[Reference]],metron,9,FALSE)</f>
        <v>1.3093265904245279</v>
      </c>
      <c r="BV439">
        <f>VLOOKUP(Table1[[#This Row],[Reference]],metron,10,FALSE)</f>
        <v>2.5110350525197691</v>
      </c>
      <c r="BW439">
        <f>VLOOKUP(Table1[[#This Row],[Reference]],metron,11,FALSE)</f>
        <v>1.269326094653606</v>
      </c>
      <c r="BX439">
        <f>VLOOKUP(Table1[[#This Row],[Reference]],metron,12,FALSE)</f>
        <v>1.2417089578661631</v>
      </c>
      <c r="BY439" s="6">
        <f>VLOOKUP(Table1[[#This Row],[Reference]],metron,13,FALSE)</f>
        <v>0.56586402266288949</v>
      </c>
      <c r="BZ439" s="6">
        <f>VLOOKUP(Table1[[#This Row],[Reference]],metron,14,FALSE)</f>
        <v>0.55158168083097259</v>
      </c>
      <c r="CA439" s="6">
        <f>VLOOKUP(Table1[[#This Row],[Reference]],metron,15,FALSE)</f>
        <v>11.49400826446281</v>
      </c>
      <c r="CB439" s="6">
        <f>VLOOKUP(Table1[[#This Row],[Reference]],metron,16,FALSE)</f>
        <v>10.507231404958681</v>
      </c>
      <c r="CC439" s="6">
        <f>VLOOKUP(Table1[[#This Row],[Reference]],metron,17,FALSE)</f>
        <v>4.9238790406673623</v>
      </c>
      <c r="CD439" s="6">
        <f>VLOOKUP(Table1[[#This Row],[Reference]],metron,18,FALSE)</f>
        <v>4.6296141814389991</v>
      </c>
      <c r="CE439" s="6">
        <f>VLOOKUP(Table1[[#This Row],[Reference]],metron,19,FALSE)</f>
        <v>6.5701292237954476</v>
      </c>
      <c r="CF439" s="6">
        <f>VLOOKUP(Table1[[#This Row],[Reference]],metron,20,FALSE)</f>
        <v>5.8776172235196817</v>
      </c>
      <c r="CG439" s="6">
        <f>VLOOKUP(Table1[[#This Row],[Reference]],metron,21,FALSE)</f>
        <v>12.798739495798319</v>
      </c>
      <c r="CH439" s="6">
        <f>VLOOKUP(Table1[[#This Row],[Reference]],metron,22,FALSE)</f>
        <v>12.98844537815126</v>
      </c>
      <c r="CI439" s="6">
        <f>VLOOKUP(Table1[[#This Row],[Reference]],metron,23,FALSE)</f>
        <v>1.604928297313674</v>
      </c>
      <c r="CJ439" s="6">
        <f>VLOOKUP(Table1[[#This Row],[Reference]],metron,24,FALSE)</f>
        <v>1.791961219955565</v>
      </c>
      <c r="CK439" s="6">
        <f>VLOOKUP(Table1[[#This Row],[Reference]],metron,25,FALSE)</f>
        <v>8.887093516461321E-2</v>
      </c>
      <c r="CL439" s="6">
        <f>VLOOKUP(Table1[[#This Row],[Reference]],metron,26,FALSE)</f>
        <v>0.11694607150070691</v>
      </c>
    </row>
    <row r="440" spans="1:90" hidden="1" x14ac:dyDescent="0.45">
      <c r="A440" t="s">
        <v>1346</v>
      </c>
      <c r="B440">
        <v>1600646400</v>
      </c>
      <c r="C440" s="23" t="s">
        <v>854</v>
      </c>
      <c r="D440" t="s">
        <v>65</v>
      </c>
      <c r="E440" t="s">
        <v>66</v>
      </c>
      <c r="F440" t="s">
        <v>91</v>
      </c>
      <c r="G440" t="s">
        <v>101</v>
      </c>
      <c r="H440" t="s">
        <v>69</v>
      </c>
      <c r="I440">
        <f>MROUND(Table1[[#This Row],[ProbH]]*100,2)/100</f>
        <v>0.24</v>
      </c>
      <c r="J440">
        <f>1/Table1[[#This Row],[odds_ft_home_team_win]]-Table1[[#This Row],[Margin]]</f>
        <v>0.24517030399383347</v>
      </c>
      <c r="K440">
        <f>1/Table1[[#This Row],[odds_ft_draw]]-Table1[[#This Row],[Margin]]</f>
        <v>0.24517030399383347</v>
      </c>
      <c r="L440">
        <f>1/Table1[[#This Row],[odds_ft_away_team_win]]-Table1[[#This Row],[Margin]]</f>
        <v>0.50965939201233323</v>
      </c>
      <c r="M440">
        <v>11</v>
      </c>
      <c r="N440">
        <v>1</v>
      </c>
      <c r="O440">
        <v>1</v>
      </c>
      <c r="P440">
        <v>1</v>
      </c>
      <c r="Q440">
        <v>1.39</v>
      </c>
      <c r="R440" t="str" cm="1">
        <f t="array" ref="R4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0">
        <v>1</v>
      </c>
      <c r="T440">
        <v>2</v>
      </c>
      <c r="U440">
        <v>3</v>
      </c>
      <c r="V440">
        <v>3</v>
      </c>
      <c r="W440">
        <v>1</v>
      </c>
      <c r="X440">
        <v>2</v>
      </c>
      <c r="Y440">
        <v>31</v>
      </c>
      <c r="Z440" t="s">
        <v>855</v>
      </c>
      <c r="AA440">
        <v>8</v>
      </c>
      <c r="AB440">
        <v>2</v>
      </c>
      <c r="AC440">
        <v>4</v>
      </c>
      <c r="AD440">
        <v>0</v>
      </c>
      <c r="AE440">
        <v>3</v>
      </c>
      <c r="AF440">
        <v>1</v>
      </c>
      <c r="AG440">
        <v>1</v>
      </c>
      <c r="AH440">
        <v>3</v>
      </c>
      <c r="AI440">
        <v>1</v>
      </c>
      <c r="AJ440">
        <v>3</v>
      </c>
      <c r="AK440">
        <v>10</v>
      </c>
      <c r="AL440">
        <v>8</v>
      </c>
      <c r="AM440">
        <v>2</v>
      </c>
      <c r="AN440">
        <v>4</v>
      </c>
      <c r="AO440">
        <v>8</v>
      </c>
      <c r="AP440">
        <v>4</v>
      </c>
      <c r="AQ440">
        <v>16</v>
      </c>
      <c r="AR440">
        <v>12</v>
      </c>
      <c r="AS440">
        <v>64</v>
      </c>
      <c r="AT440">
        <v>36</v>
      </c>
      <c r="AU440">
        <v>0.96</v>
      </c>
      <c r="AV440">
        <v>0.9</v>
      </c>
      <c r="AW440">
        <v>2.6</v>
      </c>
      <c r="AX440">
        <v>90</v>
      </c>
      <c r="AY440">
        <v>90</v>
      </c>
      <c r="AZ440">
        <v>50</v>
      </c>
      <c r="BA440">
        <v>20</v>
      </c>
      <c r="BB440">
        <v>0</v>
      </c>
      <c r="BC440">
        <v>50</v>
      </c>
      <c r="BD440">
        <v>90</v>
      </c>
      <c r="BE440">
        <v>20</v>
      </c>
      <c r="BF440">
        <v>90</v>
      </c>
      <c r="BG440">
        <v>11</v>
      </c>
      <c r="BH440">
        <v>4.5999999999999996</v>
      </c>
      <c r="BI440">
        <v>3.7</v>
      </c>
      <c r="BJ440">
        <v>3.7</v>
      </c>
      <c r="BK440">
        <v>1.87</v>
      </c>
      <c r="BL440">
        <f>(1/Table1[[#This Row],[odds_ft_home_team_win]]+1/Table1[[#This Row],[odds_ft_draw]]+1/Table1[[#This Row],[odds_ft_away_team_win]]-1)/3</f>
        <v>2.5099966276436774E-2</v>
      </c>
      <c r="BM440">
        <v>1.2</v>
      </c>
      <c r="BN440">
        <v>1.67</v>
      </c>
      <c r="BO440">
        <v>2.7</v>
      </c>
      <c r="BP440">
        <v>4.8499999999999996</v>
      </c>
      <c r="BQ440">
        <v>1.61</v>
      </c>
      <c r="BR440">
        <v>2.2000000000000002</v>
      </c>
      <c r="BS440" t="s">
        <v>144</v>
      </c>
      <c r="BT440">
        <f>VLOOKUP(Table1[[#This Row],[Reference]],metron,8,FALSE)</f>
        <v>1.0221684690062811</v>
      </c>
      <c r="BU440">
        <f>VLOOKUP(Table1[[#This Row],[Reference]],metron,9,FALSE)</f>
        <v>1.7036119427882386</v>
      </c>
      <c r="BV440">
        <f>VLOOKUP(Table1[[#This Row],[Reference]],metron,10,FALSE)</f>
        <v>2.6014437689969609</v>
      </c>
      <c r="BW440">
        <f>VLOOKUP(Table1[[#This Row],[Reference]],metron,11,FALSE)</f>
        <v>1.067249240121581</v>
      </c>
      <c r="BX440">
        <f>VLOOKUP(Table1[[#This Row],[Reference]],metron,12,FALSE)</f>
        <v>1.53419452887538</v>
      </c>
      <c r="BY440" s="6">
        <f>VLOOKUP(Table1[[#This Row],[Reference]],metron,13,FALSE)</f>
        <v>0.45589353612167299</v>
      </c>
      <c r="BZ440" s="6">
        <f>VLOOKUP(Table1[[#This Row],[Reference]],metron,14,FALSE)</f>
        <v>0.65133079847908748</v>
      </c>
      <c r="CA440" s="6">
        <f>VLOOKUP(Table1[[#This Row],[Reference]],metron,15,FALSE)</f>
        <v>10.75886524822695</v>
      </c>
      <c r="CB440" s="6">
        <f>VLOOKUP(Table1[[#This Row],[Reference]],metron,16,FALSE)</f>
        <v>12.46679561573179</v>
      </c>
      <c r="CC440" s="6">
        <f>VLOOKUP(Table1[[#This Row],[Reference]],metron,17,FALSE)</f>
        <v>4.1157347204161248</v>
      </c>
      <c r="CD440" s="6">
        <f>VLOOKUP(Table1[[#This Row],[Reference]],metron,18,FALSE)</f>
        <v>5.1072821846553964</v>
      </c>
      <c r="CE440" s="6">
        <f>VLOOKUP(Table1[[#This Row],[Reference]],metron,19,FALSE)</f>
        <v>6.6431305278108255</v>
      </c>
      <c r="CF440" s="6">
        <f>VLOOKUP(Table1[[#This Row],[Reference]],metron,20,FALSE)</f>
        <v>7.3595134310763939</v>
      </c>
      <c r="CG440" s="6">
        <f>VLOOKUP(Table1[[#This Row],[Reference]],metron,21,FALSE)</f>
        <v>13.11140235910878</v>
      </c>
      <c r="CH440" s="6">
        <f>VLOOKUP(Table1[[#This Row],[Reference]],metron,22,FALSE)</f>
        <v>12.93184796854522</v>
      </c>
      <c r="CI440" s="6">
        <f>VLOOKUP(Table1[[#This Row],[Reference]],metron,23,FALSE)</f>
        <v>1.8341677096370459</v>
      </c>
      <c r="CJ440" s="6">
        <f>VLOOKUP(Table1[[#This Row],[Reference]],metron,24,FALSE)</f>
        <v>1.7903629536921151</v>
      </c>
      <c r="CK440" s="6">
        <f>VLOOKUP(Table1[[#This Row],[Reference]],metron,25,FALSE)</f>
        <v>0.1095118898623279</v>
      </c>
      <c r="CL440" s="6">
        <f>VLOOKUP(Table1[[#This Row],[Reference]],metron,26,FALSE)</f>
        <v>9.3241551939924908E-2</v>
      </c>
    </row>
    <row r="441" spans="1:90" hidden="1" x14ac:dyDescent="0.45">
      <c r="A441" t="s">
        <v>1346</v>
      </c>
      <c r="B441">
        <v>1600740000</v>
      </c>
      <c r="C441" s="23" t="s">
        <v>856</v>
      </c>
      <c r="D441" t="s">
        <v>65</v>
      </c>
      <c r="E441" t="s">
        <v>66</v>
      </c>
      <c r="F441" t="s">
        <v>85</v>
      </c>
      <c r="G441" t="s">
        <v>96</v>
      </c>
      <c r="H441" t="s">
        <v>158</v>
      </c>
      <c r="I441">
        <f>MROUND(Table1[[#This Row],[ProbH]]*100,2)/100</f>
        <v>0.57999999999999996</v>
      </c>
      <c r="J441">
        <f>1/Table1[[#This Row],[odds_ft_home_team_win]]-Table1[[#This Row],[Margin]]</f>
        <v>0.57538025685601502</v>
      </c>
      <c r="K441">
        <f>1/Table1[[#This Row],[odds_ft_draw]]-Table1[[#This Row],[Margin]]</f>
        <v>0.23298811805669059</v>
      </c>
      <c r="L441">
        <f>1/Table1[[#This Row],[odds_ft_away_team_win]]-Table1[[#This Row],[Margin]]</f>
        <v>0.19163162508729434</v>
      </c>
      <c r="M441">
        <v>11</v>
      </c>
      <c r="N441">
        <v>2.5</v>
      </c>
      <c r="O441">
        <v>2</v>
      </c>
      <c r="P441">
        <v>2.29</v>
      </c>
      <c r="Q441">
        <v>1.25</v>
      </c>
      <c r="R441" s="9" t="str" cm="1">
        <f t="array" ref="R4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41">
        <v>2</v>
      </c>
      <c r="T441">
        <v>0</v>
      </c>
      <c r="U441">
        <v>2</v>
      </c>
      <c r="V441">
        <v>1</v>
      </c>
      <c r="W441">
        <v>1</v>
      </c>
      <c r="X441">
        <v>0</v>
      </c>
      <c r="Y441" t="s">
        <v>857</v>
      </c>
      <c r="AA441">
        <v>4</v>
      </c>
      <c r="AB441">
        <v>4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2</v>
      </c>
      <c r="AJ441">
        <v>0</v>
      </c>
      <c r="AK441">
        <v>17</v>
      </c>
      <c r="AL441">
        <v>8</v>
      </c>
      <c r="AM441">
        <v>10</v>
      </c>
      <c r="AN441">
        <v>2</v>
      </c>
      <c r="AO441">
        <v>7</v>
      </c>
      <c r="AP441">
        <v>6</v>
      </c>
      <c r="AQ441">
        <v>11</v>
      </c>
      <c r="AR441">
        <v>6</v>
      </c>
      <c r="AS441">
        <v>74</v>
      </c>
      <c r="AT441">
        <v>26</v>
      </c>
      <c r="AU441">
        <v>2.27</v>
      </c>
      <c r="AV441">
        <v>0.87</v>
      </c>
      <c r="AW441">
        <v>2.13</v>
      </c>
      <c r="AX441">
        <v>75</v>
      </c>
      <c r="AY441">
        <v>75</v>
      </c>
      <c r="AZ441">
        <v>50</v>
      </c>
      <c r="BA441">
        <v>0</v>
      </c>
      <c r="BB441">
        <v>0</v>
      </c>
      <c r="BC441">
        <v>13</v>
      </c>
      <c r="BD441">
        <v>63</v>
      </c>
      <c r="BE441">
        <v>50</v>
      </c>
      <c r="BF441">
        <v>75</v>
      </c>
      <c r="BG441">
        <v>8.5</v>
      </c>
      <c r="BH441">
        <v>4.75</v>
      </c>
      <c r="BI441">
        <v>1.67</v>
      </c>
      <c r="BJ441">
        <v>3.9</v>
      </c>
      <c r="BK441">
        <v>4.6500000000000004</v>
      </c>
      <c r="BL441">
        <f>(1/Table1[[#This Row],[odds_ft_home_team_win]]+1/Table1[[#This Row],[odds_ft_draw]]+1/Table1[[#This Row],[odds_ft_away_team_win]]-1)/3</f>
        <v>2.3422138353565842E-2</v>
      </c>
      <c r="BM441">
        <v>1.18</v>
      </c>
      <c r="BN441">
        <v>1.59</v>
      </c>
      <c r="BO441">
        <v>2.5</v>
      </c>
      <c r="BP441">
        <v>4.4000000000000004</v>
      </c>
      <c r="BQ441">
        <v>1.61</v>
      </c>
      <c r="BR441">
        <v>2.2000000000000002</v>
      </c>
      <c r="BS441" t="s">
        <v>128</v>
      </c>
      <c r="BT441">
        <f>VLOOKUP(Table1[[#This Row],[Reference]],metron,8,FALSE)</f>
        <v>2.0230889143600308</v>
      </c>
      <c r="BU441">
        <f>VLOOKUP(Table1[[#This Row],[Reference]],metron,9,FALSE)</f>
        <v>0.72731480520165426</v>
      </c>
      <c r="BV441">
        <f>VLOOKUP(Table1[[#This Row],[Reference]],metron,10,FALSE)</f>
        <v>2.6362999299229148</v>
      </c>
      <c r="BW441">
        <f>VLOOKUP(Table1[[#This Row],[Reference]],metron,11,FALSE)</f>
        <v>1.7619715019855171</v>
      </c>
      <c r="BX441">
        <f>VLOOKUP(Table1[[#This Row],[Reference]],metron,12,FALSE)</f>
        <v>0.87432842793739785</v>
      </c>
      <c r="BY441" s="6">
        <f>VLOOKUP(Table1[[#This Row],[Reference]],metron,13,FALSE)</f>
        <v>0.78411214953271025</v>
      </c>
      <c r="BZ441" s="6">
        <f>VLOOKUP(Table1[[#This Row],[Reference]],metron,14,FALSE)</f>
        <v>0.38060747663551397</v>
      </c>
      <c r="CA441" s="6">
        <f>VLOOKUP(Table1[[#This Row],[Reference]],metron,15,FALSE)</f>
        <v>14.215499378367181</v>
      </c>
      <c r="CB441" s="6">
        <f>VLOOKUP(Table1[[#This Row],[Reference]],metron,16,FALSE)</f>
        <v>8.9523612261806136</v>
      </c>
      <c r="CC441" s="6">
        <f>VLOOKUP(Table1[[#This Row],[Reference]],metron,17,FALSE)</f>
        <v>6.3083121289228163</v>
      </c>
      <c r="CD441" s="6">
        <f>VLOOKUP(Table1[[#This Row],[Reference]],metron,18,FALSE)</f>
        <v>3.7757524374735061</v>
      </c>
      <c r="CE441" s="6">
        <f>VLOOKUP(Table1[[#This Row],[Reference]],metron,19,FALSE)</f>
        <v>7.9071872494443642</v>
      </c>
      <c r="CF441" s="6">
        <f>VLOOKUP(Table1[[#This Row],[Reference]],metron,20,FALSE)</f>
        <v>5.1766087887071075</v>
      </c>
      <c r="CG441" s="6">
        <f>VLOOKUP(Table1[[#This Row],[Reference]],metron,21,FALSE)</f>
        <v>12.634239592183521</v>
      </c>
      <c r="CH441" s="6">
        <f>VLOOKUP(Table1[[#This Row],[Reference]],metron,22,FALSE)</f>
        <v>13.597706032285471</v>
      </c>
      <c r="CI441" s="6">
        <f>VLOOKUP(Table1[[#This Row],[Reference]],metron,23,FALSE)</f>
        <v>1.365400161681487</v>
      </c>
      <c r="CJ441" s="6">
        <f>VLOOKUP(Table1[[#This Row],[Reference]],metron,24,FALSE)</f>
        <v>1.963621665319321</v>
      </c>
      <c r="CK441" s="6">
        <f>VLOOKUP(Table1[[#This Row],[Reference]],metron,25,FALSE)</f>
        <v>7.1544058205335492E-2</v>
      </c>
      <c r="CL441" s="6">
        <f>VLOOKUP(Table1[[#This Row],[Reference]],metron,26,FALSE)</f>
        <v>0.1216653193209378</v>
      </c>
    </row>
    <row r="442" spans="1:90" hidden="1" x14ac:dyDescent="0.45">
      <c r="A442" t="s">
        <v>1346</v>
      </c>
      <c r="B442">
        <v>1600999200</v>
      </c>
      <c r="C442" s="23" t="s">
        <v>858</v>
      </c>
      <c r="D442" t="s">
        <v>65</v>
      </c>
      <c r="E442" t="s">
        <v>66</v>
      </c>
      <c r="F442" t="s">
        <v>84</v>
      </c>
      <c r="G442" t="s">
        <v>79</v>
      </c>
      <c r="H442" t="s">
        <v>130</v>
      </c>
      <c r="I442">
        <f>MROUND(Table1[[#This Row],[ProbH]]*100,2)/100</f>
        <v>0.6</v>
      </c>
      <c r="J442">
        <f>1/Table1[[#This Row],[odds_ft_home_team_win]]-Table1[[#This Row],[Margin]]</f>
        <v>0.60495654120022102</v>
      </c>
      <c r="K442">
        <f>1/Table1[[#This Row],[odds_ft_draw]]-Table1[[#This Row],[Margin]]</f>
        <v>0.22293930383707175</v>
      </c>
      <c r="L442">
        <f>1/Table1[[#This Row],[odds_ft_away_team_win]]-Table1[[#This Row],[Margin]]</f>
        <v>0.1721041549627072</v>
      </c>
      <c r="M442">
        <v>12</v>
      </c>
      <c r="N442">
        <v>1.67</v>
      </c>
      <c r="O442">
        <v>0.67</v>
      </c>
      <c r="P442">
        <v>1.43</v>
      </c>
      <c r="Q442">
        <v>0.55000000000000004</v>
      </c>
      <c r="R442" t="str" cm="1">
        <f t="array" ref="R4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AA442">
        <v>8</v>
      </c>
      <c r="AB442">
        <v>3</v>
      </c>
      <c r="AC442">
        <v>1</v>
      </c>
      <c r="AD442">
        <v>0</v>
      </c>
      <c r="AE442">
        <v>2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19</v>
      </c>
      <c r="AL442">
        <v>9</v>
      </c>
      <c r="AM442">
        <v>3</v>
      </c>
      <c r="AN442">
        <v>4</v>
      </c>
      <c r="AO442">
        <v>16</v>
      </c>
      <c r="AP442">
        <v>5</v>
      </c>
      <c r="AQ442">
        <v>11</v>
      </c>
      <c r="AR442">
        <v>11</v>
      </c>
      <c r="AS442">
        <v>62</v>
      </c>
      <c r="AT442">
        <v>38</v>
      </c>
      <c r="AU442">
        <v>2.0499999999999998</v>
      </c>
      <c r="AV442">
        <v>1.1399999999999999</v>
      </c>
      <c r="AW442">
        <v>3.34</v>
      </c>
      <c r="AX442">
        <v>84</v>
      </c>
      <c r="AY442">
        <v>84</v>
      </c>
      <c r="AZ442">
        <v>67</v>
      </c>
      <c r="BA442">
        <v>42</v>
      </c>
      <c r="BB442">
        <v>25</v>
      </c>
      <c r="BC442">
        <v>67</v>
      </c>
      <c r="BD442">
        <v>84</v>
      </c>
      <c r="BE442">
        <v>50</v>
      </c>
      <c r="BF442">
        <v>75</v>
      </c>
      <c r="BG442">
        <v>10.66</v>
      </c>
      <c r="BH442">
        <v>6.33</v>
      </c>
      <c r="BI442">
        <v>1.59</v>
      </c>
      <c r="BJ442">
        <v>4.05</v>
      </c>
      <c r="BK442">
        <v>5.0999999999999996</v>
      </c>
      <c r="BL442">
        <f>(1/Table1[[#This Row],[odds_ft_home_team_win]]+1/Table1[[#This Row],[odds_ft_draw]]+1/Table1[[#This Row],[odds_ft_away_team_win]]-1)/3</f>
        <v>2.3974276409841844E-2</v>
      </c>
      <c r="BM442">
        <v>1.21</v>
      </c>
      <c r="BN442">
        <v>1.69</v>
      </c>
      <c r="BO442">
        <v>2.75</v>
      </c>
      <c r="BP442">
        <v>5</v>
      </c>
      <c r="BQ442">
        <v>1.71</v>
      </c>
      <c r="BR442">
        <v>2.0499999999999998</v>
      </c>
      <c r="BS442" t="s">
        <v>88</v>
      </c>
      <c r="BT442">
        <f>VLOOKUP(Table1[[#This Row],[Reference]],metron,8,FALSE)</f>
        <v>2.0749792289385525</v>
      </c>
      <c r="BU442">
        <f>VLOOKUP(Table1[[#This Row],[Reference]],metron,9,FALSE)</f>
        <v>0.68220664089703831</v>
      </c>
      <c r="BV442">
        <f>VLOOKUP(Table1[[#This Row],[Reference]],metron,10,FALSE)</f>
        <v>2.7310090702947849</v>
      </c>
      <c r="BW442">
        <f>VLOOKUP(Table1[[#This Row],[Reference]],metron,11,FALSE)</f>
        <v>1.841836734693878</v>
      </c>
      <c r="BX442">
        <f>VLOOKUP(Table1[[#This Row],[Reference]],metron,12,FALSE)</f>
        <v>0.88917233560090703</v>
      </c>
      <c r="BY442" s="6">
        <f>VLOOKUP(Table1[[#This Row],[Reference]],metron,13,FALSE)</f>
        <v>0.804822695035461</v>
      </c>
      <c r="BZ442" s="6">
        <f>VLOOKUP(Table1[[#This Row],[Reference]],metron,14,FALSE)</f>
        <v>0.38099290780141842</v>
      </c>
      <c r="CA442" s="6">
        <f>VLOOKUP(Table1[[#This Row],[Reference]],metron,15,FALSE)</f>
        <v>14.25174825174825</v>
      </c>
      <c r="CB442" s="6">
        <f>VLOOKUP(Table1[[#This Row],[Reference]],metron,16,FALSE)</f>
        <v>8.8316683316683324</v>
      </c>
      <c r="CC442" s="6">
        <f>VLOOKUP(Table1[[#This Row],[Reference]],metron,17,FALSE)</f>
        <v>6.2901265822784813</v>
      </c>
      <c r="CD442" s="6">
        <f>VLOOKUP(Table1[[#This Row],[Reference]],metron,18,FALSE)</f>
        <v>3.6162025316455702</v>
      </c>
      <c r="CE442" s="6">
        <f>VLOOKUP(Table1[[#This Row],[Reference]],metron,19,FALSE)</f>
        <v>7.9616216694697686</v>
      </c>
      <c r="CF442" s="6">
        <f>VLOOKUP(Table1[[#This Row],[Reference]],metron,20,FALSE)</f>
        <v>5.2154658000227627</v>
      </c>
      <c r="CG442" s="6">
        <f>VLOOKUP(Table1[[#This Row],[Reference]],metron,21,FALSE)</f>
        <v>12.444895886236671</v>
      </c>
      <c r="CH442" s="6">
        <f>VLOOKUP(Table1[[#This Row],[Reference]],metron,22,FALSE)</f>
        <v>13.620619603859829</v>
      </c>
      <c r="CI442" s="6">
        <f>VLOOKUP(Table1[[#This Row],[Reference]],metron,23,FALSE)</f>
        <v>1.406084017382907</v>
      </c>
      <c r="CJ442" s="6">
        <f>VLOOKUP(Table1[[#This Row],[Reference]],metron,24,FALSE)</f>
        <v>2.070980202800579</v>
      </c>
      <c r="CK442" s="6">
        <f>VLOOKUP(Table1[[#This Row],[Reference]],metron,25,FALSE)</f>
        <v>6.1323032351521013E-2</v>
      </c>
      <c r="CL442" s="6">
        <f>VLOOKUP(Table1[[#This Row],[Reference]],metron,26,FALSE)</f>
        <v>0.1313375181071946</v>
      </c>
    </row>
    <row r="443" spans="1:90" hidden="1" x14ac:dyDescent="0.45">
      <c r="A443" t="s">
        <v>1346</v>
      </c>
      <c r="B443">
        <v>1601080200</v>
      </c>
      <c r="C443" s="23" t="s">
        <v>859</v>
      </c>
      <c r="D443" t="s">
        <v>65</v>
      </c>
      <c r="E443" t="s">
        <v>66</v>
      </c>
      <c r="F443" t="s">
        <v>102</v>
      </c>
      <c r="G443" t="s">
        <v>67</v>
      </c>
      <c r="H443" t="s">
        <v>80</v>
      </c>
      <c r="I443">
        <f>MROUND(Table1[[#This Row],[ProbH]]*100,2)/100</f>
        <v>0.36</v>
      </c>
      <c r="J443">
        <f>1/Table1[[#This Row],[odds_ft_home_team_win]]-Table1[[#This Row],[Margin]]</f>
        <v>0.35159261513491585</v>
      </c>
      <c r="K443">
        <f>1/Table1[[#This Row],[odds_ft_draw]]-Table1[[#This Row],[Margin]]</f>
        <v>0.2968147697301684</v>
      </c>
      <c r="L443">
        <f>1/Table1[[#This Row],[odds_ft_away_team_win]]-Table1[[#This Row],[Margin]]</f>
        <v>0.35159261513491585</v>
      </c>
      <c r="M443">
        <v>12</v>
      </c>
      <c r="N443">
        <v>1</v>
      </c>
      <c r="O443">
        <v>0.17</v>
      </c>
      <c r="P443">
        <v>1.5</v>
      </c>
      <c r="Q443">
        <v>0.17</v>
      </c>
      <c r="R443" t="str" cm="1">
        <f t="array" ref="R4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3">
        <v>3</v>
      </c>
      <c r="T443">
        <v>3</v>
      </c>
      <c r="U443">
        <v>6</v>
      </c>
      <c r="V443">
        <v>3</v>
      </c>
      <c r="W443">
        <v>1</v>
      </c>
      <c r="X443">
        <v>2</v>
      </c>
      <c r="Y443" t="s">
        <v>860</v>
      </c>
      <c r="Z443" t="s">
        <v>861</v>
      </c>
      <c r="AA443">
        <v>12</v>
      </c>
      <c r="AB443">
        <v>5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16</v>
      </c>
      <c r="AL443">
        <v>15</v>
      </c>
      <c r="AM443">
        <v>7</v>
      </c>
      <c r="AN443">
        <v>6</v>
      </c>
      <c r="AO443">
        <v>9</v>
      </c>
      <c r="AP443">
        <v>9</v>
      </c>
      <c r="AQ443">
        <v>7</v>
      </c>
      <c r="AR443">
        <v>18</v>
      </c>
      <c r="AS443">
        <v>65</v>
      </c>
      <c r="AT443">
        <v>35</v>
      </c>
      <c r="AU443">
        <v>2.06</v>
      </c>
      <c r="AV443">
        <v>1.67</v>
      </c>
      <c r="AW443">
        <v>2.88</v>
      </c>
      <c r="AX443">
        <v>63</v>
      </c>
      <c r="AY443">
        <v>71</v>
      </c>
      <c r="AZ443">
        <v>50</v>
      </c>
      <c r="BA443">
        <v>34</v>
      </c>
      <c r="BB443">
        <v>34</v>
      </c>
      <c r="BC443">
        <v>34</v>
      </c>
      <c r="BD443">
        <v>67</v>
      </c>
      <c r="BE443">
        <v>54</v>
      </c>
      <c r="BF443">
        <v>84</v>
      </c>
      <c r="BG443">
        <v>7</v>
      </c>
      <c r="BH443">
        <v>4.83</v>
      </c>
      <c r="BI443">
        <v>2.65</v>
      </c>
      <c r="BJ443">
        <v>3.1</v>
      </c>
      <c r="BK443">
        <v>2.65</v>
      </c>
      <c r="BL443">
        <f>(1/Table1[[#This Row],[odds_ft_home_team_win]]+1/Table1[[#This Row],[odds_ft_draw]]+1/Table1[[#This Row],[odds_ft_away_team_win]]-1)/3</f>
        <v>2.5765875431121927E-2</v>
      </c>
      <c r="BM443">
        <v>1.35</v>
      </c>
      <c r="BN443">
        <v>2.1</v>
      </c>
      <c r="BO443">
        <v>3.8</v>
      </c>
      <c r="BP443">
        <v>7.25</v>
      </c>
      <c r="BQ443">
        <v>1.83</v>
      </c>
      <c r="BR443">
        <v>1.91</v>
      </c>
      <c r="BS443" t="s">
        <v>124</v>
      </c>
      <c r="BT443">
        <f>VLOOKUP(Table1[[#This Row],[Reference]],metron,8,FALSE)</f>
        <v>1.4023864615972674</v>
      </c>
      <c r="BU443">
        <f>VLOOKUP(Table1[[#This Row],[Reference]],metron,9,FALSE)</f>
        <v>1.3093265904245279</v>
      </c>
      <c r="BV443">
        <f>VLOOKUP(Table1[[#This Row],[Reference]],metron,10,FALSE)</f>
        <v>2.5110350525197691</v>
      </c>
      <c r="BW443">
        <f>VLOOKUP(Table1[[#This Row],[Reference]],metron,11,FALSE)</f>
        <v>1.269326094653606</v>
      </c>
      <c r="BX443">
        <f>VLOOKUP(Table1[[#This Row],[Reference]],metron,12,FALSE)</f>
        <v>1.2417089578661631</v>
      </c>
      <c r="BY443" s="6">
        <f>VLOOKUP(Table1[[#This Row],[Reference]],metron,13,FALSE)</f>
        <v>0.56586402266288949</v>
      </c>
      <c r="BZ443" s="6">
        <f>VLOOKUP(Table1[[#This Row],[Reference]],metron,14,FALSE)</f>
        <v>0.55158168083097259</v>
      </c>
      <c r="CA443" s="6">
        <f>VLOOKUP(Table1[[#This Row],[Reference]],metron,15,FALSE)</f>
        <v>11.49400826446281</v>
      </c>
      <c r="CB443" s="6">
        <f>VLOOKUP(Table1[[#This Row],[Reference]],metron,16,FALSE)</f>
        <v>10.507231404958681</v>
      </c>
      <c r="CC443" s="6">
        <f>VLOOKUP(Table1[[#This Row],[Reference]],metron,17,FALSE)</f>
        <v>4.9238790406673623</v>
      </c>
      <c r="CD443" s="6">
        <f>VLOOKUP(Table1[[#This Row],[Reference]],metron,18,FALSE)</f>
        <v>4.6296141814389991</v>
      </c>
      <c r="CE443" s="6">
        <f>VLOOKUP(Table1[[#This Row],[Reference]],metron,19,FALSE)</f>
        <v>6.5701292237954476</v>
      </c>
      <c r="CF443" s="6">
        <f>VLOOKUP(Table1[[#This Row],[Reference]],metron,20,FALSE)</f>
        <v>5.8776172235196817</v>
      </c>
      <c r="CG443" s="6">
        <f>VLOOKUP(Table1[[#This Row],[Reference]],metron,21,FALSE)</f>
        <v>12.798739495798319</v>
      </c>
      <c r="CH443" s="6">
        <f>VLOOKUP(Table1[[#This Row],[Reference]],metron,22,FALSE)</f>
        <v>12.98844537815126</v>
      </c>
      <c r="CI443" s="6">
        <f>VLOOKUP(Table1[[#This Row],[Reference]],metron,23,FALSE)</f>
        <v>1.604928297313674</v>
      </c>
      <c r="CJ443" s="6">
        <f>VLOOKUP(Table1[[#This Row],[Reference]],metron,24,FALSE)</f>
        <v>1.791961219955565</v>
      </c>
      <c r="CK443" s="6">
        <f>VLOOKUP(Table1[[#This Row],[Reference]],metron,25,FALSE)</f>
        <v>8.887093516461321E-2</v>
      </c>
      <c r="CL443" s="6">
        <f>VLOOKUP(Table1[[#This Row],[Reference]],metron,26,FALSE)</f>
        <v>0.11694607150070691</v>
      </c>
    </row>
    <row r="444" spans="1:90" hidden="1" x14ac:dyDescent="0.45">
      <c r="A444" t="s">
        <v>1346</v>
      </c>
      <c r="B444">
        <v>1601087400</v>
      </c>
      <c r="C444" s="23" t="s">
        <v>862</v>
      </c>
      <c r="D444" t="s">
        <v>65</v>
      </c>
      <c r="E444" t="s">
        <v>66</v>
      </c>
      <c r="F444" t="s">
        <v>78</v>
      </c>
      <c r="G444" t="s">
        <v>97</v>
      </c>
      <c r="H444" t="s">
        <v>158</v>
      </c>
      <c r="I444">
        <f>MROUND(Table1[[#This Row],[ProbH]]*100,2)/100</f>
        <v>0.4</v>
      </c>
      <c r="J444">
        <f>1/Table1[[#This Row],[odds_ft_home_team_win]]-Table1[[#This Row],[Margin]]</f>
        <v>0.39247311827956993</v>
      </c>
      <c r="K444">
        <f>1/Table1[[#This Row],[odds_ft_draw]]-Table1[[#This Row],[Margin]]</f>
        <v>0.29838709677419356</v>
      </c>
      <c r="L444">
        <f>1/Table1[[#This Row],[odds_ft_away_team_win]]-Table1[[#This Row],[Margin]]</f>
        <v>0.30913978494623656</v>
      </c>
      <c r="M444">
        <v>12</v>
      </c>
      <c r="N444">
        <v>1.6</v>
      </c>
      <c r="O444">
        <v>0.6</v>
      </c>
      <c r="P444">
        <v>1.41</v>
      </c>
      <c r="Q444">
        <v>1.06</v>
      </c>
      <c r="R444" s="9" t="str" cm="1">
        <f t="array" ref="R4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1</v>
      </c>
      <c r="Z444">
        <v>10</v>
      </c>
      <c r="AA444">
        <v>9</v>
      </c>
      <c r="AB444">
        <v>2</v>
      </c>
      <c r="AC444">
        <v>1</v>
      </c>
      <c r="AD444">
        <v>0</v>
      </c>
      <c r="AE444">
        <v>2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12</v>
      </c>
      <c r="AL444">
        <v>4</v>
      </c>
      <c r="AM444">
        <v>2</v>
      </c>
      <c r="AN444">
        <v>3</v>
      </c>
      <c r="AO444">
        <v>10</v>
      </c>
      <c r="AP444">
        <v>1</v>
      </c>
      <c r="AQ444">
        <v>9</v>
      </c>
      <c r="AR444">
        <v>16</v>
      </c>
      <c r="AS444">
        <v>60</v>
      </c>
      <c r="AT444">
        <v>40</v>
      </c>
      <c r="AU444">
        <v>1.27</v>
      </c>
      <c r="AV444">
        <v>0.67</v>
      </c>
      <c r="AW444">
        <v>1.7</v>
      </c>
      <c r="AX444">
        <v>50</v>
      </c>
      <c r="AY444">
        <v>60</v>
      </c>
      <c r="AZ444">
        <v>20</v>
      </c>
      <c r="BA444">
        <v>10</v>
      </c>
      <c r="BB444">
        <v>0</v>
      </c>
      <c r="BC444">
        <v>30</v>
      </c>
      <c r="BD444">
        <v>40</v>
      </c>
      <c r="BE444">
        <v>40</v>
      </c>
      <c r="BF444">
        <v>50</v>
      </c>
      <c r="BG444">
        <v>9</v>
      </c>
      <c r="BH444">
        <v>5.6</v>
      </c>
      <c r="BI444">
        <v>2.4</v>
      </c>
      <c r="BJ444">
        <v>3.1</v>
      </c>
      <c r="BK444">
        <v>3</v>
      </c>
      <c r="BL444">
        <f>(1/Table1[[#This Row],[odds_ft_home_team_win]]+1/Table1[[#This Row],[odds_ft_draw]]+1/Table1[[#This Row],[odds_ft_away_team_win]]-1)/3</f>
        <v>2.4193548387096753E-2</v>
      </c>
      <c r="BM444">
        <v>1.36</v>
      </c>
      <c r="BN444">
        <v>2.1</v>
      </c>
      <c r="BO444">
        <v>3.9</v>
      </c>
      <c r="BP444">
        <v>7.5</v>
      </c>
      <c r="BQ444">
        <v>1.83</v>
      </c>
      <c r="BR444">
        <v>1.91</v>
      </c>
      <c r="BS444" t="s">
        <v>82</v>
      </c>
      <c r="BT444">
        <f>VLOOKUP(Table1[[#This Row],[Reference]],metron,8,FALSE)</f>
        <v>1.5181603563290151</v>
      </c>
      <c r="BU444">
        <f>VLOOKUP(Table1[[#This Row],[Reference]],metron,9,FALSE)</f>
        <v>1.1952730370775513</v>
      </c>
      <c r="BV444">
        <f>VLOOKUP(Table1[[#This Row],[Reference]],metron,10,FALSE)</f>
        <v>2.4956155335383219</v>
      </c>
      <c r="BW444">
        <f>VLOOKUP(Table1[[#This Row],[Reference]],metron,11,FALSE)</f>
        <v>1.344038264434575</v>
      </c>
      <c r="BX444">
        <f>VLOOKUP(Table1[[#This Row],[Reference]],metron,12,FALSE)</f>
        <v>1.1515772691037469</v>
      </c>
      <c r="BY444" s="6">
        <f>VLOOKUP(Table1[[#This Row],[Reference]],metron,13,FALSE)</f>
        <v>0.59936225942375587</v>
      </c>
      <c r="BZ444" s="6">
        <f>VLOOKUP(Table1[[#This Row],[Reference]],metron,14,FALSE)</f>
        <v>0.50723152260562576</v>
      </c>
      <c r="CA444" s="6">
        <f>VLOOKUP(Table1[[#This Row],[Reference]],metron,15,FALSE)</f>
        <v>11.99278846153846</v>
      </c>
      <c r="CB444" s="6">
        <f>VLOOKUP(Table1[[#This Row],[Reference]],metron,16,FALSE)</f>
        <v>10.0277534965035</v>
      </c>
      <c r="CC444" s="6">
        <f>VLOOKUP(Table1[[#This Row],[Reference]],metron,17,FALSE)</f>
        <v>5.2857459543338514</v>
      </c>
      <c r="CD444" s="6">
        <f>VLOOKUP(Table1[[#This Row],[Reference]],metron,18,FALSE)</f>
        <v>4.4067834183107957</v>
      </c>
      <c r="CE444" s="6">
        <f>VLOOKUP(Table1[[#This Row],[Reference]],metron,19,FALSE)</f>
        <v>6.7070425072046085</v>
      </c>
      <c r="CF444" s="6">
        <f>VLOOKUP(Table1[[#This Row],[Reference]],metron,20,FALSE)</f>
        <v>5.6209700781927046</v>
      </c>
      <c r="CG444" s="6">
        <f>VLOOKUP(Table1[[#This Row],[Reference]],metron,21,FALSE)</f>
        <v>13.04463690872752</v>
      </c>
      <c r="CH444" s="6">
        <f>VLOOKUP(Table1[[#This Row],[Reference]],metron,22,FALSE)</f>
        <v>13.49811236953142</v>
      </c>
      <c r="CI444" s="6">
        <f>VLOOKUP(Table1[[#This Row],[Reference]],metron,23,FALSE)</f>
        <v>1.5836526181353769</v>
      </c>
      <c r="CJ444" s="6">
        <f>VLOOKUP(Table1[[#This Row],[Reference]],metron,24,FALSE)</f>
        <v>1.8744146445295871</v>
      </c>
      <c r="CK444" s="6">
        <f>VLOOKUP(Table1[[#This Row],[Reference]],metron,25,FALSE)</f>
        <v>8.5994040017028525E-2</v>
      </c>
      <c r="CL444" s="6">
        <f>VLOOKUP(Table1[[#This Row],[Reference]],metron,26,FALSE)</f>
        <v>0.13452532992762881</v>
      </c>
    </row>
    <row r="445" spans="1:90" hidden="1" x14ac:dyDescent="0.45">
      <c r="A445" t="s">
        <v>1346</v>
      </c>
      <c r="B445">
        <v>1601157600</v>
      </c>
      <c r="C445" s="23" t="s">
        <v>863</v>
      </c>
      <c r="D445" t="s">
        <v>65</v>
      </c>
      <c r="E445" t="s">
        <v>66</v>
      </c>
      <c r="F445" t="s">
        <v>90</v>
      </c>
      <c r="G445" t="s">
        <v>113</v>
      </c>
      <c r="H445" t="s">
        <v>133</v>
      </c>
      <c r="I445">
        <f>MROUND(Table1[[#This Row],[ProbH]]*100,2)/100</f>
        <v>0.54</v>
      </c>
      <c r="J445">
        <f>1/Table1[[#This Row],[odds_ft_home_team_win]]-Table1[[#This Row],[Margin]]</f>
        <v>0.54205935327134125</v>
      </c>
      <c r="K445">
        <f>1/Table1[[#This Row],[odds_ft_draw]]-Table1[[#This Row],[Margin]]</f>
        <v>0.27652467119041635</v>
      </c>
      <c r="L445">
        <f>1/Table1[[#This Row],[odds_ft_away_team_win]]-Table1[[#This Row],[Margin]]</f>
        <v>0.18141597553824246</v>
      </c>
      <c r="M445">
        <v>12</v>
      </c>
      <c r="N445">
        <v>1.2</v>
      </c>
      <c r="O445">
        <v>0.4</v>
      </c>
      <c r="P445">
        <v>1.6</v>
      </c>
      <c r="Q445">
        <v>0.65</v>
      </c>
      <c r="R445" t="str" cm="1">
        <f t="array" ref="R4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45">
        <v>2</v>
      </c>
      <c r="T445">
        <v>1</v>
      </c>
      <c r="U445">
        <v>3</v>
      </c>
      <c r="V445">
        <v>3</v>
      </c>
      <c r="W445">
        <v>2</v>
      </c>
      <c r="X445">
        <v>1</v>
      </c>
      <c r="Y445" t="s">
        <v>864</v>
      </c>
      <c r="Z445">
        <v>4</v>
      </c>
      <c r="AA445">
        <v>6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0</v>
      </c>
      <c r="AI445">
        <v>2</v>
      </c>
      <c r="AJ445">
        <v>0</v>
      </c>
      <c r="AK445">
        <v>16</v>
      </c>
      <c r="AL445">
        <v>5</v>
      </c>
      <c r="AM445">
        <v>6</v>
      </c>
      <c r="AN445">
        <v>2</v>
      </c>
      <c r="AO445">
        <v>10</v>
      </c>
      <c r="AP445">
        <v>3</v>
      </c>
      <c r="AQ445">
        <v>16</v>
      </c>
      <c r="AR445">
        <v>11</v>
      </c>
      <c r="AS445">
        <v>63</v>
      </c>
      <c r="AT445">
        <v>37</v>
      </c>
      <c r="AU445">
        <v>1.77</v>
      </c>
      <c r="AV445">
        <v>0.65</v>
      </c>
      <c r="AW445">
        <v>2.2000000000000002</v>
      </c>
      <c r="AX445">
        <v>60</v>
      </c>
      <c r="AY445">
        <v>60</v>
      </c>
      <c r="AZ445">
        <v>30</v>
      </c>
      <c r="BA445">
        <v>20</v>
      </c>
      <c r="BB445">
        <v>10</v>
      </c>
      <c r="BC445">
        <v>10</v>
      </c>
      <c r="BD445">
        <v>30</v>
      </c>
      <c r="BE445">
        <v>50</v>
      </c>
      <c r="BF445">
        <v>70</v>
      </c>
      <c r="BG445">
        <v>7</v>
      </c>
      <c r="BH445">
        <v>4</v>
      </c>
      <c r="BI445">
        <v>1.73</v>
      </c>
      <c r="BJ445">
        <v>3.2</v>
      </c>
      <c r="BK445">
        <v>4.5999999999999996</v>
      </c>
      <c r="BL445">
        <f>(1/Table1[[#This Row],[odds_ft_home_team_win]]+1/Table1[[#This Row],[odds_ft_draw]]+1/Table1[[#This Row],[odds_ft_away_team_win]]-1)/3</f>
        <v>3.5975328809583651E-2</v>
      </c>
      <c r="BM445">
        <v>0</v>
      </c>
      <c r="BN445">
        <v>2.15</v>
      </c>
      <c r="BO445">
        <v>0</v>
      </c>
      <c r="BP445">
        <v>0</v>
      </c>
      <c r="BQ445">
        <v>0</v>
      </c>
      <c r="BR445">
        <v>0</v>
      </c>
      <c r="BS445" t="s">
        <v>94</v>
      </c>
      <c r="BT445">
        <f>VLOOKUP(Table1[[#This Row],[Reference]],metron,8,FALSE)</f>
        <v>1.915666026436746</v>
      </c>
      <c r="BU445">
        <f>VLOOKUP(Table1[[#This Row],[Reference]],metron,9,FALSE)</f>
        <v>0.82283834599204153</v>
      </c>
      <c r="BV445">
        <f>VLOOKUP(Table1[[#This Row],[Reference]],metron,10,FALSE)</f>
        <v>2.6359702267612941</v>
      </c>
      <c r="BW445">
        <f>VLOOKUP(Table1[[#This Row],[Reference]],metron,11,FALSE)</f>
        <v>1.684957590444867</v>
      </c>
      <c r="BX445">
        <f>VLOOKUP(Table1[[#This Row],[Reference]],metron,12,FALSE)</f>
        <v>0.95101263631642718</v>
      </c>
      <c r="BY445" s="6">
        <f>VLOOKUP(Table1[[#This Row],[Reference]],metron,13,FALSE)</f>
        <v>0.72650164445213783</v>
      </c>
      <c r="BZ445" s="6">
        <f>VLOOKUP(Table1[[#This Row],[Reference]],metron,14,FALSE)</f>
        <v>0.42097974727367138</v>
      </c>
      <c r="CA445" s="6">
        <f>VLOOKUP(Table1[[#This Row],[Reference]],metron,15,FALSE)</f>
        <v>13.338806970509379</v>
      </c>
      <c r="CB445" s="6">
        <f>VLOOKUP(Table1[[#This Row],[Reference]],metron,16,FALSE)</f>
        <v>9.2530160857908843</v>
      </c>
      <c r="CC445" s="6">
        <f>VLOOKUP(Table1[[#This Row],[Reference]],metron,17,FALSE)</f>
        <v>5.9915081521739131</v>
      </c>
      <c r="CD445" s="6">
        <f>VLOOKUP(Table1[[#This Row],[Reference]],metron,18,FALSE)</f>
        <v>3.9772418478260869</v>
      </c>
      <c r="CE445" s="6">
        <f>VLOOKUP(Table1[[#This Row],[Reference]],metron,19,FALSE)</f>
        <v>7.3472988183354664</v>
      </c>
      <c r="CF445" s="6">
        <f>VLOOKUP(Table1[[#This Row],[Reference]],metron,20,FALSE)</f>
        <v>5.2757742379647974</v>
      </c>
      <c r="CG445" s="6">
        <f>VLOOKUP(Table1[[#This Row],[Reference]],metron,21,FALSE)</f>
        <v>12.59428182437032</v>
      </c>
      <c r="CH445" s="6">
        <f>VLOOKUP(Table1[[#This Row],[Reference]],metron,22,FALSE)</f>
        <v>13.577944179714089</v>
      </c>
      <c r="CI445" s="6">
        <f>VLOOKUP(Table1[[#This Row],[Reference]],metron,23,FALSE)</f>
        <v>1.4276913099870301</v>
      </c>
      <c r="CJ445" s="6">
        <f>VLOOKUP(Table1[[#This Row],[Reference]],metron,24,FALSE)</f>
        <v>1.940985732814527</v>
      </c>
      <c r="CK445" s="6">
        <f>VLOOKUP(Table1[[#This Row],[Reference]],metron,25,FALSE)</f>
        <v>8.0739299610894946E-2</v>
      </c>
      <c r="CL445" s="6">
        <f>VLOOKUP(Table1[[#This Row],[Reference]],metron,26,FALSE)</f>
        <v>0.12743190661478601</v>
      </c>
    </row>
    <row r="446" spans="1:90" hidden="1" x14ac:dyDescent="0.45">
      <c r="A446" t="s">
        <v>1346</v>
      </c>
      <c r="B446">
        <v>1601164800</v>
      </c>
      <c r="C446" s="23" t="s">
        <v>865</v>
      </c>
      <c r="D446" t="s">
        <v>65</v>
      </c>
      <c r="E446" t="s">
        <v>66</v>
      </c>
      <c r="F446" t="s">
        <v>96</v>
      </c>
      <c r="G446" t="s">
        <v>72</v>
      </c>
      <c r="H446" t="s">
        <v>122</v>
      </c>
      <c r="I446">
        <f>MROUND(Table1[[#This Row],[ProbH]]*100,2)/100</f>
        <v>0.46</v>
      </c>
      <c r="J446">
        <f>1/Table1[[#This Row],[odds_ft_home_team_win]]-Table1[[#This Row],[Margin]]</f>
        <v>0.4510768313585215</v>
      </c>
      <c r="K446">
        <f>1/Table1[[#This Row],[odds_ft_draw]]-Table1[[#This Row],[Margin]]</f>
        <v>0.25657649601311577</v>
      </c>
      <c r="L446">
        <f>1/Table1[[#This Row],[odds_ft_away_team_win]]-Table1[[#This Row],[Margin]]</f>
        <v>0.29234667262836278</v>
      </c>
      <c r="M446">
        <v>12</v>
      </c>
      <c r="N446">
        <v>2.33</v>
      </c>
      <c r="O446">
        <v>0.25</v>
      </c>
      <c r="P446">
        <v>1.65</v>
      </c>
      <c r="Q446">
        <v>0.72</v>
      </c>
      <c r="R446" t="str" cm="1">
        <f t="array" ref="R4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6">
        <v>1</v>
      </c>
      <c r="T446">
        <v>1</v>
      </c>
      <c r="U446">
        <v>2</v>
      </c>
      <c r="V446">
        <v>1</v>
      </c>
      <c r="W446">
        <v>0</v>
      </c>
      <c r="X446">
        <v>1</v>
      </c>
      <c r="Y446">
        <v>74</v>
      </c>
      <c r="Z446">
        <v>16</v>
      </c>
      <c r="AA446">
        <v>9</v>
      </c>
      <c r="AB446">
        <v>3</v>
      </c>
      <c r="AC446">
        <v>2</v>
      </c>
      <c r="AD446">
        <v>1</v>
      </c>
      <c r="AE446">
        <v>4</v>
      </c>
      <c r="AF446">
        <v>0</v>
      </c>
      <c r="AG446">
        <v>1</v>
      </c>
      <c r="AH446">
        <v>2</v>
      </c>
      <c r="AI446">
        <v>1</v>
      </c>
      <c r="AJ446">
        <v>3</v>
      </c>
      <c r="AK446">
        <v>15</v>
      </c>
      <c r="AL446">
        <v>12</v>
      </c>
      <c r="AM446">
        <v>5</v>
      </c>
      <c r="AN446">
        <v>4</v>
      </c>
      <c r="AO446">
        <v>10</v>
      </c>
      <c r="AP446">
        <v>8</v>
      </c>
      <c r="AQ446">
        <v>13</v>
      </c>
      <c r="AR446">
        <v>16</v>
      </c>
      <c r="AS446">
        <v>43</v>
      </c>
      <c r="AT446">
        <v>57</v>
      </c>
      <c r="AU446">
        <v>1.61</v>
      </c>
      <c r="AV446">
        <v>1.17</v>
      </c>
      <c r="AW446">
        <v>2.79</v>
      </c>
      <c r="AX446">
        <v>59</v>
      </c>
      <c r="AY446">
        <v>88</v>
      </c>
      <c r="AZ446">
        <v>59</v>
      </c>
      <c r="BA446">
        <v>17</v>
      </c>
      <c r="BB446">
        <v>17</v>
      </c>
      <c r="BC446">
        <v>9</v>
      </c>
      <c r="BD446">
        <v>67</v>
      </c>
      <c r="BE446">
        <v>79</v>
      </c>
      <c r="BF446">
        <v>100</v>
      </c>
      <c r="BG446">
        <v>9.92</v>
      </c>
      <c r="BH446">
        <v>4.92</v>
      </c>
      <c r="BI446">
        <v>2.1</v>
      </c>
      <c r="BJ446">
        <v>3.55</v>
      </c>
      <c r="BK446">
        <v>3.15</v>
      </c>
      <c r="BL446">
        <f>(1/Table1[[#This Row],[odds_ft_home_team_win]]+1/Table1[[#This Row],[odds_ft_draw]]+1/Table1[[#This Row],[odds_ft_away_team_win]]-1)/3</f>
        <v>2.5113644831954662E-2</v>
      </c>
      <c r="BM446">
        <v>1.22</v>
      </c>
      <c r="BN446">
        <v>1.71</v>
      </c>
      <c r="BO446">
        <v>2.8</v>
      </c>
      <c r="BP446">
        <v>5.0999999999999996</v>
      </c>
      <c r="BQ446">
        <v>1.61</v>
      </c>
      <c r="BR446">
        <v>2.2000000000000002</v>
      </c>
      <c r="BS446" t="s">
        <v>99</v>
      </c>
      <c r="BT446">
        <f>VLOOKUP(Table1[[#This Row],[Reference]],metron,8,FALSE)</f>
        <v>1.6955772349985931</v>
      </c>
      <c r="BU446">
        <f>VLOOKUP(Table1[[#This Row],[Reference]],metron,9,FALSE)</f>
        <v>1.0239029519551039</v>
      </c>
      <c r="BV446">
        <f>VLOOKUP(Table1[[#This Row],[Reference]],metron,10,FALSE)</f>
        <v>2.5405629139072849</v>
      </c>
      <c r="BW446">
        <f>VLOOKUP(Table1[[#This Row],[Reference]],metron,11,FALSE)</f>
        <v>1.4888836329233679</v>
      </c>
      <c r="BX446">
        <f>VLOOKUP(Table1[[#This Row],[Reference]],metron,12,FALSE)</f>
        <v>1.0516792809839171</v>
      </c>
      <c r="BY446" s="6">
        <f>VLOOKUP(Table1[[#This Row],[Reference]],metron,13,FALSE)</f>
        <v>0.64581362346263005</v>
      </c>
      <c r="BZ446" s="6">
        <f>VLOOKUP(Table1[[#This Row],[Reference]],metron,14,FALSE)</f>
        <v>0.45364238410596031</v>
      </c>
      <c r="CA446" s="6">
        <f>VLOOKUP(Table1[[#This Row],[Reference]],metron,15,FALSE)</f>
        <v>12.686892177589851</v>
      </c>
      <c r="CB446" s="6">
        <f>VLOOKUP(Table1[[#This Row],[Reference]],metron,16,FALSE)</f>
        <v>9.8059196617336148</v>
      </c>
      <c r="CC446" s="6">
        <f>VLOOKUP(Table1[[#This Row],[Reference]],metron,17,FALSE)</f>
        <v>5.3198121263877027</v>
      </c>
      <c r="CD446" s="6">
        <f>VLOOKUP(Table1[[#This Row],[Reference]],metron,18,FALSE)</f>
        <v>4.0954312553373189</v>
      </c>
      <c r="CE446" s="6">
        <f>VLOOKUP(Table1[[#This Row],[Reference]],metron,19,FALSE)</f>
        <v>7.3670800512021479</v>
      </c>
      <c r="CF446" s="6">
        <f>VLOOKUP(Table1[[#This Row],[Reference]],metron,20,FALSE)</f>
        <v>5.710488406396296</v>
      </c>
      <c r="CG446" s="6">
        <f>VLOOKUP(Table1[[#This Row],[Reference]],metron,21,FALSE)</f>
        <v>13.0488908033599</v>
      </c>
      <c r="CH446" s="6">
        <f>VLOOKUP(Table1[[#This Row],[Reference]],metron,22,FALSE)</f>
        <v>13.714839543398661</v>
      </c>
      <c r="CI446" s="6">
        <f>VLOOKUP(Table1[[#This Row],[Reference]],metron,23,FALSE)</f>
        <v>1.567523459812322</v>
      </c>
      <c r="CJ446" s="6">
        <f>VLOOKUP(Table1[[#This Row],[Reference]],metron,24,FALSE)</f>
        <v>1.951040391676867</v>
      </c>
      <c r="CK446" s="6">
        <f>VLOOKUP(Table1[[#This Row],[Reference]],metron,25,FALSE)</f>
        <v>8.3027335781313744E-2</v>
      </c>
      <c r="CL446" s="6">
        <f>VLOOKUP(Table1[[#This Row],[Reference]],metron,26,FALSE)</f>
        <v>0.13117095063239501</v>
      </c>
    </row>
    <row r="447" spans="1:90" hidden="1" x14ac:dyDescent="0.45">
      <c r="A447" t="s">
        <v>1346</v>
      </c>
      <c r="B447">
        <v>1601172360</v>
      </c>
      <c r="C447" s="23" t="s">
        <v>866</v>
      </c>
      <c r="D447" t="s">
        <v>65</v>
      </c>
      <c r="E447" t="s">
        <v>66</v>
      </c>
      <c r="F447" t="s">
        <v>101</v>
      </c>
      <c r="G447" t="s">
        <v>107</v>
      </c>
      <c r="H447" t="s">
        <v>103</v>
      </c>
      <c r="I447">
        <f>MROUND(Table1[[#This Row],[ProbH]]*100,2)/100</f>
        <v>0.4</v>
      </c>
      <c r="J447">
        <f>1/Table1[[#This Row],[odds_ft_home_team_win]]-Table1[[#This Row],[Margin]]</f>
        <v>0.4087433894992803</v>
      </c>
      <c r="K447">
        <f>1/Table1[[#This Row],[odds_ft_draw]]-Table1[[#This Row],[Margin]]</f>
        <v>0.27246824349019522</v>
      </c>
      <c r="L447">
        <f>1/Table1[[#This Row],[odds_ft_away_team_win]]-Table1[[#This Row],[Margin]]</f>
        <v>0.31878836701052465</v>
      </c>
      <c r="M447">
        <v>12</v>
      </c>
      <c r="N447">
        <v>1.8</v>
      </c>
      <c r="O447">
        <v>1.2</v>
      </c>
      <c r="P447">
        <v>1.79</v>
      </c>
      <c r="Q447">
        <v>1.47</v>
      </c>
      <c r="R447" t="str" cm="1">
        <f t="array" ref="R4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7">
        <v>0</v>
      </c>
      <c r="T447">
        <v>2</v>
      </c>
      <c r="U447">
        <v>2</v>
      </c>
      <c r="V447">
        <v>1</v>
      </c>
      <c r="W447">
        <v>0</v>
      </c>
      <c r="X447">
        <v>1</v>
      </c>
      <c r="Z447" t="s">
        <v>867</v>
      </c>
      <c r="AA447">
        <v>5</v>
      </c>
      <c r="AB447">
        <v>2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19</v>
      </c>
      <c r="AL447">
        <v>6</v>
      </c>
      <c r="AM447">
        <v>3</v>
      </c>
      <c r="AN447">
        <v>4</v>
      </c>
      <c r="AO447">
        <v>16</v>
      </c>
      <c r="AP447">
        <v>2</v>
      </c>
      <c r="AQ447">
        <v>15</v>
      </c>
      <c r="AR447">
        <v>8</v>
      </c>
      <c r="AS447">
        <v>52</v>
      </c>
      <c r="AT447">
        <v>48</v>
      </c>
      <c r="AU447">
        <v>1.68</v>
      </c>
      <c r="AV447">
        <v>0.77</v>
      </c>
      <c r="AW447">
        <v>2.7</v>
      </c>
      <c r="AX447">
        <v>80</v>
      </c>
      <c r="AY447">
        <v>90</v>
      </c>
      <c r="AZ447">
        <v>50</v>
      </c>
      <c r="BA447">
        <v>30</v>
      </c>
      <c r="BB447">
        <v>10</v>
      </c>
      <c r="BC447">
        <v>40</v>
      </c>
      <c r="BD447">
        <v>60</v>
      </c>
      <c r="BE447">
        <v>70</v>
      </c>
      <c r="BF447">
        <v>90</v>
      </c>
      <c r="BG447">
        <v>13.4</v>
      </c>
      <c r="BH447">
        <v>5</v>
      </c>
      <c r="BI447">
        <v>2.2999999999999998</v>
      </c>
      <c r="BJ447">
        <v>3.35</v>
      </c>
      <c r="BK447">
        <v>2.9</v>
      </c>
      <c r="BL447">
        <f>(1/Table1[[#This Row],[odds_ft_home_team_win]]+1/Table1[[#This Row],[odds_ft_draw]]+1/Table1[[#This Row],[odds_ft_away_team_win]]-1)/3</f>
        <v>2.6039219196371938E-2</v>
      </c>
      <c r="BM447">
        <v>1.25</v>
      </c>
      <c r="BN447">
        <v>1.71</v>
      </c>
      <c r="BO447">
        <v>3</v>
      </c>
      <c r="BP447">
        <v>5.6</v>
      </c>
      <c r="BQ447">
        <v>1.62</v>
      </c>
      <c r="BR447">
        <v>2.15</v>
      </c>
      <c r="BS447" t="s">
        <v>713</v>
      </c>
      <c r="BT447">
        <f>VLOOKUP(Table1[[#This Row],[Reference]],metron,8,FALSE)</f>
        <v>1.5181603563290151</v>
      </c>
      <c r="BU447">
        <f>VLOOKUP(Table1[[#This Row],[Reference]],metron,9,FALSE)</f>
        <v>1.1952730370775513</v>
      </c>
      <c r="BV447">
        <f>VLOOKUP(Table1[[#This Row],[Reference]],metron,10,FALSE)</f>
        <v>2.4956155335383219</v>
      </c>
      <c r="BW447">
        <f>VLOOKUP(Table1[[#This Row],[Reference]],metron,11,FALSE)</f>
        <v>1.344038264434575</v>
      </c>
      <c r="BX447">
        <f>VLOOKUP(Table1[[#This Row],[Reference]],metron,12,FALSE)</f>
        <v>1.1515772691037469</v>
      </c>
      <c r="BY447" s="6">
        <f>VLOOKUP(Table1[[#This Row],[Reference]],metron,13,FALSE)</f>
        <v>0.59936225942375587</v>
      </c>
      <c r="BZ447" s="6">
        <f>VLOOKUP(Table1[[#This Row],[Reference]],metron,14,FALSE)</f>
        <v>0.50723152260562576</v>
      </c>
      <c r="CA447" s="6">
        <f>VLOOKUP(Table1[[#This Row],[Reference]],metron,15,FALSE)</f>
        <v>11.99278846153846</v>
      </c>
      <c r="CB447" s="6">
        <f>VLOOKUP(Table1[[#This Row],[Reference]],metron,16,FALSE)</f>
        <v>10.0277534965035</v>
      </c>
      <c r="CC447" s="6">
        <f>VLOOKUP(Table1[[#This Row],[Reference]],metron,17,FALSE)</f>
        <v>5.2857459543338514</v>
      </c>
      <c r="CD447" s="6">
        <f>VLOOKUP(Table1[[#This Row],[Reference]],metron,18,FALSE)</f>
        <v>4.4067834183107957</v>
      </c>
      <c r="CE447" s="6">
        <f>VLOOKUP(Table1[[#This Row],[Reference]],metron,19,FALSE)</f>
        <v>6.7070425072046085</v>
      </c>
      <c r="CF447" s="6">
        <f>VLOOKUP(Table1[[#This Row],[Reference]],metron,20,FALSE)</f>
        <v>5.6209700781927046</v>
      </c>
      <c r="CG447" s="6">
        <f>VLOOKUP(Table1[[#This Row],[Reference]],metron,21,FALSE)</f>
        <v>13.04463690872752</v>
      </c>
      <c r="CH447" s="6">
        <f>VLOOKUP(Table1[[#This Row],[Reference]],metron,22,FALSE)</f>
        <v>13.49811236953142</v>
      </c>
      <c r="CI447" s="6">
        <f>VLOOKUP(Table1[[#This Row],[Reference]],metron,23,FALSE)</f>
        <v>1.5836526181353769</v>
      </c>
      <c r="CJ447" s="6">
        <f>VLOOKUP(Table1[[#This Row],[Reference]],metron,24,FALSE)</f>
        <v>1.8744146445295871</v>
      </c>
      <c r="CK447" s="6">
        <f>VLOOKUP(Table1[[#This Row],[Reference]],metron,25,FALSE)</f>
        <v>8.5994040017028525E-2</v>
      </c>
      <c r="CL447" s="6">
        <f>VLOOKUP(Table1[[#This Row],[Reference]],metron,26,FALSE)</f>
        <v>0.13452532992762881</v>
      </c>
    </row>
    <row r="448" spans="1:90" hidden="1" x14ac:dyDescent="0.45">
      <c r="A448" t="s">
        <v>1346</v>
      </c>
      <c r="B448">
        <v>1601244000</v>
      </c>
      <c r="C448" s="23" t="s">
        <v>868</v>
      </c>
      <c r="D448" t="s">
        <v>65</v>
      </c>
      <c r="E448" t="s">
        <v>66</v>
      </c>
      <c r="F448" t="s">
        <v>91</v>
      </c>
      <c r="G448" t="s">
        <v>85</v>
      </c>
      <c r="H448" t="s">
        <v>108</v>
      </c>
      <c r="I448">
        <f>MROUND(Table1[[#This Row],[ProbH]]*100,2)/100</f>
        <v>0.22</v>
      </c>
      <c r="J448">
        <f>1/Table1[[#This Row],[odds_ft_home_team_win]]-Table1[[#This Row],[Margin]]</f>
        <v>0.21872215332322814</v>
      </c>
      <c r="K448">
        <f>1/Table1[[#This Row],[odds_ft_draw]]-Table1[[#This Row],[Margin]]</f>
        <v>0.24148638096550454</v>
      </c>
      <c r="L448">
        <f>1/Table1[[#This Row],[odds_ft_away_team_win]]-Table1[[#This Row],[Margin]]</f>
        <v>0.53979146571126724</v>
      </c>
      <c r="M448">
        <v>12</v>
      </c>
      <c r="N448">
        <v>0.83</v>
      </c>
      <c r="O448">
        <v>1.83</v>
      </c>
      <c r="P448">
        <v>1</v>
      </c>
      <c r="Q448">
        <v>1.5</v>
      </c>
      <c r="R448" t="str" cm="1">
        <f t="array" ref="R4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8">
        <v>0</v>
      </c>
      <c r="T448">
        <v>2</v>
      </c>
      <c r="U448">
        <v>2</v>
      </c>
      <c r="V448">
        <v>1</v>
      </c>
      <c r="W448">
        <v>0</v>
      </c>
      <c r="X448">
        <v>1</v>
      </c>
      <c r="Z448" t="s">
        <v>151</v>
      </c>
      <c r="AA448">
        <v>3</v>
      </c>
      <c r="AB448">
        <v>1</v>
      </c>
      <c r="AC448">
        <v>2</v>
      </c>
      <c r="AD448">
        <v>1</v>
      </c>
      <c r="AE448">
        <v>0</v>
      </c>
      <c r="AF448">
        <v>0</v>
      </c>
      <c r="AG448">
        <v>1</v>
      </c>
      <c r="AH448">
        <v>2</v>
      </c>
      <c r="AI448">
        <v>0</v>
      </c>
      <c r="AJ448">
        <v>0</v>
      </c>
      <c r="AK448">
        <v>7</v>
      </c>
      <c r="AL448">
        <v>12</v>
      </c>
      <c r="AM448">
        <v>0</v>
      </c>
      <c r="AN448">
        <v>4</v>
      </c>
      <c r="AO448">
        <v>7</v>
      </c>
      <c r="AP448">
        <v>8</v>
      </c>
      <c r="AQ448">
        <v>21</v>
      </c>
      <c r="AR448">
        <v>10</v>
      </c>
      <c r="AS448">
        <v>36</v>
      </c>
      <c r="AT448">
        <v>64</v>
      </c>
      <c r="AU448">
        <v>0.7</v>
      </c>
      <c r="AV448">
        <v>1.26</v>
      </c>
      <c r="AW448">
        <v>2.25</v>
      </c>
      <c r="AX448">
        <v>59</v>
      </c>
      <c r="AY448">
        <v>75</v>
      </c>
      <c r="AZ448">
        <v>42</v>
      </c>
      <c r="BA448">
        <v>17</v>
      </c>
      <c r="BB448">
        <v>9</v>
      </c>
      <c r="BC448">
        <v>34</v>
      </c>
      <c r="BD448">
        <v>75</v>
      </c>
      <c r="BE448">
        <v>17</v>
      </c>
      <c r="BF448">
        <v>67</v>
      </c>
      <c r="BG448">
        <v>10.17</v>
      </c>
      <c r="BH448">
        <v>4.67</v>
      </c>
      <c r="BI448">
        <v>4.0999999999999996</v>
      </c>
      <c r="BJ448">
        <v>3.75</v>
      </c>
      <c r="BK448">
        <v>1.77</v>
      </c>
      <c r="BL448">
        <f>(1/Table1[[#This Row],[odds_ft_home_team_win]]+1/Table1[[#This Row],[odds_ft_draw]]+1/Table1[[#This Row],[odds_ft_away_team_win]]-1)/3</f>
        <v>2.5180285701162115E-2</v>
      </c>
      <c r="BM448">
        <v>1.23</v>
      </c>
      <c r="BN448">
        <v>1.74</v>
      </c>
      <c r="BO448">
        <v>2.9</v>
      </c>
      <c r="BP448">
        <v>5.35</v>
      </c>
      <c r="BQ448">
        <v>1.69</v>
      </c>
      <c r="BR448">
        <v>2.0499999999999998</v>
      </c>
      <c r="BS448" t="s">
        <v>144</v>
      </c>
      <c r="BT448">
        <f>VLOOKUP(Table1[[#This Row],[Reference]],metron,8,FALSE)</f>
        <v>0.95722909461760497</v>
      </c>
      <c r="BU448">
        <f>VLOOKUP(Table1[[#This Row],[Reference]],metron,9,FALSE)</f>
        <v>1.7723830340511415</v>
      </c>
      <c r="BV448">
        <f>VLOOKUP(Table1[[#This Row],[Reference]],metron,10,FALSE)</f>
        <v>2.7115135834411381</v>
      </c>
      <c r="BW448">
        <f>VLOOKUP(Table1[[#This Row],[Reference]],metron,11,FALSE)</f>
        <v>1.0633893919793009</v>
      </c>
      <c r="BX448">
        <f>VLOOKUP(Table1[[#This Row],[Reference]],metron,12,FALSE)</f>
        <v>1.648124191461837</v>
      </c>
      <c r="BY448" s="6">
        <f>VLOOKUP(Table1[[#This Row],[Reference]],metron,13,FALSE)</f>
        <v>0.47218628719275552</v>
      </c>
      <c r="BZ448" s="6">
        <f>VLOOKUP(Table1[[#This Row],[Reference]],metron,14,FALSE)</f>
        <v>0.70181112548512292</v>
      </c>
      <c r="CA448" s="6">
        <f>VLOOKUP(Table1[[#This Row],[Reference]],metron,15,FALSE)</f>
        <v>10.38488783943329</v>
      </c>
      <c r="CB448" s="6">
        <f>VLOOKUP(Table1[[#This Row],[Reference]],metron,16,FALSE)</f>
        <v>12.349468713105081</v>
      </c>
      <c r="CC448" s="6">
        <f>VLOOKUP(Table1[[#This Row],[Reference]],metron,17,FALSE)</f>
        <v>4.0990453460620522</v>
      </c>
      <c r="CD448" s="6">
        <f>VLOOKUP(Table1[[#This Row],[Reference]],metron,18,FALSE)</f>
        <v>5.2720763723150359</v>
      </c>
      <c r="CE448" s="6">
        <f>VLOOKUP(Table1[[#This Row],[Reference]],metron,19,FALSE)</f>
        <v>6.2858424933712378</v>
      </c>
      <c r="CF448" s="6">
        <f>VLOOKUP(Table1[[#This Row],[Reference]],metron,20,FALSE)</f>
        <v>7.0773923407900448</v>
      </c>
      <c r="CG448" s="6">
        <f>VLOOKUP(Table1[[#This Row],[Reference]],metron,21,FALSE)</f>
        <v>13.235083532219569</v>
      </c>
      <c r="CH448" s="6">
        <f>VLOOKUP(Table1[[#This Row],[Reference]],metron,22,FALSE)</f>
        <v>13.05131264916468</v>
      </c>
      <c r="CI448" s="6">
        <f>VLOOKUP(Table1[[#This Row],[Reference]],metron,23,FALSE)</f>
        <v>1.834292289988493</v>
      </c>
      <c r="CJ448" s="6">
        <f>VLOOKUP(Table1[[#This Row],[Reference]],metron,24,FALSE)</f>
        <v>1.806674338319908</v>
      </c>
      <c r="CK448" s="6">
        <f>VLOOKUP(Table1[[#This Row],[Reference]],metron,25,FALSE)</f>
        <v>0.1196777905638665</v>
      </c>
      <c r="CL448" s="6">
        <f>VLOOKUP(Table1[[#This Row],[Reference]],metron,26,FALSE)</f>
        <v>0.1185270425776755</v>
      </c>
    </row>
    <row r="449" spans="1:90" hidden="1" x14ac:dyDescent="0.45">
      <c r="A449" t="s">
        <v>1346</v>
      </c>
      <c r="B449">
        <v>1601257500</v>
      </c>
      <c r="C449" s="23" t="s">
        <v>869</v>
      </c>
      <c r="D449" t="s">
        <v>65</v>
      </c>
      <c r="E449" t="s">
        <v>66</v>
      </c>
      <c r="F449" t="s">
        <v>112</v>
      </c>
      <c r="G449" t="s">
        <v>68</v>
      </c>
      <c r="H449" t="s">
        <v>74</v>
      </c>
      <c r="I449">
        <f>MROUND(Table1[[#This Row],[ProbH]]*100,2)/100</f>
        <v>0.52</v>
      </c>
      <c r="J449">
        <f>1/Table1[[#This Row],[odds_ft_home_team_win]]-Table1[[#This Row],[Margin]]</f>
        <v>0.51971288779174318</v>
      </c>
      <c r="K449">
        <f>1/Table1[[#This Row],[odds_ft_draw]]-Table1[[#This Row],[Margin]]</f>
        <v>0.26311987282381738</v>
      </c>
      <c r="L449">
        <f>1/Table1[[#This Row],[odds_ft_away_team_win]]-Table1[[#This Row],[Margin]]</f>
        <v>0.21716723938443952</v>
      </c>
      <c r="M449">
        <v>12</v>
      </c>
      <c r="N449">
        <v>3</v>
      </c>
      <c r="O449">
        <v>2</v>
      </c>
      <c r="P449">
        <v>2.1800000000000002</v>
      </c>
      <c r="Q449">
        <v>1.63</v>
      </c>
      <c r="R449" t="str" cm="1">
        <f t="array" ref="R4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AA449">
        <v>12</v>
      </c>
      <c r="AB449">
        <v>4</v>
      </c>
      <c r="AC449">
        <v>1</v>
      </c>
      <c r="AD449">
        <v>0</v>
      </c>
      <c r="AE449">
        <v>2</v>
      </c>
      <c r="AF449">
        <v>0</v>
      </c>
      <c r="AG449">
        <v>1</v>
      </c>
      <c r="AH449">
        <v>0</v>
      </c>
      <c r="AI449">
        <v>1</v>
      </c>
      <c r="AJ449">
        <v>1</v>
      </c>
      <c r="AK449">
        <v>17</v>
      </c>
      <c r="AL449">
        <v>5</v>
      </c>
      <c r="AM449">
        <v>6</v>
      </c>
      <c r="AN449">
        <v>3</v>
      </c>
      <c r="AO449">
        <v>11</v>
      </c>
      <c r="AP449">
        <v>2</v>
      </c>
      <c r="AQ449">
        <v>11</v>
      </c>
      <c r="AR449">
        <v>11</v>
      </c>
      <c r="AS449">
        <v>51</v>
      </c>
      <c r="AT449">
        <v>49</v>
      </c>
      <c r="AU449">
        <v>1.84</v>
      </c>
      <c r="AV449">
        <v>0.84</v>
      </c>
      <c r="AW449">
        <v>3.1</v>
      </c>
      <c r="AX449">
        <v>60</v>
      </c>
      <c r="AY449">
        <v>90</v>
      </c>
      <c r="AZ449">
        <v>60</v>
      </c>
      <c r="BA449">
        <v>30</v>
      </c>
      <c r="BB449">
        <v>30</v>
      </c>
      <c r="BC449">
        <v>30</v>
      </c>
      <c r="BD449">
        <v>80</v>
      </c>
      <c r="BE449">
        <v>50</v>
      </c>
      <c r="BF449">
        <v>100</v>
      </c>
      <c r="BG449">
        <v>13</v>
      </c>
      <c r="BH449">
        <v>3.4</v>
      </c>
      <c r="BI449">
        <v>1.83</v>
      </c>
      <c r="BJ449">
        <v>3.45</v>
      </c>
      <c r="BK449">
        <v>4.0999999999999996</v>
      </c>
      <c r="BL449">
        <f>(1/Table1[[#This Row],[odds_ft_home_team_win]]+1/Table1[[#This Row],[odds_ft_draw]]+1/Table1[[#This Row],[odds_ft_away_team_win]]-1)/3</f>
        <v>2.6735199639950746E-2</v>
      </c>
      <c r="BM449">
        <v>1.26</v>
      </c>
      <c r="BN449">
        <v>1.83</v>
      </c>
      <c r="BO449">
        <v>3.15</v>
      </c>
      <c r="BP449">
        <v>5.9</v>
      </c>
      <c r="BQ449">
        <v>1.74</v>
      </c>
      <c r="BR449">
        <v>2</v>
      </c>
      <c r="BS449" t="s">
        <v>116</v>
      </c>
      <c r="BT449">
        <f>VLOOKUP(Table1[[#This Row],[Reference]],metron,8,FALSE)</f>
        <v>1.8614830167843088</v>
      </c>
      <c r="BU449">
        <f>VLOOKUP(Table1[[#This Row],[Reference]],metron,9,FALSE)</f>
        <v>0.87079851622593896</v>
      </c>
      <c r="BV449">
        <f>VLOOKUP(Table1[[#This Row],[Reference]],metron,10,FALSE)</f>
        <v>2.5967403582378576</v>
      </c>
      <c r="BW449">
        <f>VLOOKUP(Table1[[#This Row],[Reference]],metron,11,FALSE)</f>
        <v>1.625948039373891</v>
      </c>
      <c r="BX449">
        <f>VLOOKUP(Table1[[#This Row],[Reference]],metron,12,FALSE)</f>
        <v>0.97079231886396644</v>
      </c>
      <c r="BY449" s="6">
        <f>VLOOKUP(Table1[[#This Row],[Reference]],metron,13,FALSE)</f>
        <v>0.71433182698515174</v>
      </c>
      <c r="BZ449" s="6">
        <f>VLOOKUP(Table1[[#This Row],[Reference]],metron,14,FALSE)</f>
        <v>0.43011620400258233</v>
      </c>
      <c r="CA449" s="6">
        <f>VLOOKUP(Table1[[#This Row],[Reference]],metron,15,FALSE)</f>
        <v>13.39951055368614</v>
      </c>
      <c r="CB449" s="6">
        <f>VLOOKUP(Table1[[#This Row],[Reference]],metron,16,FALSE)</f>
        <v>9.4252064851636579</v>
      </c>
      <c r="CC449" s="6">
        <f>VLOOKUP(Table1[[#This Row],[Reference]],metron,17,FALSE)</f>
        <v>5.7628422023992618</v>
      </c>
      <c r="CD449" s="6">
        <f>VLOOKUP(Table1[[#This Row],[Reference]],metron,18,FALSE)</f>
        <v>3.9375576745616732</v>
      </c>
      <c r="CE449" s="6">
        <f>VLOOKUP(Table1[[#This Row],[Reference]],metron,19,FALSE)</f>
        <v>7.636668351286878</v>
      </c>
      <c r="CF449" s="6">
        <f>VLOOKUP(Table1[[#This Row],[Reference]],metron,20,FALSE)</f>
        <v>5.4876488106019847</v>
      </c>
      <c r="CG449" s="6">
        <f>VLOOKUP(Table1[[#This Row],[Reference]],metron,21,FALSE)</f>
        <v>12.460420531849101</v>
      </c>
      <c r="CH449" s="6">
        <f>VLOOKUP(Table1[[#This Row],[Reference]],metron,22,FALSE)</f>
        <v>13.44897959183673</v>
      </c>
      <c r="CI449" s="6">
        <f>VLOOKUP(Table1[[#This Row],[Reference]],metron,23,FALSE)</f>
        <v>1.462202380952381</v>
      </c>
      <c r="CJ449" s="6">
        <f>VLOOKUP(Table1[[#This Row],[Reference]],metron,24,FALSE)</f>
        <v>2.01547619047619</v>
      </c>
      <c r="CK449" s="6">
        <f>VLOOKUP(Table1[[#This Row],[Reference]],metron,25,FALSE)</f>
        <v>7.7380952380952384E-2</v>
      </c>
      <c r="CL449" s="6">
        <f>VLOOKUP(Table1[[#This Row],[Reference]],metron,26,FALSE)</f>
        <v>0.13754093480202439</v>
      </c>
    </row>
    <row r="450" spans="1:90" hidden="1" x14ac:dyDescent="0.45">
      <c r="A450" t="s">
        <v>1346</v>
      </c>
      <c r="B450">
        <v>1601510760</v>
      </c>
      <c r="C450" s="23" t="s">
        <v>870</v>
      </c>
      <c r="D450" t="s">
        <v>65</v>
      </c>
      <c r="E450" t="s">
        <v>66</v>
      </c>
      <c r="F450" t="s">
        <v>106</v>
      </c>
      <c r="G450" t="s">
        <v>78</v>
      </c>
      <c r="H450" t="s">
        <v>80</v>
      </c>
      <c r="I450">
        <f>MROUND(Table1[[#This Row],[ProbH]]*100,2)/100</f>
        <v>0.46</v>
      </c>
      <c r="J450">
        <f>1/Table1[[#This Row],[odds_ft_home_team_win]]-Table1[[#This Row],[Margin]]</f>
        <v>0.45028106222136072</v>
      </c>
      <c r="K450">
        <f>1/Table1[[#This Row],[odds_ft_draw]]-Table1[[#This Row],[Margin]]</f>
        <v>0.27712088906118759</v>
      </c>
      <c r="L450">
        <f>1/Table1[[#This Row],[odds_ft_away_team_win]]-Table1[[#This Row],[Margin]]</f>
        <v>0.27259804871745169</v>
      </c>
      <c r="M450">
        <v>11</v>
      </c>
      <c r="N450">
        <v>1.67</v>
      </c>
      <c r="O450">
        <v>1</v>
      </c>
      <c r="P450">
        <v>1.59</v>
      </c>
      <c r="Q450">
        <v>0.59</v>
      </c>
      <c r="R450" t="str" cm="1">
        <f t="array" ref="R4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0">
        <v>2</v>
      </c>
      <c r="T450">
        <v>1</v>
      </c>
      <c r="U450">
        <v>3</v>
      </c>
      <c r="V450">
        <v>2</v>
      </c>
      <c r="W450">
        <v>1</v>
      </c>
      <c r="X450">
        <v>1</v>
      </c>
      <c r="Y450" t="s">
        <v>871</v>
      </c>
      <c r="Z450">
        <v>35</v>
      </c>
      <c r="AA450">
        <v>3</v>
      </c>
      <c r="AB450">
        <v>3</v>
      </c>
      <c r="AC450">
        <v>4</v>
      </c>
      <c r="AD450">
        <v>0</v>
      </c>
      <c r="AE450">
        <v>0</v>
      </c>
      <c r="AF450">
        <v>1</v>
      </c>
      <c r="AG450">
        <v>1</v>
      </c>
      <c r="AH450">
        <v>3</v>
      </c>
      <c r="AI450">
        <v>0</v>
      </c>
      <c r="AJ450">
        <v>1</v>
      </c>
      <c r="AK450">
        <v>11</v>
      </c>
      <c r="AL450">
        <v>14</v>
      </c>
      <c r="AM450">
        <v>5</v>
      </c>
      <c r="AN450">
        <v>4</v>
      </c>
      <c r="AO450">
        <v>6</v>
      </c>
      <c r="AP450">
        <v>10</v>
      </c>
      <c r="AQ450">
        <v>21</v>
      </c>
      <c r="AR450">
        <v>9</v>
      </c>
      <c r="AS450">
        <v>52</v>
      </c>
      <c r="AT450">
        <v>48</v>
      </c>
      <c r="AU450">
        <v>1.36</v>
      </c>
      <c r="AV450">
        <v>1.52</v>
      </c>
      <c r="AW450">
        <v>2.39</v>
      </c>
      <c r="AX450">
        <v>65</v>
      </c>
      <c r="AY450">
        <v>74</v>
      </c>
      <c r="AZ450">
        <v>45</v>
      </c>
      <c r="BA450">
        <v>19</v>
      </c>
      <c r="BB450">
        <v>10</v>
      </c>
      <c r="BC450">
        <v>27</v>
      </c>
      <c r="BD450">
        <v>72</v>
      </c>
      <c r="BE450">
        <v>47</v>
      </c>
      <c r="BF450">
        <v>84</v>
      </c>
      <c r="BG450">
        <v>8.83</v>
      </c>
      <c r="BH450">
        <v>4.2699999999999996</v>
      </c>
      <c r="BI450">
        <v>2.1</v>
      </c>
      <c r="BJ450">
        <v>3.3</v>
      </c>
      <c r="BK450">
        <v>3.35</v>
      </c>
      <c r="BL450">
        <f>(1/Table1[[#This Row],[odds_ft_home_team_win]]+1/Table1[[#This Row],[odds_ft_draw]]+1/Table1[[#This Row],[odds_ft_away_team_win]]-1)/3</f>
        <v>2.5909413969115464E-2</v>
      </c>
      <c r="BM450">
        <v>1.33</v>
      </c>
      <c r="BN450">
        <v>2.0499999999999998</v>
      </c>
      <c r="BO450">
        <v>3.65</v>
      </c>
      <c r="BP450">
        <v>7</v>
      </c>
      <c r="BQ450">
        <v>1.83</v>
      </c>
      <c r="BR450">
        <v>1.91</v>
      </c>
      <c r="BS450" t="s">
        <v>110</v>
      </c>
      <c r="BT450">
        <f>VLOOKUP(Table1[[#This Row],[Reference]],metron,8,FALSE)</f>
        <v>1.6955772349985931</v>
      </c>
      <c r="BU450">
        <f>VLOOKUP(Table1[[#This Row],[Reference]],metron,9,FALSE)</f>
        <v>1.0239029519551039</v>
      </c>
      <c r="BV450">
        <f>VLOOKUP(Table1[[#This Row],[Reference]],metron,10,FALSE)</f>
        <v>2.5405629139072849</v>
      </c>
      <c r="BW450">
        <f>VLOOKUP(Table1[[#This Row],[Reference]],metron,11,FALSE)</f>
        <v>1.4888836329233679</v>
      </c>
      <c r="BX450">
        <f>VLOOKUP(Table1[[#This Row],[Reference]],metron,12,FALSE)</f>
        <v>1.0516792809839171</v>
      </c>
      <c r="BY450" s="6">
        <f>VLOOKUP(Table1[[#This Row],[Reference]],metron,13,FALSE)</f>
        <v>0.64581362346263005</v>
      </c>
      <c r="BZ450" s="6">
        <f>VLOOKUP(Table1[[#This Row],[Reference]],metron,14,FALSE)</f>
        <v>0.45364238410596031</v>
      </c>
      <c r="CA450" s="6">
        <f>VLOOKUP(Table1[[#This Row],[Reference]],metron,15,FALSE)</f>
        <v>12.686892177589851</v>
      </c>
      <c r="CB450" s="6">
        <f>VLOOKUP(Table1[[#This Row],[Reference]],metron,16,FALSE)</f>
        <v>9.8059196617336148</v>
      </c>
      <c r="CC450" s="6">
        <f>VLOOKUP(Table1[[#This Row],[Reference]],metron,17,FALSE)</f>
        <v>5.3198121263877027</v>
      </c>
      <c r="CD450" s="6">
        <f>VLOOKUP(Table1[[#This Row],[Reference]],metron,18,FALSE)</f>
        <v>4.0954312553373189</v>
      </c>
      <c r="CE450" s="6">
        <f>VLOOKUP(Table1[[#This Row],[Reference]],metron,19,FALSE)</f>
        <v>7.3670800512021479</v>
      </c>
      <c r="CF450" s="6">
        <f>VLOOKUP(Table1[[#This Row],[Reference]],metron,20,FALSE)</f>
        <v>5.710488406396296</v>
      </c>
      <c r="CG450" s="6">
        <f>VLOOKUP(Table1[[#This Row],[Reference]],metron,21,FALSE)</f>
        <v>13.0488908033599</v>
      </c>
      <c r="CH450" s="6">
        <f>VLOOKUP(Table1[[#This Row],[Reference]],metron,22,FALSE)</f>
        <v>13.714839543398661</v>
      </c>
      <c r="CI450" s="6">
        <f>VLOOKUP(Table1[[#This Row],[Reference]],metron,23,FALSE)</f>
        <v>1.567523459812322</v>
      </c>
      <c r="CJ450" s="6">
        <f>VLOOKUP(Table1[[#This Row],[Reference]],metron,24,FALSE)</f>
        <v>1.951040391676867</v>
      </c>
      <c r="CK450" s="6">
        <f>VLOOKUP(Table1[[#This Row],[Reference]],metron,25,FALSE)</f>
        <v>8.3027335781313744E-2</v>
      </c>
      <c r="CL450" s="6">
        <f>VLOOKUP(Table1[[#This Row],[Reference]],metron,26,FALSE)</f>
        <v>0.13117095063239501</v>
      </c>
    </row>
    <row r="451" spans="1:90" hidden="1" x14ac:dyDescent="0.45">
      <c r="A451" t="s">
        <v>1346</v>
      </c>
      <c r="B451">
        <v>1601685000</v>
      </c>
      <c r="C451" s="23" t="s">
        <v>872</v>
      </c>
      <c r="D451" t="s">
        <v>65</v>
      </c>
      <c r="E451" t="s">
        <v>66</v>
      </c>
      <c r="F451" t="s">
        <v>102</v>
      </c>
      <c r="G451" t="s">
        <v>73</v>
      </c>
      <c r="H451" t="s">
        <v>69</v>
      </c>
      <c r="I451">
        <f>MROUND(Table1[[#This Row],[ProbH]]*100,2)/100</f>
        <v>0.28000000000000003</v>
      </c>
      <c r="J451">
        <f>1/Table1[[#This Row],[odds_ft_home_team_win]]-Table1[[#This Row],[Margin]]</f>
        <v>0.28015931674468258</v>
      </c>
      <c r="K451">
        <f>1/Table1[[#This Row],[odds_ft_draw]]-Table1[[#This Row],[Margin]]</f>
        <v>0.25490679149215734</v>
      </c>
      <c r="L451">
        <f>1/Table1[[#This Row],[odds_ft_away_team_win]]-Table1[[#This Row],[Margin]]</f>
        <v>0.46493389176316008</v>
      </c>
      <c r="M451">
        <v>13</v>
      </c>
      <c r="N451">
        <v>1</v>
      </c>
      <c r="O451">
        <v>0.71</v>
      </c>
      <c r="P451">
        <v>1.5</v>
      </c>
      <c r="Q451">
        <v>0.8</v>
      </c>
      <c r="R451" t="str" cm="1">
        <f t="array" ref="R4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1">
        <v>0</v>
      </c>
      <c r="T451">
        <v>2</v>
      </c>
      <c r="U451">
        <v>2</v>
      </c>
      <c r="V451">
        <v>2</v>
      </c>
      <c r="W451">
        <v>0</v>
      </c>
      <c r="X451">
        <v>2</v>
      </c>
      <c r="Z451" t="s">
        <v>873</v>
      </c>
      <c r="AA451">
        <v>11</v>
      </c>
      <c r="AB451">
        <v>2</v>
      </c>
      <c r="AC451">
        <v>2</v>
      </c>
      <c r="AD451">
        <v>0</v>
      </c>
      <c r="AE451">
        <v>1</v>
      </c>
      <c r="AF451">
        <v>0</v>
      </c>
      <c r="AG451">
        <v>0</v>
      </c>
      <c r="AH451">
        <v>2</v>
      </c>
      <c r="AI451">
        <v>1</v>
      </c>
      <c r="AJ451">
        <v>0</v>
      </c>
      <c r="AK451">
        <v>11</v>
      </c>
      <c r="AL451">
        <v>11</v>
      </c>
      <c r="AM451">
        <v>4</v>
      </c>
      <c r="AN451">
        <v>4</v>
      </c>
      <c r="AO451">
        <v>7</v>
      </c>
      <c r="AP451">
        <v>7</v>
      </c>
      <c r="AQ451">
        <v>9</v>
      </c>
      <c r="AR451">
        <v>12</v>
      </c>
      <c r="AS451">
        <v>60</v>
      </c>
      <c r="AT451">
        <v>40</v>
      </c>
      <c r="AU451">
        <v>1.36</v>
      </c>
      <c r="AV451">
        <v>1.2</v>
      </c>
      <c r="AW451">
        <v>3.33</v>
      </c>
      <c r="AX451">
        <v>76</v>
      </c>
      <c r="AY451">
        <v>90</v>
      </c>
      <c r="AZ451">
        <v>59</v>
      </c>
      <c r="BA451">
        <v>45</v>
      </c>
      <c r="BB451">
        <v>30</v>
      </c>
      <c r="BC451">
        <v>45</v>
      </c>
      <c r="BD451">
        <v>73</v>
      </c>
      <c r="BE451">
        <v>69</v>
      </c>
      <c r="BF451">
        <v>100</v>
      </c>
      <c r="BG451">
        <v>9.51</v>
      </c>
      <c r="BH451">
        <v>2.63</v>
      </c>
      <c r="BI451">
        <v>3.3</v>
      </c>
      <c r="BJ451">
        <v>3.6</v>
      </c>
      <c r="BK451">
        <v>2.0499999999999998</v>
      </c>
      <c r="BL451">
        <f>(1/Table1[[#This Row],[odds_ft_home_team_win]]+1/Table1[[#This Row],[odds_ft_draw]]+1/Table1[[#This Row],[odds_ft_away_team_win]]-1)/3</f>
        <v>2.2870986285620454E-2</v>
      </c>
      <c r="BM451">
        <v>1.22</v>
      </c>
      <c r="BN451">
        <v>1.71</v>
      </c>
      <c r="BO451">
        <v>2.8</v>
      </c>
      <c r="BP451">
        <v>5.15</v>
      </c>
      <c r="BQ451">
        <v>1.62</v>
      </c>
      <c r="BR451">
        <v>2.15</v>
      </c>
      <c r="BS451" t="s">
        <v>124</v>
      </c>
      <c r="BT451">
        <f>VLOOKUP(Table1[[#This Row],[Reference]],metron,8,FALSE)</f>
        <v>1.1529533168233341</v>
      </c>
      <c r="BU451">
        <f>VLOOKUP(Table1[[#This Row],[Reference]],metron,9,FALSE)</f>
        <v>1.5628535554286829</v>
      </c>
      <c r="BV451">
        <f>VLOOKUP(Table1[[#This Row],[Reference]],metron,10,FALSE)</f>
        <v>2.5445607358071678</v>
      </c>
      <c r="BW451">
        <f>VLOOKUP(Table1[[#This Row],[Reference]],metron,11,FALSE)</f>
        <v>1.128766254360926</v>
      </c>
      <c r="BX451">
        <f>VLOOKUP(Table1[[#This Row],[Reference]],metron,12,FALSE)</f>
        <v>1.415794481446242</v>
      </c>
      <c r="BY451" s="6">
        <f>VLOOKUP(Table1[[#This Row],[Reference]],metron,13,FALSE)</f>
        <v>0.49635267998731369</v>
      </c>
      <c r="BZ451" s="6">
        <f>VLOOKUP(Table1[[#This Row],[Reference]],metron,14,FALSE)</f>
        <v>0.61084681255946716</v>
      </c>
      <c r="CA451" s="6">
        <f>VLOOKUP(Table1[[#This Row],[Reference]],metron,15,FALSE)</f>
        <v>11.04442036836403</v>
      </c>
      <c r="CB451" s="6">
        <f>VLOOKUP(Table1[[#This Row],[Reference]],metron,16,FALSE)</f>
        <v>11.38840736728061</v>
      </c>
      <c r="CC451" s="6">
        <f>VLOOKUP(Table1[[#This Row],[Reference]],metron,17,FALSE)</f>
        <v>4.5379574003276897</v>
      </c>
      <c r="CD451" s="6">
        <f>VLOOKUP(Table1[[#This Row],[Reference]],metron,18,FALSE)</f>
        <v>4.8481703986892413</v>
      </c>
      <c r="CE451" s="6">
        <f>VLOOKUP(Table1[[#This Row],[Reference]],metron,19,FALSE)</f>
        <v>6.5064629680363399</v>
      </c>
      <c r="CF451" s="6">
        <f>VLOOKUP(Table1[[#This Row],[Reference]],metron,20,FALSE)</f>
        <v>6.540236968591369</v>
      </c>
      <c r="CG451" s="6">
        <f>VLOOKUP(Table1[[#This Row],[Reference]],metron,21,FALSE)</f>
        <v>13.117582417582421</v>
      </c>
      <c r="CH451" s="6">
        <f>VLOOKUP(Table1[[#This Row],[Reference]],metron,22,FALSE)</f>
        <v>13.28241758241758</v>
      </c>
      <c r="CI451" s="6">
        <f>VLOOKUP(Table1[[#This Row],[Reference]],metron,23,FALSE)</f>
        <v>1.792592592592593</v>
      </c>
      <c r="CJ451" s="6">
        <f>VLOOKUP(Table1[[#This Row],[Reference]],metron,24,FALSE)</f>
        <v>1.806980433632998</v>
      </c>
      <c r="CK451" s="6">
        <f>VLOOKUP(Table1[[#This Row],[Reference]],metron,25,FALSE)</f>
        <v>0.1047065044949762</v>
      </c>
      <c r="CL451" s="6">
        <f>VLOOKUP(Table1[[#This Row],[Reference]],metron,26,FALSE)</f>
        <v>0.1073506081438392</v>
      </c>
    </row>
    <row r="452" spans="1:90" hidden="1" x14ac:dyDescent="0.45">
      <c r="A452" t="s">
        <v>1346</v>
      </c>
      <c r="B452">
        <v>1601692200</v>
      </c>
      <c r="C452" s="23" t="s">
        <v>874</v>
      </c>
      <c r="D452" t="s">
        <v>65</v>
      </c>
      <c r="E452" t="s">
        <v>66</v>
      </c>
      <c r="F452" t="s">
        <v>85</v>
      </c>
      <c r="G452" t="s">
        <v>113</v>
      </c>
      <c r="H452" t="s">
        <v>215</v>
      </c>
      <c r="I452">
        <f>MROUND(Table1[[#This Row],[ProbH]]*100,2)/100</f>
        <v>0.7</v>
      </c>
      <c r="J452">
        <f>1/Table1[[#This Row],[odds_ft_home_team_win]]-Table1[[#This Row],[Margin]]</f>
        <v>0.6944385026737967</v>
      </c>
      <c r="K452">
        <f>1/Table1[[#This Row],[odds_ft_draw]]-Table1[[#This Row],[Margin]]</f>
        <v>0.18641711229946523</v>
      </c>
      <c r="L452">
        <f>1/Table1[[#This Row],[odds_ft_away_team_win]]-Table1[[#This Row],[Margin]]</f>
        <v>0.11914438502673796</v>
      </c>
      <c r="M452">
        <v>13</v>
      </c>
      <c r="N452">
        <v>2.6</v>
      </c>
      <c r="O452">
        <v>0.33</v>
      </c>
      <c r="P452">
        <v>2.29</v>
      </c>
      <c r="Q452">
        <v>0.65</v>
      </c>
      <c r="R452" t="str" cm="1">
        <f t="array" ref="R4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2">
        <v>2</v>
      </c>
      <c r="T452">
        <v>1</v>
      </c>
      <c r="U452">
        <v>3</v>
      </c>
      <c r="V452">
        <v>0</v>
      </c>
      <c r="W452">
        <v>0</v>
      </c>
      <c r="X452">
        <v>0</v>
      </c>
      <c r="Y452" t="s">
        <v>875</v>
      </c>
      <c r="Z452">
        <v>52</v>
      </c>
      <c r="AA452">
        <v>5</v>
      </c>
      <c r="AB452">
        <v>2</v>
      </c>
      <c r="AC452">
        <v>2</v>
      </c>
      <c r="AD452">
        <v>0</v>
      </c>
      <c r="AE452">
        <v>5</v>
      </c>
      <c r="AF452">
        <v>0</v>
      </c>
      <c r="AG452">
        <v>1</v>
      </c>
      <c r="AH452">
        <v>1</v>
      </c>
      <c r="AI452">
        <v>1</v>
      </c>
      <c r="AJ452">
        <v>4</v>
      </c>
      <c r="AK452">
        <v>11</v>
      </c>
      <c r="AL452">
        <v>6</v>
      </c>
      <c r="AM452">
        <v>5</v>
      </c>
      <c r="AN452">
        <v>3</v>
      </c>
      <c r="AO452">
        <v>6</v>
      </c>
      <c r="AP452">
        <v>3</v>
      </c>
      <c r="AQ452">
        <v>14</v>
      </c>
      <c r="AR452">
        <v>15</v>
      </c>
      <c r="AS452">
        <v>75</v>
      </c>
      <c r="AT452">
        <v>25</v>
      </c>
      <c r="AU452">
        <v>1.48</v>
      </c>
      <c r="AV452">
        <v>0.73</v>
      </c>
      <c r="AW452">
        <v>2.69</v>
      </c>
      <c r="AX452">
        <v>72</v>
      </c>
      <c r="AY452">
        <v>82</v>
      </c>
      <c r="AZ452">
        <v>45</v>
      </c>
      <c r="BA452">
        <v>17</v>
      </c>
      <c r="BB452">
        <v>9</v>
      </c>
      <c r="BC452">
        <v>27</v>
      </c>
      <c r="BD452">
        <v>65</v>
      </c>
      <c r="BE452">
        <v>44</v>
      </c>
      <c r="BF452">
        <v>74</v>
      </c>
      <c r="BG452">
        <v>7.57</v>
      </c>
      <c r="BH452">
        <v>3.17</v>
      </c>
      <c r="BI452">
        <v>1.36</v>
      </c>
      <c r="BJ452">
        <v>4.4000000000000004</v>
      </c>
      <c r="BK452">
        <v>6.25</v>
      </c>
      <c r="BL452">
        <f>(1/Table1[[#This Row],[odds_ft_home_team_win]]+1/Table1[[#This Row],[odds_ft_draw]]+1/Table1[[#This Row],[odds_ft_away_team_win]]-1)/3</f>
        <v>4.0855614973262032E-2</v>
      </c>
      <c r="BM452">
        <v>0</v>
      </c>
      <c r="BN452">
        <v>1.55</v>
      </c>
      <c r="BO452">
        <v>0</v>
      </c>
      <c r="BP452">
        <v>0</v>
      </c>
      <c r="BQ452">
        <v>0</v>
      </c>
      <c r="BR452">
        <v>0</v>
      </c>
      <c r="BS452" t="s">
        <v>128</v>
      </c>
      <c r="BT452">
        <f>VLOOKUP(Table1[[#This Row],[Reference]],metron,8,FALSE)</f>
        <v>2.3288743096422602</v>
      </c>
      <c r="BU452">
        <f>VLOOKUP(Table1[[#This Row],[Reference]],metron,9,FALSE)</f>
        <v>0.47695922076506025</v>
      </c>
      <c r="BV452">
        <f>VLOOKUP(Table1[[#This Row],[Reference]],metron,10,FALSE)</f>
        <v>2.9925826028320968</v>
      </c>
      <c r="BW452">
        <f>VLOOKUP(Table1[[#This Row],[Reference]],metron,11,FALSE)</f>
        <v>2.224544841537424</v>
      </c>
      <c r="BX452">
        <f>VLOOKUP(Table1[[#This Row],[Reference]],metron,12,FALSE)</f>
        <v>0.76803776129467294</v>
      </c>
      <c r="BY452" s="6">
        <f>VLOOKUP(Table1[[#This Row],[Reference]],metron,13,FALSE)</f>
        <v>0.96561024949426832</v>
      </c>
      <c r="BZ452" s="6">
        <f>VLOOKUP(Table1[[#This Row],[Reference]],metron,14,FALSE)</f>
        <v>0.34187457855697911</v>
      </c>
      <c r="CA452" s="6">
        <f>VLOOKUP(Table1[[#This Row],[Reference]],metron,15,FALSE)</f>
        <v>16.100000000000001</v>
      </c>
      <c r="CB452" s="6">
        <f>VLOOKUP(Table1[[#This Row],[Reference]],metron,16,FALSE)</f>
        <v>8.3493506493506491</v>
      </c>
      <c r="CC452" s="6">
        <f>VLOOKUP(Table1[[#This Row],[Reference]],metron,17,FALSE)</f>
        <v>7.2678100263852254</v>
      </c>
      <c r="CD452" s="6">
        <f>VLOOKUP(Table1[[#This Row],[Reference]],metron,18,FALSE)</f>
        <v>3.2770448548812658</v>
      </c>
      <c r="CE452" s="6">
        <f>VLOOKUP(Table1[[#This Row],[Reference]],metron,19,FALSE)</f>
        <v>8.832189973614776</v>
      </c>
      <c r="CF452" s="6">
        <f>VLOOKUP(Table1[[#This Row],[Reference]],metron,20,FALSE)</f>
        <v>5.0723057944693828</v>
      </c>
      <c r="CG452" s="6">
        <f>VLOOKUP(Table1[[#This Row],[Reference]],metron,21,FALSE)</f>
        <v>11.95872170439414</v>
      </c>
      <c r="CH452" s="6">
        <f>VLOOKUP(Table1[[#This Row],[Reference]],metron,22,FALSE)</f>
        <v>13.450066577896139</v>
      </c>
      <c r="CI452" s="6">
        <f>VLOOKUP(Table1[[#This Row],[Reference]],metron,23,FALSE)</f>
        <v>1.301526717557252</v>
      </c>
      <c r="CJ452" s="6">
        <f>VLOOKUP(Table1[[#This Row],[Reference]],metron,24,FALSE)</f>
        <v>1.9796437659033079</v>
      </c>
      <c r="CK452" s="6">
        <f>VLOOKUP(Table1[[#This Row],[Reference]],metron,25,FALSE)</f>
        <v>5.3435114503816793E-2</v>
      </c>
      <c r="CL452" s="6">
        <f>VLOOKUP(Table1[[#This Row],[Reference]],metron,26,FALSE)</f>
        <v>0.1183206106870229</v>
      </c>
    </row>
    <row r="453" spans="1:90" hidden="1" x14ac:dyDescent="0.45">
      <c r="A453" t="s">
        <v>1346</v>
      </c>
      <c r="B453">
        <v>1601762400</v>
      </c>
      <c r="C453" s="23" t="s">
        <v>876</v>
      </c>
      <c r="D453" t="s">
        <v>65</v>
      </c>
      <c r="E453" t="s">
        <v>66</v>
      </c>
      <c r="F453" t="s">
        <v>97</v>
      </c>
      <c r="G453" t="s">
        <v>72</v>
      </c>
      <c r="H453" t="s">
        <v>108</v>
      </c>
      <c r="I453">
        <f>MROUND(Table1[[#This Row],[ProbH]]*100,2)/100</f>
        <v>0.38</v>
      </c>
      <c r="J453">
        <f>1/Table1[[#This Row],[odds_ft_home_team_win]]-Table1[[#This Row],[Margin]]</f>
        <v>0.38833194096351992</v>
      </c>
      <c r="K453">
        <f>1/Table1[[#This Row],[odds_ft_draw]]-Table1[[#This Row],[Margin]]</f>
        <v>0.28912559175717067</v>
      </c>
      <c r="L453">
        <f>1/Table1[[#This Row],[odds_ft_away_team_win]]-Table1[[#This Row],[Margin]]</f>
        <v>0.32254246727930935</v>
      </c>
      <c r="M453">
        <v>13</v>
      </c>
      <c r="N453">
        <v>1.17</v>
      </c>
      <c r="O453">
        <v>0.4</v>
      </c>
      <c r="P453">
        <v>1.21</v>
      </c>
      <c r="Q453">
        <v>0.72</v>
      </c>
      <c r="R453" t="str" cm="1">
        <f t="array" ref="R4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Z453">
        <v>55</v>
      </c>
      <c r="AA453">
        <v>10</v>
      </c>
      <c r="AB453">
        <v>3</v>
      </c>
      <c r="AC453">
        <v>2</v>
      </c>
      <c r="AD453">
        <v>0</v>
      </c>
      <c r="AE453">
        <v>3</v>
      </c>
      <c r="AF453">
        <v>0</v>
      </c>
      <c r="AG453">
        <v>0</v>
      </c>
      <c r="AH453">
        <v>2</v>
      </c>
      <c r="AI453">
        <v>1</v>
      </c>
      <c r="AJ453">
        <v>2</v>
      </c>
      <c r="AK453">
        <v>17</v>
      </c>
      <c r="AL453">
        <v>12</v>
      </c>
      <c r="AM453">
        <v>0</v>
      </c>
      <c r="AN453">
        <v>5</v>
      </c>
      <c r="AO453">
        <v>17</v>
      </c>
      <c r="AP453">
        <v>7</v>
      </c>
      <c r="AQ453">
        <v>-1</v>
      </c>
      <c r="AR453">
        <v>-1</v>
      </c>
      <c r="AS453">
        <v>63</v>
      </c>
      <c r="AT453">
        <v>37</v>
      </c>
      <c r="AU453">
        <v>1.42</v>
      </c>
      <c r="AV453">
        <v>1.29</v>
      </c>
      <c r="AW453">
        <v>2.02</v>
      </c>
      <c r="AX453">
        <v>55</v>
      </c>
      <c r="AY453">
        <v>65</v>
      </c>
      <c r="AZ453">
        <v>37</v>
      </c>
      <c r="BA453">
        <v>0</v>
      </c>
      <c r="BB453">
        <v>0</v>
      </c>
      <c r="BC453">
        <v>9</v>
      </c>
      <c r="BD453">
        <v>55</v>
      </c>
      <c r="BE453">
        <v>47</v>
      </c>
      <c r="BF453">
        <v>92</v>
      </c>
      <c r="BG453">
        <v>7.03</v>
      </c>
      <c r="BH453">
        <v>5.6</v>
      </c>
      <c r="BI453">
        <v>2.4</v>
      </c>
      <c r="BJ453">
        <v>3.15</v>
      </c>
      <c r="BK453">
        <v>2.85</v>
      </c>
      <c r="BL453">
        <f>(1/Table1[[#This Row],[odds_ft_home_team_win]]+1/Table1[[#This Row],[odds_ft_draw]]+1/Table1[[#This Row],[odds_ft_away_team_win]]-1)/3</f>
        <v>2.8334725703146768E-2</v>
      </c>
      <c r="BM453">
        <v>1.38</v>
      </c>
      <c r="BN453">
        <v>2.15</v>
      </c>
      <c r="BO453">
        <v>4</v>
      </c>
      <c r="BP453">
        <v>7.75</v>
      </c>
      <c r="BQ453">
        <v>1.87</v>
      </c>
      <c r="BR453">
        <v>1.83</v>
      </c>
      <c r="BS453" t="s">
        <v>136</v>
      </c>
      <c r="BT453">
        <f>VLOOKUP(Table1[[#This Row],[Reference]],metron,8,FALSE)</f>
        <v>1.464160929441638</v>
      </c>
      <c r="BU453">
        <f>VLOOKUP(Table1[[#This Row],[Reference]],metron,9,FALSE)</f>
        <v>1.2477119808919459</v>
      </c>
      <c r="BV453">
        <f>VLOOKUP(Table1[[#This Row],[Reference]],metron,10,FALSE)</f>
        <v>2.4900895140664963</v>
      </c>
      <c r="BW453">
        <f>VLOOKUP(Table1[[#This Row],[Reference]],metron,11,FALSE)</f>
        <v>1.330562659846547</v>
      </c>
      <c r="BX453">
        <f>VLOOKUP(Table1[[#This Row],[Reference]],metron,12,FALSE)</f>
        <v>1.1595268542199491</v>
      </c>
      <c r="BY453" s="6">
        <f>VLOOKUP(Table1[[#This Row],[Reference]],metron,13,FALSE)</f>
        <v>0.59053607588191415</v>
      </c>
      <c r="BZ453" s="6">
        <f>VLOOKUP(Table1[[#This Row],[Reference]],metron,14,FALSE)</f>
        <v>0.50069274219332838</v>
      </c>
      <c r="CA453" s="6">
        <f>VLOOKUP(Table1[[#This Row],[Reference]],metron,15,FALSE)</f>
        <v>11.79715236686391</v>
      </c>
      <c r="CB453" s="6">
        <f>VLOOKUP(Table1[[#This Row],[Reference]],metron,16,FALSE)</f>
        <v>10.317122781065089</v>
      </c>
      <c r="CC453" s="6">
        <f>VLOOKUP(Table1[[#This Row],[Reference]],metron,17,FALSE)</f>
        <v>5.0637025966747622</v>
      </c>
      <c r="CD453" s="6">
        <f>VLOOKUP(Table1[[#This Row],[Reference]],metron,18,FALSE)</f>
        <v>4.4674014571268454</v>
      </c>
      <c r="CE453" s="6">
        <f>VLOOKUP(Table1[[#This Row],[Reference]],metron,19,FALSE)</f>
        <v>6.7334497701891483</v>
      </c>
      <c r="CF453" s="6">
        <f>VLOOKUP(Table1[[#This Row],[Reference]],metron,20,FALSE)</f>
        <v>5.849721323938244</v>
      </c>
      <c r="CG453" s="6">
        <f>VLOOKUP(Table1[[#This Row],[Reference]],metron,21,FALSE)</f>
        <v>12.89644194756554</v>
      </c>
      <c r="CH453" s="6">
        <f>VLOOKUP(Table1[[#This Row],[Reference]],metron,22,FALSE)</f>
        <v>13.3434456928839</v>
      </c>
      <c r="CI453" s="6">
        <f>VLOOKUP(Table1[[#This Row],[Reference]],metron,23,FALSE)</f>
        <v>1.6144382124117971</v>
      </c>
      <c r="CJ453" s="6">
        <f>VLOOKUP(Table1[[#This Row],[Reference]],metron,24,FALSE)</f>
        <v>1.9032024606477289</v>
      </c>
      <c r="CK453" s="6">
        <f>VLOOKUP(Table1[[#This Row],[Reference]],metron,25,FALSE)</f>
        <v>9.372172969060974E-2</v>
      </c>
      <c r="CL453" s="6">
        <f>VLOOKUP(Table1[[#This Row],[Reference]],metron,26,FALSE)</f>
        <v>0.11669983716301791</v>
      </c>
    </row>
    <row r="454" spans="1:90" hidden="1" x14ac:dyDescent="0.45">
      <c r="A454" t="s">
        <v>1346</v>
      </c>
      <c r="B454">
        <v>1601769600</v>
      </c>
      <c r="C454" s="23" t="s">
        <v>877</v>
      </c>
      <c r="D454" t="s">
        <v>65</v>
      </c>
      <c r="E454" t="s">
        <v>66</v>
      </c>
      <c r="F454" t="s">
        <v>107</v>
      </c>
      <c r="G454" t="s">
        <v>91</v>
      </c>
      <c r="H454" t="s">
        <v>130</v>
      </c>
      <c r="I454">
        <f>MROUND(Table1[[#This Row],[ProbH]]*100,2)/100</f>
        <v>0.68</v>
      </c>
      <c r="J454">
        <f>1/Table1[[#This Row],[odds_ft_home_team_win]]-Table1[[#This Row],[Margin]]</f>
        <v>0.67856950129898164</v>
      </c>
      <c r="K454">
        <f>1/Table1[[#This Row],[odds_ft_draw]]-Table1[[#This Row],[Margin]]</f>
        <v>0.20422920665756994</v>
      </c>
      <c r="L454">
        <f>1/Table1[[#This Row],[odds_ft_away_team_win]]-Table1[[#This Row],[Margin]]</f>
        <v>0.11720129204344841</v>
      </c>
      <c r="M454">
        <v>13</v>
      </c>
      <c r="N454">
        <v>1.83</v>
      </c>
      <c r="O454">
        <v>0.6</v>
      </c>
      <c r="P454">
        <v>1.53</v>
      </c>
      <c r="Q454">
        <v>0.35</v>
      </c>
      <c r="R454" t="str" cm="1">
        <f t="array" ref="R4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4">
        <v>3</v>
      </c>
      <c r="T454">
        <v>0</v>
      </c>
      <c r="U454">
        <v>3</v>
      </c>
      <c r="V454">
        <v>0</v>
      </c>
      <c r="W454">
        <v>0</v>
      </c>
      <c r="X454">
        <v>0</v>
      </c>
      <c r="Y454" t="s">
        <v>878</v>
      </c>
      <c r="AA454">
        <v>4</v>
      </c>
      <c r="AB454">
        <v>1</v>
      </c>
      <c r="AC454">
        <v>2</v>
      </c>
      <c r="AD454">
        <v>0</v>
      </c>
      <c r="AE454">
        <v>3</v>
      </c>
      <c r="AF454">
        <v>1</v>
      </c>
      <c r="AG454">
        <v>0</v>
      </c>
      <c r="AH454">
        <v>2</v>
      </c>
      <c r="AI454">
        <v>0</v>
      </c>
      <c r="AJ454">
        <v>4</v>
      </c>
      <c r="AK454">
        <v>18</v>
      </c>
      <c r="AL454">
        <v>8</v>
      </c>
      <c r="AM454">
        <v>7</v>
      </c>
      <c r="AN454">
        <v>3</v>
      </c>
      <c r="AO454">
        <v>11</v>
      </c>
      <c r="AP454">
        <v>5</v>
      </c>
      <c r="AQ454">
        <v>8</v>
      </c>
      <c r="AR454">
        <v>11</v>
      </c>
      <c r="AS454">
        <v>69</v>
      </c>
      <c r="AT454">
        <v>31</v>
      </c>
      <c r="AU454">
        <v>1.99</v>
      </c>
      <c r="AV454">
        <v>0.82</v>
      </c>
      <c r="AW454">
        <v>3.04</v>
      </c>
      <c r="AX454">
        <v>64</v>
      </c>
      <c r="AY454">
        <v>100</v>
      </c>
      <c r="AZ454">
        <v>65</v>
      </c>
      <c r="BA454">
        <v>29</v>
      </c>
      <c r="BB454">
        <v>10</v>
      </c>
      <c r="BC454">
        <v>29</v>
      </c>
      <c r="BD454">
        <v>65</v>
      </c>
      <c r="BE454">
        <v>74</v>
      </c>
      <c r="BF454">
        <v>100</v>
      </c>
      <c r="BG454">
        <v>9.9</v>
      </c>
      <c r="BH454">
        <v>5</v>
      </c>
      <c r="BI454">
        <v>1.42</v>
      </c>
      <c r="BJ454">
        <v>4.3499999999999996</v>
      </c>
      <c r="BK454">
        <v>7</v>
      </c>
      <c r="BL454">
        <f>(1/Table1[[#This Row],[odds_ft_home_team_win]]+1/Table1[[#This Row],[odds_ft_draw]]+1/Table1[[#This Row],[odds_ft_away_team_win]]-1)/3</f>
        <v>2.5655850813694443E-2</v>
      </c>
      <c r="BM454">
        <v>1.22</v>
      </c>
      <c r="BN454">
        <v>1.71</v>
      </c>
      <c r="BO454">
        <v>2.8</v>
      </c>
      <c r="BP454">
        <v>5.15</v>
      </c>
      <c r="BQ454">
        <v>1.87</v>
      </c>
      <c r="BR454">
        <v>1.83</v>
      </c>
      <c r="BS454" t="s">
        <v>161</v>
      </c>
      <c r="BT454">
        <f>VLOOKUP(Table1[[#This Row],[Reference]],metron,8,FALSE)</f>
        <v>2.2809240428978073</v>
      </c>
      <c r="BU454">
        <f>VLOOKUP(Table1[[#This Row],[Reference]],metron,9,FALSE)</f>
        <v>0.51285766971545521</v>
      </c>
      <c r="BV454">
        <f>VLOOKUP(Table1[[#This Row],[Reference]],metron,10,FALSE)</f>
        <v>2.9107565011820329</v>
      </c>
      <c r="BW454">
        <f>VLOOKUP(Table1[[#This Row],[Reference]],metron,11,FALSE)</f>
        <v>2.1359338061465718</v>
      </c>
      <c r="BX454">
        <f>VLOOKUP(Table1[[#This Row],[Reference]],metron,12,FALSE)</f>
        <v>0.77482269503546097</v>
      </c>
      <c r="BY454" s="6">
        <f>VLOOKUP(Table1[[#This Row],[Reference]],metron,13,FALSE)</f>
        <v>0.93380614657210403</v>
      </c>
      <c r="BZ454" s="6">
        <f>VLOOKUP(Table1[[#This Row],[Reference]],metron,14,FALSE)</f>
        <v>0.33747044917257679</v>
      </c>
      <c r="CA454" s="6">
        <f>VLOOKUP(Table1[[#This Row],[Reference]],metron,15,FALSE)</f>
        <v>15.783723522853959</v>
      </c>
      <c r="CB454" s="6">
        <f>VLOOKUP(Table1[[#This Row],[Reference]],metron,16,FALSE)</f>
        <v>8.5830546265328866</v>
      </c>
      <c r="CC454" s="6">
        <f>VLOOKUP(Table1[[#This Row],[Reference]],metron,17,FALSE)</f>
        <v>6.7338618346545864</v>
      </c>
      <c r="CD454" s="6">
        <f>VLOOKUP(Table1[[#This Row],[Reference]],metron,18,FALSE)</f>
        <v>3.2842582106455271</v>
      </c>
      <c r="CE454" s="6">
        <f>VLOOKUP(Table1[[#This Row],[Reference]],metron,19,FALSE)</f>
        <v>9.049861688199373</v>
      </c>
      <c r="CF454" s="6">
        <f>VLOOKUP(Table1[[#This Row],[Reference]],metron,20,FALSE)</f>
        <v>5.2987964158873595</v>
      </c>
      <c r="CG454" s="6">
        <f>VLOOKUP(Table1[[#This Row],[Reference]],metron,21,FALSE)</f>
        <v>12.362500000000001</v>
      </c>
      <c r="CH454" s="6">
        <f>VLOOKUP(Table1[[#This Row],[Reference]],metron,22,FALSE)</f>
        <v>13.904545454545451</v>
      </c>
      <c r="CI454" s="6">
        <f>VLOOKUP(Table1[[#This Row],[Reference]],metron,23,FALSE)</f>
        <v>1.353005464480874</v>
      </c>
      <c r="CJ454" s="6">
        <f>VLOOKUP(Table1[[#This Row],[Reference]],metron,24,FALSE)</f>
        <v>2.0185792349726781</v>
      </c>
      <c r="CK454" s="6">
        <f>VLOOKUP(Table1[[#This Row],[Reference]],metron,25,FALSE)</f>
        <v>6.6666666666666666E-2</v>
      </c>
      <c r="CL454" s="6">
        <f>VLOOKUP(Table1[[#This Row],[Reference]],metron,26,FALSE)</f>
        <v>0.1213114754098361</v>
      </c>
    </row>
    <row r="455" spans="1:90" hidden="1" x14ac:dyDescent="0.45">
      <c r="A455" t="s">
        <v>1346</v>
      </c>
      <c r="B455">
        <v>1601776800</v>
      </c>
      <c r="C455" s="23" t="s">
        <v>879</v>
      </c>
      <c r="D455" t="s">
        <v>65</v>
      </c>
      <c r="E455" t="s">
        <v>66</v>
      </c>
      <c r="F455" t="s">
        <v>68</v>
      </c>
      <c r="G455" t="s">
        <v>96</v>
      </c>
      <c r="H455" t="s">
        <v>80</v>
      </c>
      <c r="I455">
        <f>MROUND(Table1[[#This Row],[ProbH]]*100,2)/100</f>
        <v>0.46</v>
      </c>
      <c r="J455">
        <f>1/Table1[[#This Row],[odds_ft_home_team_win]]-Table1[[#This Row],[Margin]]</f>
        <v>0.46090812686782995</v>
      </c>
      <c r="K455">
        <f>1/Table1[[#This Row],[odds_ft_draw]]-Table1[[#This Row],[Margin]]</f>
        <v>0.26295832128281754</v>
      </c>
      <c r="L455">
        <f>1/Table1[[#This Row],[odds_ft_away_team_win]]-Table1[[#This Row],[Margin]]</f>
        <v>0.27613355184935245</v>
      </c>
      <c r="M455">
        <v>13</v>
      </c>
      <c r="N455">
        <v>2.17</v>
      </c>
      <c r="O455">
        <v>1.6</v>
      </c>
      <c r="P455">
        <v>2.37</v>
      </c>
      <c r="Q455">
        <v>1.25</v>
      </c>
      <c r="R455" t="str" cm="1">
        <f t="array" ref="R4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55">
        <v>2</v>
      </c>
      <c r="T455">
        <v>2</v>
      </c>
      <c r="U455">
        <v>4</v>
      </c>
      <c r="V455">
        <v>2</v>
      </c>
      <c r="W455">
        <v>1</v>
      </c>
      <c r="X455">
        <v>1</v>
      </c>
      <c r="Y455" t="s">
        <v>880</v>
      </c>
      <c r="Z455" t="s">
        <v>881</v>
      </c>
      <c r="AA455">
        <v>3</v>
      </c>
      <c r="AB455">
        <v>5</v>
      </c>
      <c r="AC455">
        <v>1</v>
      </c>
      <c r="AD455">
        <v>0</v>
      </c>
      <c r="AE455">
        <v>4</v>
      </c>
      <c r="AF455">
        <v>1</v>
      </c>
      <c r="AG455">
        <v>0</v>
      </c>
      <c r="AH455">
        <v>1</v>
      </c>
      <c r="AI455">
        <v>0</v>
      </c>
      <c r="AJ455">
        <v>5</v>
      </c>
      <c r="AK455">
        <v>26</v>
      </c>
      <c r="AL455">
        <v>12</v>
      </c>
      <c r="AM455">
        <v>9</v>
      </c>
      <c r="AN455">
        <v>5</v>
      </c>
      <c r="AO455">
        <v>17</v>
      </c>
      <c r="AP455">
        <v>7</v>
      </c>
      <c r="AQ455">
        <v>14</v>
      </c>
      <c r="AR455">
        <v>19</v>
      </c>
      <c r="AS455">
        <v>59</v>
      </c>
      <c r="AT455">
        <v>41</v>
      </c>
      <c r="AU455">
        <v>2.58</v>
      </c>
      <c r="AV455">
        <v>1.3</v>
      </c>
      <c r="AW455">
        <v>2.59</v>
      </c>
      <c r="AX455">
        <v>64</v>
      </c>
      <c r="AY455">
        <v>82</v>
      </c>
      <c r="AZ455">
        <v>54</v>
      </c>
      <c r="BA455">
        <v>34</v>
      </c>
      <c r="BB455">
        <v>0</v>
      </c>
      <c r="BC455">
        <v>25</v>
      </c>
      <c r="BD455">
        <v>72</v>
      </c>
      <c r="BE455">
        <v>55</v>
      </c>
      <c r="BF455">
        <v>74</v>
      </c>
      <c r="BG455">
        <v>7.83</v>
      </c>
      <c r="BH455">
        <v>5.37</v>
      </c>
      <c r="BI455">
        <v>2.0499999999999998</v>
      </c>
      <c r="BJ455">
        <v>3.45</v>
      </c>
      <c r="BK455">
        <v>3.3</v>
      </c>
      <c r="BL455">
        <f>(1/Table1[[#This Row],[odds_ft_home_team_win]]+1/Table1[[#This Row],[odds_ft_draw]]+1/Table1[[#This Row],[odds_ft_away_team_win]]-1)/3</f>
        <v>2.6896751180950584E-2</v>
      </c>
      <c r="BM455">
        <v>1.2</v>
      </c>
      <c r="BN455">
        <v>1.67</v>
      </c>
      <c r="BO455">
        <v>2.7</v>
      </c>
      <c r="BP455">
        <v>4.8499999999999996</v>
      </c>
      <c r="BQ455">
        <v>1.56</v>
      </c>
      <c r="BR455">
        <v>2.2999999999999998</v>
      </c>
      <c r="BS455" t="s">
        <v>116</v>
      </c>
      <c r="BT455">
        <f>VLOOKUP(Table1[[#This Row],[Reference]],metron,8,FALSE)</f>
        <v>1.6955772349985931</v>
      </c>
      <c r="BU455">
        <f>VLOOKUP(Table1[[#This Row],[Reference]],metron,9,FALSE)</f>
        <v>1.0239029519551039</v>
      </c>
      <c r="BV455">
        <f>VLOOKUP(Table1[[#This Row],[Reference]],metron,10,FALSE)</f>
        <v>2.5405629139072849</v>
      </c>
      <c r="BW455">
        <f>VLOOKUP(Table1[[#This Row],[Reference]],metron,11,FALSE)</f>
        <v>1.4888836329233679</v>
      </c>
      <c r="BX455">
        <f>VLOOKUP(Table1[[#This Row],[Reference]],metron,12,FALSE)</f>
        <v>1.0516792809839171</v>
      </c>
      <c r="BY455" s="6">
        <f>VLOOKUP(Table1[[#This Row],[Reference]],metron,13,FALSE)</f>
        <v>0.64581362346263005</v>
      </c>
      <c r="BZ455" s="6">
        <f>VLOOKUP(Table1[[#This Row],[Reference]],metron,14,FALSE)</f>
        <v>0.45364238410596031</v>
      </c>
      <c r="CA455" s="6">
        <f>VLOOKUP(Table1[[#This Row],[Reference]],metron,15,FALSE)</f>
        <v>12.686892177589851</v>
      </c>
      <c r="CB455" s="6">
        <f>VLOOKUP(Table1[[#This Row],[Reference]],metron,16,FALSE)</f>
        <v>9.8059196617336148</v>
      </c>
      <c r="CC455" s="6">
        <f>VLOOKUP(Table1[[#This Row],[Reference]],metron,17,FALSE)</f>
        <v>5.3198121263877027</v>
      </c>
      <c r="CD455" s="6">
        <f>VLOOKUP(Table1[[#This Row],[Reference]],metron,18,FALSE)</f>
        <v>4.0954312553373189</v>
      </c>
      <c r="CE455" s="6">
        <f>VLOOKUP(Table1[[#This Row],[Reference]],metron,19,FALSE)</f>
        <v>7.3670800512021479</v>
      </c>
      <c r="CF455" s="6">
        <f>VLOOKUP(Table1[[#This Row],[Reference]],metron,20,FALSE)</f>
        <v>5.710488406396296</v>
      </c>
      <c r="CG455" s="6">
        <f>VLOOKUP(Table1[[#This Row],[Reference]],metron,21,FALSE)</f>
        <v>13.0488908033599</v>
      </c>
      <c r="CH455" s="6">
        <f>VLOOKUP(Table1[[#This Row],[Reference]],metron,22,FALSE)</f>
        <v>13.714839543398661</v>
      </c>
      <c r="CI455" s="6">
        <f>VLOOKUP(Table1[[#This Row],[Reference]],metron,23,FALSE)</f>
        <v>1.567523459812322</v>
      </c>
      <c r="CJ455" s="6">
        <f>VLOOKUP(Table1[[#This Row],[Reference]],metron,24,FALSE)</f>
        <v>1.951040391676867</v>
      </c>
      <c r="CK455" s="6">
        <f>VLOOKUP(Table1[[#This Row],[Reference]],metron,25,FALSE)</f>
        <v>8.3027335781313744E-2</v>
      </c>
      <c r="CL455" s="6">
        <f>VLOOKUP(Table1[[#This Row],[Reference]],metron,26,FALSE)</f>
        <v>0.13117095063239501</v>
      </c>
    </row>
    <row r="456" spans="1:90" hidden="1" x14ac:dyDescent="0.45">
      <c r="A456" t="s">
        <v>1346</v>
      </c>
      <c r="B456">
        <v>1601830800</v>
      </c>
      <c r="C456" s="23" t="s">
        <v>882</v>
      </c>
      <c r="D456" t="s">
        <v>65</v>
      </c>
      <c r="E456" t="s">
        <v>66</v>
      </c>
      <c r="F456" t="s">
        <v>79</v>
      </c>
      <c r="G456" t="s">
        <v>112</v>
      </c>
      <c r="H456" t="s">
        <v>158</v>
      </c>
      <c r="I456">
        <f>MROUND(Table1[[#This Row],[ProbH]]*100,2)/100</f>
        <v>0.22</v>
      </c>
      <c r="J456">
        <f>1/Table1[[#This Row],[odds_ft_home_team_win]]-Table1[[#This Row],[Margin]]</f>
        <v>0.22395678461690949</v>
      </c>
      <c r="K456">
        <f>1/Table1[[#This Row],[odds_ft_draw]]-Table1[[#This Row],[Margin]]</f>
        <v>0.23711467935375158</v>
      </c>
      <c r="L456">
        <f>1/Table1[[#This Row],[odds_ft_away_team_win]]-Table1[[#This Row],[Margin]]</f>
        <v>0.53892853602933888</v>
      </c>
      <c r="M456">
        <v>13</v>
      </c>
      <c r="N456">
        <v>1.8</v>
      </c>
      <c r="O456">
        <v>1.67</v>
      </c>
      <c r="P456">
        <v>2</v>
      </c>
      <c r="Q456">
        <v>1.77</v>
      </c>
      <c r="R456" s="9" t="str" cm="1">
        <f t="array" ref="R4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6">
        <v>2</v>
      </c>
      <c r="T456">
        <v>0</v>
      </c>
      <c r="U456">
        <v>2</v>
      </c>
      <c r="V456">
        <v>1</v>
      </c>
      <c r="W456">
        <v>1</v>
      </c>
      <c r="X456">
        <v>0</v>
      </c>
      <c r="Y456" t="s">
        <v>883</v>
      </c>
      <c r="AA456">
        <v>5</v>
      </c>
      <c r="AB456">
        <v>10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13</v>
      </c>
      <c r="AL456">
        <v>31</v>
      </c>
      <c r="AM456">
        <v>3</v>
      </c>
      <c r="AN456">
        <v>7</v>
      </c>
      <c r="AO456">
        <v>10</v>
      </c>
      <c r="AP456">
        <v>24</v>
      </c>
      <c r="AQ456">
        <v>12</v>
      </c>
      <c r="AR456">
        <v>15</v>
      </c>
      <c r="AS456">
        <v>33</v>
      </c>
      <c r="AT456">
        <v>67</v>
      </c>
      <c r="AU456">
        <v>1.24</v>
      </c>
      <c r="AV456">
        <v>2.98</v>
      </c>
      <c r="AW456">
        <v>2.84</v>
      </c>
      <c r="AX456">
        <v>64</v>
      </c>
      <c r="AY456">
        <v>64</v>
      </c>
      <c r="AZ456">
        <v>55</v>
      </c>
      <c r="BA456">
        <v>37</v>
      </c>
      <c r="BB456">
        <v>29</v>
      </c>
      <c r="BC456">
        <v>37</v>
      </c>
      <c r="BD456">
        <v>64</v>
      </c>
      <c r="BE456">
        <v>55</v>
      </c>
      <c r="BF456">
        <v>92</v>
      </c>
      <c r="BG456">
        <v>10.53</v>
      </c>
      <c r="BH456">
        <v>4.8</v>
      </c>
      <c r="BI456">
        <v>4</v>
      </c>
      <c r="BJ456">
        <v>3.8</v>
      </c>
      <c r="BK456">
        <v>1.77</v>
      </c>
      <c r="BL456">
        <f>(1/Table1[[#This Row],[odds_ft_home_team_win]]+1/Table1[[#This Row],[odds_ft_draw]]+1/Table1[[#This Row],[odds_ft_away_team_win]]-1)/3</f>
        <v>2.6043215383090512E-2</v>
      </c>
      <c r="BM456">
        <v>1.19</v>
      </c>
      <c r="BN456">
        <v>1.62</v>
      </c>
      <c r="BO456">
        <v>2.6</v>
      </c>
      <c r="BP456">
        <v>4.5999999999999996</v>
      </c>
      <c r="BQ456">
        <v>1.61</v>
      </c>
      <c r="BR456">
        <v>2.2000000000000002</v>
      </c>
      <c r="BS456" t="s">
        <v>140</v>
      </c>
      <c r="BT456">
        <f>VLOOKUP(Table1[[#This Row],[Reference]],metron,8,FALSE)</f>
        <v>0.95722909461760497</v>
      </c>
      <c r="BU456">
        <f>VLOOKUP(Table1[[#This Row],[Reference]],metron,9,FALSE)</f>
        <v>1.7723830340511415</v>
      </c>
      <c r="BV456">
        <f>VLOOKUP(Table1[[#This Row],[Reference]],metron,10,FALSE)</f>
        <v>2.7115135834411381</v>
      </c>
      <c r="BW456">
        <f>VLOOKUP(Table1[[#This Row],[Reference]],metron,11,FALSE)</f>
        <v>1.0633893919793009</v>
      </c>
      <c r="BX456">
        <f>VLOOKUP(Table1[[#This Row],[Reference]],metron,12,FALSE)</f>
        <v>1.648124191461837</v>
      </c>
      <c r="BY456" s="6">
        <f>VLOOKUP(Table1[[#This Row],[Reference]],metron,13,FALSE)</f>
        <v>0.47218628719275552</v>
      </c>
      <c r="BZ456" s="6">
        <f>VLOOKUP(Table1[[#This Row],[Reference]],metron,14,FALSE)</f>
        <v>0.70181112548512292</v>
      </c>
      <c r="CA456" s="6">
        <f>VLOOKUP(Table1[[#This Row],[Reference]],metron,15,FALSE)</f>
        <v>10.38488783943329</v>
      </c>
      <c r="CB456" s="6">
        <f>VLOOKUP(Table1[[#This Row],[Reference]],metron,16,FALSE)</f>
        <v>12.349468713105081</v>
      </c>
      <c r="CC456" s="6">
        <f>VLOOKUP(Table1[[#This Row],[Reference]],metron,17,FALSE)</f>
        <v>4.0990453460620522</v>
      </c>
      <c r="CD456" s="6">
        <f>VLOOKUP(Table1[[#This Row],[Reference]],metron,18,FALSE)</f>
        <v>5.2720763723150359</v>
      </c>
      <c r="CE456" s="6">
        <f>VLOOKUP(Table1[[#This Row],[Reference]],metron,19,FALSE)</f>
        <v>6.2858424933712378</v>
      </c>
      <c r="CF456" s="6">
        <f>VLOOKUP(Table1[[#This Row],[Reference]],metron,20,FALSE)</f>
        <v>7.0773923407900448</v>
      </c>
      <c r="CG456" s="6">
        <f>VLOOKUP(Table1[[#This Row],[Reference]],metron,21,FALSE)</f>
        <v>13.235083532219569</v>
      </c>
      <c r="CH456" s="6">
        <f>VLOOKUP(Table1[[#This Row],[Reference]],metron,22,FALSE)</f>
        <v>13.05131264916468</v>
      </c>
      <c r="CI456" s="6">
        <f>VLOOKUP(Table1[[#This Row],[Reference]],metron,23,FALSE)</f>
        <v>1.834292289988493</v>
      </c>
      <c r="CJ456" s="6">
        <f>VLOOKUP(Table1[[#This Row],[Reference]],metron,24,FALSE)</f>
        <v>1.806674338319908</v>
      </c>
      <c r="CK456" s="6">
        <f>VLOOKUP(Table1[[#This Row],[Reference]],metron,25,FALSE)</f>
        <v>0.1196777905638665</v>
      </c>
      <c r="CL456" s="6">
        <f>VLOOKUP(Table1[[#This Row],[Reference]],metron,26,FALSE)</f>
        <v>0.1185270425776755</v>
      </c>
    </row>
    <row r="457" spans="1:90" hidden="1" x14ac:dyDescent="0.45">
      <c r="A457" t="s">
        <v>1346</v>
      </c>
      <c r="B457">
        <v>1601848800</v>
      </c>
      <c r="C457" s="23" t="s">
        <v>884</v>
      </c>
      <c r="D457" t="s">
        <v>65</v>
      </c>
      <c r="E457" t="s">
        <v>66</v>
      </c>
      <c r="F457" t="s">
        <v>78</v>
      </c>
      <c r="G457" t="s">
        <v>84</v>
      </c>
      <c r="H457" t="s">
        <v>103</v>
      </c>
      <c r="I457">
        <f>MROUND(Table1[[#This Row],[ProbH]]*100,2)/100</f>
        <v>0.26</v>
      </c>
      <c r="J457">
        <f>1/Table1[[#This Row],[odds_ft_home_team_win]]-Table1[[#This Row],[Margin]]</f>
        <v>0.25486972011279152</v>
      </c>
      <c r="K457">
        <f>1/Table1[[#This Row],[odds_ft_draw]]-Table1[[#This Row],[Margin]]</f>
        <v>0.2957602244290114</v>
      </c>
      <c r="L457">
        <f>1/Table1[[#This Row],[odds_ft_away_team_win]]-Table1[[#This Row],[Margin]]</f>
        <v>0.44937005545819725</v>
      </c>
      <c r="M457">
        <v>13</v>
      </c>
      <c r="N457">
        <v>1.33</v>
      </c>
      <c r="O457">
        <v>1.6</v>
      </c>
      <c r="P457">
        <v>1.41</v>
      </c>
      <c r="Q457">
        <v>1.38</v>
      </c>
      <c r="R457" t="str" cm="1">
        <f t="array" ref="R4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57">
        <v>1</v>
      </c>
      <c r="T457">
        <v>1</v>
      </c>
      <c r="U457">
        <v>2</v>
      </c>
      <c r="V457">
        <v>1</v>
      </c>
      <c r="W457">
        <v>0</v>
      </c>
      <c r="X457">
        <v>1</v>
      </c>
      <c r="Y457">
        <v>62</v>
      </c>
      <c r="Z457">
        <v>35</v>
      </c>
      <c r="AA457">
        <v>6</v>
      </c>
      <c r="AB457">
        <v>6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15</v>
      </c>
      <c r="AL457">
        <v>18</v>
      </c>
      <c r="AM457">
        <v>6</v>
      </c>
      <c r="AN457">
        <v>5</v>
      </c>
      <c r="AO457">
        <v>9</v>
      </c>
      <c r="AP457">
        <v>13</v>
      </c>
      <c r="AQ457">
        <v>14</v>
      </c>
      <c r="AR457">
        <v>10</v>
      </c>
      <c r="AS457">
        <v>42</v>
      </c>
      <c r="AT457">
        <v>58</v>
      </c>
      <c r="AU457">
        <v>1.6</v>
      </c>
      <c r="AV457">
        <v>1.95</v>
      </c>
      <c r="AW457">
        <v>1.0900000000000001</v>
      </c>
      <c r="AX457">
        <v>19</v>
      </c>
      <c r="AY457">
        <v>27</v>
      </c>
      <c r="AZ457">
        <v>0</v>
      </c>
      <c r="BA457">
        <v>0</v>
      </c>
      <c r="BB457">
        <v>0</v>
      </c>
      <c r="BC457">
        <v>0</v>
      </c>
      <c r="BD457">
        <v>17</v>
      </c>
      <c r="BE457">
        <v>27</v>
      </c>
      <c r="BF457">
        <v>65</v>
      </c>
      <c r="BG457">
        <v>9.83</v>
      </c>
      <c r="BH457">
        <v>4.57</v>
      </c>
      <c r="BI457">
        <v>3.55</v>
      </c>
      <c r="BJ457">
        <v>3.1</v>
      </c>
      <c r="BK457">
        <v>2.1</v>
      </c>
      <c r="BL457">
        <f>(1/Table1[[#This Row],[odds_ft_home_team_win]]+1/Table1[[#This Row],[odds_ft_draw]]+1/Table1[[#This Row],[odds_ft_away_team_win]]-1)/3</f>
        <v>2.6820420732278933E-2</v>
      </c>
      <c r="BM457">
        <v>1.4</v>
      </c>
      <c r="BN457">
        <v>2.25</v>
      </c>
      <c r="BO457">
        <v>4.25</v>
      </c>
      <c r="BP457">
        <v>8.25</v>
      </c>
      <c r="BQ457">
        <v>1.95</v>
      </c>
      <c r="BR457">
        <v>1.8</v>
      </c>
      <c r="BS457" t="s">
        <v>82</v>
      </c>
      <c r="BT457">
        <f>VLOOKUP(Table1[[#This Row],[Reference]],metron,8,FALSE)</f>
        <v>1.0905313574236399</v>
      </c>
      <c r="BU457">
        <f>VLOOKUP(Table1[[#This Row],[Reference]],metron,9,FALSE)</f>
        <v>1.6289415604939639</v>
      </c>
      <c r="BV457">
        <f>VLOOKUP(Table1[[#This Row],[Reference]],metron,10,FALSE)</f>
        <v>2.569449507838133</v>
      </c>
      <c r="BW457">
        <f>VLOOKUP(Table1[[#This Row],[Reference]],metron,11,FALSE)</f>
        <v>1.0936930368209989</v>
      </c>
      <c r="BX457">
        <f>VLOOKUP(Table1[[#This Row],[Reference]],metron,12,FALSE)</f>
        <v>1.475756471017134</v>
      </c>
      <c r="BY457" s="6">
        <f>VLOOKUP(Table1[[#This Row],[Reference]],metron,13,FALSE)</f>
        <v>0.50018228217280347</v>
      </c>
      <c r="BZ457" s="6">
        <f>VLOOKUP(Table1[[#This Row],[Reference]],metron,14,FALSE)</f>
        <v>0.65220561429092239</v>
      </c>
      <c r="CA457" s="6">
        <f>VLOOKUP(Table1[[#This Row],[Reference]],metron,15,FALSE)</f>
        <v>10.905576679340941</v>
      </c>
      <c r="CB457" s="6">
        <f>VLOOKUP(Table1[[#This Row],[Reference]],metron,16,FALSE)</f>
        <v>12.06463878326996</v>
      </c>
      <c r="CC457" s="6">
        <f>VLOOKUP(Table1[[#This Row],[Reference]],metron,17,FALSE)</f>
        <v>4.2920127795527154</v>
      </c>
      <c r="CD457" s="6">
        <f>VLOOKUP(Table1[[#This Row],[Reference]],metron,18,FALSE)</f>
        <v>5.0095846645367406</v>
      </c>
      <c r="CE457" s="6">
        <f>VLOOKUP(Table1[[#This Row],[Reference]],metron,19,FALSE)</f>
        <v>6.6135638997882253</v>
      </c>
      <c r="CF457" s="6">
        <f>VLOOKUP(Table1[[#This Row],[Reference]],metron,20,FALSE)</f>
        <v>7.055054118733219</v>
      </c>
      <c r="CG457" s="6">
        <f>VLOOKUP(Table1[[#This Row],[Reference]],metron,21,FALSE)</f>
        <v>12.94865211810013</v>
      </c>
      <c r="CH457" s="6">
        <f>VLOOKUP(Table1[[#This Row],[Reference]],metron,22,FALSE)</f>
        <v>13.189345314505781</v>
      </c>
      <c r="CI457" s="6">
        <f>VLOOKUP(Table1[[#This Row],[Reference]],metron,23,FALSE)</f>
        <v>1.771446078431373</v>
      </c>
      <c r="CJ457" s="6">
        <f>VLOOKUP(Table1[[#This Row],[Reference]],metron,24,FALSE)</f>
        <v>1.809436274509804</v>
      </c>
      <c r="CK457" s="6">
        <f>VLOOKUP(Table1[[#This Row],[Reference]],metron,25,FALSE)</f>
        <v>0.1060049019607843</v>
      </c>
      <c r="CL457" s="6">
        <f>VLOOKUP(Table1[[#This Row],[Reference]],metron,26,FALSE)</f>
        <v>9.6813725490196081E-2</v>
      </c>
    </row>
    <row r="458" spans="1:90" hidden="1" x14ac:dyDescent="0.45">
      <c r="A458" t="s">
        <v>1346</v>
      </c>
      <c r="B458">
        <v>1601856000</v>
      </c>
      <c r="C458" s="23" t="s">
        <v>885</v>
      </c>
      <c r="D458" t="s">
        <v>65</v>
      </c>
      <c r="E458" t="s">
        <v>66</v>
      </c>
      <c r="F458" t="s">
        <v>67</v>
      </c>
      <c r="G458" t="s">
        <v>101</v>
      </c>
      <c r="H458" t="s">
        <v>122</v>
      </c>
      <c r="I458">
        <f>MROUND(Table1[[#This Row],[ProbH]]*100,2)/100</f>
        <v>0.38</v>
      </c>
      <c r="J458">
        <f>1/Table1[[#This Row],[odds_ft_home_team_win]]-Table1[[#This Row],[Margin]]</f>
        <v>0.37517651430694909</v>
      </c>
      <c r="K458">
        <f>1/Table1[[#This Row],[odds_ft_draw]]-Table1[[#This Row],[Margin]]</f>
        <v>0.2650315867707172</v>
      </c>
      <c r="L458">
        <f>1/Table1[[#This Row],[odds_ft_away_team_win]]-Table1[[#This Row],[Margin]]</f>
        <v>0.35979189892233365</v>
      </c>
      <c r="M458">
        <v>13</v>
      </c>
      <c r="N458">
        <v>2</v>
      </c>
      <c r="O458">
        <v>1.33</v>
      </c>
      <c r="P458">
        <v>1.82</v>
      </c>
      <c r="Q458">
        <v>1.39</v>
      </c>
      <c r="R458" t="str" cm="1">
        <f t="array" ref="R4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8">
        <v>1</v>
      </c>
      <c r="T458">
        <v>2</v>
      </c>
      <c r="U458">
        <v>3</v>
      </c>
      <c r="V458">
        <v>0</v>
      </c>
      <c r="W458">
        <v>0</v>
      </c>
      <c r="X458">
        <v>0</v>
      </c>
      <c r="Y458">
        <v>85</v>
      </c>
      <c r="Z458" t="s">
        <v>886</v>
      </c>
      <c r="AA458">
        <v>7</v>
      </c>
      <c r="AB458">
        <v>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</v>
      </c>
      <c r="AL458">
        <v>10</v>
      </c>
      <c r="AM458">
        <v>3</v>
      </c>
      <c r="AN458">
        <v>6</v>
      </c>
      <c r="AO458">
        <v>7</v>
      </c>
      <c r="AP458">
        <v>4</v>
      </c>
      <c r="AQ458">
        <v>13</v>
      </c>
      <c r="AR458">
        <v>17</v>
      </c>
      <c r="AS458">
        <v>45</v>
      </c>
      <c r="AT458">
        <v>55</v>
      </c>
      <c r="AU458">
        <v>1.02</v>
      </c>
      <c r="AV458">
        <v>1.26</v>
      </c>
      <c r="AW458">
        <v>3.05</v>
      </c>
      <c r="AX458">
        <v>82</v>
      </c>
      <c r="AY458">
        <v>82</v>
      </c>
      <c r="AZ458">
        <v>55</v>
      </c>
      <c r="BA458">
        <v>39</v>
      </c>
      <c r="BB458">
        <v>30</v>
      </c>
      <c r="BC458">
        <v>35</v>
      </c>
      <c r="BD458">
        <v>82</v>
      </c>
      <c r="BE458">
        <v>49</v>
      </c>
      <c r="BF458">
        <v>82</v>
      </c>
      <c r="BG458">
        <v>8.17</v>
      </c>
      <c r="BH458">
        <v>4.47</v>
      </c>
      <c r="BI458">
        <v>2.5</v>
      </c>
      <c r="BJ458">
        <v>3.45</v>
      </c>
      <c r="BK458">
        <v>2.6</v>
      </c>
      <c r="BL458">
        <f>(1/Table1[[#This Row],[odds_ft_home_team_win]]+1/Table1[[#This Row],[odds_ft_draw]]+1/Table1[[#This Row],[odds_ft_away_team_win]]-1)/3</f>
        <v>2.4823485693050928E-2</v>
      </c>
      <c r="BM458">
        <v>1.19</v>
      </c>
      <c r="BN458">
        <v>1.62</v>
      </c>
      <c r="BO458">
        <v>2.6</v>
      </c>
      <c r="BP458">
        <v>4.5999999999999996</v>
      </c>
      <c r="BQ458">
        <v>1.53</v>
      </c>
      <c r="BR458">
        <v>2.4</v>
      </c>
      <c r="BS458" t="s">
        <v>70</v>
      </c>
      <c r="BT458">
        <f>VLOOKUP(Table1[[#This Row],[Reference]],metron,8,FALSE)</f>
        <v>1.464160929441638</v>
      </c>
      <c r="BU458">
        <f>VLOOKUP(Table1[[#This Row],[Reference]],metron,9,FALSE)</f>
        <v>1.2477119808919459</v>
      </c>
      <c r="BV458">
        <f>VLOOKUP(Table1[[#This Row],[Reference]],metron,10,FALSE)</f>
        <v>2.4900895140664963</v>
      </c>
      <c r="BW458">
        <f>VLOOKUP(Table1[[#This Row],[Reference]],metron,11,FALSE)</f>
        <v>1.330562659846547</v>
      </c>
      <c r="BX458">
        <f>VLOOKUP(Table1[[#This Row],[Reference]],metron,12,FALSE)</f>
        <v>1.1595268542199491</v>
      </c>
      <c r="BY458" s="6">
        <f>VLOOKUP(Table1[[#This Row],[Reference]],metron,13,FALSE)</f>
        <v>0.59053607588191415</v>
      </c>
      <c r="BZ458" s="6">
        <f>VLOOKUP(Table1[[#This Row],[Reference]],metron,14,FALSE)</f>
        <v>0.50069274219332838</v>
      </c>
      <c r="CA458" s="6">
        <f>VLOOKUP(Table1[[#This Row],[Reference]],metron,15,FALSE)</f>
        <v>11.79715236686391</v>
      </c>
      <c r="CB458" s="6">
        <f>VLOOKUP(Table1[[#This Row],[Reference]],metron,16,FALSE)</f>
        <v>10.317122781065089</v>
      </c>
      <c r="CC458" s="6">
        <f>VLOOKUP(Table1[[#This Row],[Reference]],metron,17,FALSE)</f>
        <v>5.0637025966747622</v>
      </c>
      <c r="CD458" s="6">
        <f>VLOOKUP(Table1[[#This Row],[Reference]],metron,18,FALSE)</f>
        <v>4.4674014571268454</v>
      </c>
      <c r="CE458" s="6">
        <f>VLOOKUP(Table1[[#This Row],[Reference]],metron,19,FALSE)</f>
        <v>6.7334497701891483</v>
      </c>
      <c r="CF458" s="6">
        <f>VLOOKUP(Table1[[#This Row],[Reference]],metron,20,FALSE)</f>
        <v>5.849721323938244</v>
      </c>
      <c r="CG458" s="6">
        <f>VLOOKUP(Table1[[#This Row],[Reference]],metron,21,FALSE)</f>
        <v>12.89644194756554</v>
      </c>
      <c r="CH458" s="6">
        <f>VLOOKUP(Table1[[#This Row],[Reference]],metron,22,FALSE)</f>
        <v>13.3434456928839</v>
      </c>
      <c r="CI458" s="6">
        <f>VLOOKUP(Table1[[#This Row],[Reference]],metron,23,FALSE)</f>
        <v>1.6144382124117971</v>
      </c>
      <c r="CJ458" s="6">
        <f>VLOOKUP(Table1[[#This Row],[Reference]],metron,24,FALSE)</f>
        <v>1.9032024606477289</v>
      </c>
      <c r="CK458" s="6">
        <f>VLOOKUP(Table1[[#This Row],[Reference]],metron,25,FALSE)</f>
        <v>9.372172969060974E-2</v>
      </c>
      <c r="CL458" s="6">
        <f>VLOOKUP(Table1[[#This Row],[Reference]],metron,26,FALSE)</f>
        <v>0.11669983716301791</v>
      </c>
    </row>
    <row r="459" spans="1:90" hidden="1" x14ac:dyDescent="0.45">
      <c r="A459" t="s">
        <v>1346</v>
      </c>
      <c r="B459">
        <v>1601863560</v>
      </c>
      <c r="C459" s="23" t="s">
        <v>887</v>
      </c>
      <c r="D459" t="s">
        <v>65</v>
      </c>
      <c r="E459" t="s">
        <v>66</v>
      </c>
      <c r="F459" t="s">
        <v>106</v>
      </c>
      <c r="G459" t="s">
        <v>90</v>
      </c>
      <c r="H459" t="s">
        <v>74</v>
      </c>
      <c r="I459">
        <f>MROUND(Table1[[#This Row],[ProbH]]*100,2)/100</f>
        <v>0.34</v>
      </c>
      <c r="J459">
        <f>1/Table1[[#This Row],[odds_ft_home_team_win]]-Table1[[#This Row],[Margin]]</f>
        <v>0.34693386833780421</v>
      </c>
      <c r="K459">
        <f>1/Table1[[#This Row],[odds_ft_draw]]-Table1[[#This Row],[Margin]]</f>
        <v>0.29914414312872417</v>
      </c>
      <c r="L459">
        <f>1/Table1[[#This Row],[odds_ft_away_team_win]]-Table1[[#This Row],[Margin]]</f>
        <v>0.35392198853347162</v>
      </c>
      <c r="M459">
        <v>13</v>
      </c>
      <c r="N459">
        <v>1.86</v>
      </c>
      <c r="O459">
        <v>1.5</v>
      </c>
      <c r="P459">
        <v>1.59</v>
      </c>
      <c r="Q459">
        <v>1.35</v>
      </c>
      <c r="R459" t="str" cm="1">
        <f t="array" ref="R4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3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6</v>
      </c>
      <c r="AL459">
        <v>8</v>
      </c>
      <c r="AM459">
        <v>5</v>
      </c>
      <c r="AN459">
        <v>4</v>
      </c>
      <c r="AO459">
        <v>1</v>
      </c>
      <c r="AP459">
        <v>4</v>
      </c>
      <c r="AQ459">
        <v>16</v>
      </c>
      <c r="AR459">
        <v>9</v>
      </c>
      <c r="AS459">
        <v>49</v>
      </c>
      <c r="AT459">
        <v>51</v>
      </c>
      <c r="AU459">
        <v>1.23</v>
      </c>
      <c r="AV459">
        <v>1.28</v>
      </c>
      <c r="AW459">
        <v>2.23</v>
      </c>
      <c r="AX459">
        <v>45</v>
      </c>
      <c r="AY459">
        <v>69</v>
      </c>
      <c r="AZ459">
        <v>45</v>
      </c>
      <c r="BA459">
        <v>16</v>
      </c>
      <c r="BB459">
        <v>0</v>
      </c>
      <c r="BC459">
        <v>22</v>
      </c>
      <c r="BD459">
        <v>68</v>
      </c>
      <c r="BE459">
        <v>40</v>
      </c>
      <c r="BF459">
        <v>77</v>
      </c>
      <c r="BG459">
        <v>8.8800000000000008</v>
      </c>
      <c r="BH459">
        <v>5.17</v>
      </c>
      <c r="BI459">
        <v>2.7</v>
      </c>
      <c r="BJ459">
        <v>3.1</v>
      </c>
      <c r="BK459">
        <v>2.65</v>
      </c>
      <c r="BL459">
        <f>(1/Table1[[#This Row],[odds_ft_home_team_win]]+1/Table1[[#This Row],[odds_ft_draw]]+1/Table1[[#This Row],[odds_ft_away_team_win]]-1)/3</f>
        <v>2.3436502032566125E-2</v>
      </c>
      <c r="BM459">
        <v>1.36</v>
      </c>
      <c r="BN459">
        <v>2.15</v>
      </c>
      <c r="BO459">
        <v>3.9</v>
      </c>
      <c r="BP459">
        <v>7.5</v>
      </c>
      <c r="BQ459">
        <v>1.83</v>
      </c>
      <c r="BR459">
        <v>1.87</v>
      </c>
      <c r="BS459" t="s">
        <v>110</v>
      </c>
      <c r="BT459">
        <f>VLOOKUP(Table1[[#This Row],[Reference]],metron,8,FALSE)</f>
        <v>1.3382439854569812</v>
      </c>
      <c r="BU459">
        <f>VLOOKUP(Table1[[#This Row],[Reference]],metron,9,FALSE)</f>
        <v>1.3740319615582339</v>
      </c>
      <c r="BV459">
        <f>VLOOKUP(Table1[[#This Row],[Reference]],metron,10,FALSE)</f>
        <v>2.5229727551184897</v>
      </c>
      <c r="BW459">
        <f>VLOOKUP(Table1[[#This Row],[Reference]],metron,11,FALSE)</f>
        <v>1.228921489601805</v>
      </c>
      <c r="BX459">
        <f>VLOOKUP(Table1[[#This Row],[Reference]],metron,12,FALSE)</f>
        <v>1.2940512655166849</v>
      </c>
      <c r="BY459" s="6">
        <f>VLOOKUP(Table1[[#This Row],[Reference]],metron,13,FALSE)</f>
        <v>0.53240890035472432</v>
      </c>
      <c r="BZ459" s="6">
        <f>VLOOKUP(Table1[[#This Row],[Reference]],metron,14,FALSE)</f>
        <v>0.56514027732989358</v>
      </c>
      <c r="CA459" s="6">
        <f>VLOOKUP(Table1[[#This Row],[Reference]],metron,15,FALSE)</f>
        <v>11.417888124439131</v>
      </c>
      <c r="CB459" s="6">
        <f>VLOOKUP(Table1[[#This Row],[Reference]],metron,16,FALSE)</f>
        <v>10.76308704756207</v>
      </c>
      <c r="CC459" s="6">
        <f>VLOOKUP(Table1[[#This Row],[Reference]],metron,17,FALSE)</f>
        <v>4.8317672021824798</v>
      </c>
      <c r="CD459" s="6">
        <f>VLOOKUP(Table1[[#This Row],[Reference]],metron,18,FALSE)</f>
        <v>4.6698999696877843</v>
      </c>
      <c r="CE459" s="6">
        <f>VLOOKUP(Table1[[#This Row],[Reference]],metron,19,FALSE)</f>
        <v>6.5861209222566508</v>
      </c>
      <c r="CF459" s="6">
        <f>VLOOKUP(Table1[[#This Row],[Reference]],metron,20,FALSE)</f>
        <v>6.093187077874286</v>
      </c>
      <c r="CG459" s="6">
        <f>VLOOKUP(Table1[[#This Row],[Reference]],metron,21,FALSE)</f>
        <v>12.685679611650491</v>
      </c>
      <c r="CH459" s="6">
        <f>VLOOKUP(Table1[[#This Row],[Reference]],metron,22,FALSE)</f>
        <v>13.02639563106796</v>
      </c>
      <c r="CI459" s="6">
        <f>VLOOKUP(Table1[[#This Row],[Reference]],metron,23,FALSE)</f>
        <v>1.6481211768132831</v>
      </c>
      <c r="CJ459" s="6">
        <f>VLOOKUP(Table1[[#This Row],[Reference]],metron,24,FALSE)</f>
        <v>1.8572676958928049</v>
      </c>
      <c r="CK459" s="6">
        <f>VLOOKUP(Table1[[#This Row],[Reference]],metron,25,FALSE)</f>
        <v>9.641712787649287E-2</v>
      </c>
      <c r="CL459" s="6">
        <f>VLOOKUP(Table1[[#This Row],[Reference]],metron,26,FALSE)</f>
        <v>0.11302068161957469</v>
      </c>
    </row>
    <row r="460" spans="1:90" hidden="1" x14ac:dyDescent="0.45">
      <c r="A460" t="s">
        <v>1346</v>
      </c>
      <c r="B460">
        <v>1602461160</v>
      </c>
      <c r="C460" s="23" t="s">
        <v>888</v>
      </c>
      <c r="D460" t="s">
        <v>65</v>
      </c>
      <c r="E460" t="s">
        <v>66</v>
      </c>
      <c r="F460" t="s">
        <v>73</v>
      </c>
      <c r="G460" t="s">
        <v>106</v>
      </c>
      <c r="H460" t="s">
        <v>114</v>
      </c>
      <c r="I460">
        <f>MROUND(Table1[[#This Row],[ProbH]]*100,2)/100</f>
        <v>0.57999999999999996</v>
      </c>
      <c r="J460">
        <f>1/Table1[[#This Row],[odds_ft_home_team_win]]-Table1[[#This Row],[Margin]]</f>
        <v>0.58134920634920639</v>
      </c>
      <c r="K460">
        <f>1/Table1[[#This Row],[odds_ft_draw]]-Table1[[#This Row],[Margin]]</f>
        <v>0.23502886002886003</v>
      </c>
      <c r="L460">
        <f>1/Table1[[#This Row],[odds_ft_away_team_win]]-Table1[[#This Row],[Margin]]</f>
        <v>0.18362193362193366</v>
      </c>
      <c r="M460">
        <v>12</v>
      </c>
      <c r="N460">
        <v>1.75</v>
      </c>
      <c r="O460">
        <v>0</v>
      </c>
      <c r="P460">
        <v>2.09</v>
      </c>
      <c r="Q460">
        <v>0.47</v>
      </c>
      <c r="R460" t="str" cm="1">
        <f t="array" ref="R4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0">
        <v>2</v>
      </c>
      <c r="T460">
        <v>0</v>
      </c>
      <c r="U460">
        <v>2</v>
      </c>
      <c r="V460">
        <v>2</v>
      </c>
      <c r="W460">
        <v>2</v>
      </c>
      <c r="X460">
        <v>0</v>
      </c>
      <c r="Y460" t="s">
        <v>889</v>
      </c>
      <c r="AA460">
        <v>7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16</v>
      </c>
      <c r="AL460">
        <v>4</v>
      </c>
      <c r="AM460">
        <v>8</v>
      </c>
      <c r="AN460">
        <v>2</v>
      </c>
      <c r="AO460">
        <v>8</v>
      </c>
      <c r="AP460">
        <v>2</v>
      </c>
      <c r="AQ460">
        <v>8</v>
      </c>
      <c r="AR460">
        <v>14</v>
      </c>
      <c r="AS460">
        <v>51</v>
      </c>
      <c r="AT460">
        <v>49</v>
      </c>
      <c r="AU460">
        <v>2.36</v>
      </c>
      <c r="AV460">
        <v>0.93</v>
      </c>
      <c r="AW460">
        <v>2.38</v>
      </c>
      <c r="AX460">
        <v>38</v>
      </c>
      <c r="AY460">
        <v>75</v>
      </c>
      <c r="AZ460">
        <v>63</v>
      </c>
      <c r="BA460">
        <v>13</v>
      </c>
      <c r="BB460">
        <v>0</v>
      </c>
      <c r="BC460">
        <v>13</v>
      </c>
      <c r="BD460">
        <v>88</v>
      </c>
      <c r="BE460">
        <v>50</v>
      </c>
      <c r="BF460">
        <v>75</v>
      </c>
      <c r="BG460">
        <v>11</v>
      </c>
      <c r="BH460">
        <v>6.25</v>
      </c>
      <c r="BI460">
        <v>1.65</v>
      </c>
      <c r="BJ460">
        <v>3.85</v>
      </c>
      <c r="BK460">
        <v>4.8</v>
      </c>
      <c r="BL460">
        <f>(1/Table1[[#This Row],[odds_ft_home_team_win]]+1/Table1[[#This Row],[odds_ft_draw]]+1/Table1[[#This Row],[odds_ft_away_team_win]]-1)/3</f>
        <v>2.4711399711399684E-2</v>
      </c>
      <c r="BM460">
        <v>1.26</v>
      </c>
      <c r="BN460">
        <v>1.83</v>
      </c>
      <c r="BO460">
        <v>3.1</v>
      </c>
      <c r="BP460">
        <v>5.8</v>
      </c>
      <c r="BQ460">
        <v>1.8</v>
      </c>
      <c r="BR460">
        <v>1.91</v>
      </c>
      <c r="BS460" t="s">
        <v>142</v>
      </c>
      <c r="BT460">
        <f>VLOOKUP(Table1[[#This Row],[Reference]],metron,8,FALSE)</f>
        <v>2.0230889143600308</v>
      </c>
      <c r="BU460">
        <f>VLOOKUP(Table1[[#This Row],[Reference]],metron,9,FALSE)</f>
        <v>0.72731480520165426</v>
      </c>
      <c r="BV460">
        <f>VLOOKUP(Table1[[#This Row],[Reference]],metron,10,FALSE)</f>
        <v>2.6362999299229148</v>
      </c>
      <c r="BW460">
        <f>VLOOKUP(Table1[[#This Row],[Reference]],metron,11,FALSE)</f>
        <v>1.7619715019855171</v>
      </c>
      <c r="BX460">
        <f>VLOOKUP(Table1[[#This Row],[Reference]],metron,12,FALSE)</f>
        <v>0.87432842793739785</v>
      </c>
      <c r="BY460" s="6">
        <f>VLOOKUP(Table1[[#This Row],[Reference]],metron,13,FALSE)</f>
        <v>0.78411214953271025</v>
      </c>
      <c r="BZ460" s="6">
        <f>VLOOKUP(Table1[[#This Row],[Reference]],metron,14,FALSE)</f>
        <v>0.38060747663551397</v>
      </c>
      <c r="CA460" s="6">
        <f>VLOOKUP(Table1[[#This Row],[Reference]],metron,15,FALSE)</f>
        <v>14.215499378367181</v>
      </c>
      <c r="CB460" s="6">
        <f>VLOOKUP(Table1[[#This Row],[Reference]],metron,16,FALSE)</f>
        <v>8.9523612261806136</v>
      </c>
      <c r="CC460" s="6">
        <f>VLOOKUP(Table1[[#This Row],[Reference]],metron,17,FALSE)</f>
        <v>6.3083121289228163</v>
      </c>
      <c r="CD460" s="6">
        <f>VLOOKUP(Table1[[#This Row],[Reference]],metron,18,FALSE)</f>
        <v>3.7757524374735061</v>
      </c>
      <c r="CE460" s="6">
        <f>VLOOKUP(Table1[[#This Row],[Reference]],metron,19,FALSE)</f>
        <v>7.9071872494443642</v>
      </c>
      <c r="CF460" s="6">
        <f>VLOOKUP(Table1[[#This Row],[Reference]],metron,20,FALSE)</f>
        <v>5.1766087887071075</v>
      </c>
      <c r="CG460" s="6">
        <f>VLOOKUP(Table1[[#This Row],[Reference]],metron,21,FALSE)</f>
        <v>12.634239592183521</v>
      </c>
      <c r="CH460" s="6">
        <f>VLOOKUP(Table1[[#This Row],[Reference]],metron,22,FALSE)</f>
        <v>13.597706032285471</v>
      </c>
      <c r="CI460" s="6">
        <f>VLOOKUP(Table1[[#This Row],[Reference]],metron,23,FALSE)</f>
        <v>1.365400161681487</v>
      </c>
      <c r="CJ460" s="6">
        <f>VLOOKUP(Table1[[#This Row],[Reference]],metron,24,FALSE)</f>
        <v>1.963621665319321</v>
      </c>
      <c r="CK460" s="6">
        <f>VLOOKUP(Table1[[#This Row],[Reference]],metron,25,FALSE)</f>
        <v>7.1544058205335492E-2</v>
      </c>
      <c r="CL460" s="6">
        <f>VLOOKUP(Table1[[#This Row],[Reference]],metron,26,FALSE)</f>
        <v>0.1216653193209378</v>
      </c>
    </row>
    <row r="461" spans="1:90" hidden="1" x14ac:dyDescent="0.45">
      <c r="A461" t="s">
        <v>1346</v>
      </c>
      <c r="B461">
        <v>1602813600</v>
      </c>
      <c r="C461" s="23" t="s">
        <v>890</v>
      </c>
      <c r="D461" t="s">
        <v>65</v>
      </c>
      <c r="E461" t="s">
        <v>66</v>
      </c>
      <c r="F461" t="s">
        <v>91</v>
      </c>
      <c r="G461" t="s">
        <v>67</v>
      </c>
      <c r="H461" t="s">
        <v>114</v>
      </c>
      <c r="I461">
        <f>MROUND(Table1[[#This Row],[ProbH]]*100,2)/100</f>
        <v>0.3</v>
      </c>
      <c r="J461">
        <f>1/Table1[[#This Row],[odds_ft_home_team_win]]-Table1[[#This Row],[Margin]]</f>
        <v>0.3027543191477618</v>
      </c>
      <c r="K461">
        <f>1/Table1[[#This Row],[odds_ft_draw]]-Table1[[#This Row],[Margin]]</f>
        <v>0.27791576971904841</v>
      </c>
      <c r="L461">
        <f>1/Table1[[#This Row],[odds_ft_away_team_win]]-Table1[[#This Row],[Margin]]</f>
        <v>0.41932991113318979</v>
      </c>
      <c r="M461">
        <v>14</v>
      </c>
      <c r="N461">
        <v>0.71</v>
      </c>
      <c r="O461">
        <v>0.28999999999999998</v>
      </c>
      <c r="P461">
        <v>1</v>
      </c>
      <c r="Q461">
        <v>0.17</v>
      </c>
      <c r="R461" t="str" cm="1">
        <f t="array" ref="R4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1">
        <v>2</v>
      </c>
      <c r="T461">
        <v>1</v>
      </c>
      <c r="U461">
        <v>3</v>
      </c>
      <c r="V461">
        <v>1</v>
      </c>
      <c r="W461">
        <v>1</v>
      </c>
      <c r="X461">
        <v>0</v>
      </c>
      <c r="Y461" t="s">
        <v>891</v>
      </c>
      <c r="Z461">
        <v>78</v>
      </c>
      <c r="AA461">
        <v>3</v>
      </c>
      <c r="AB461">
        <v>4</v>
      </c>
      <c r="AC461">
        <v>5</v>
      </c>
      <c r="AD461">
        <v>0</v>
      </c>
      <c r="AE461">
        <v>2</v>
      </c>
      <c r="AF461">
        <v>0</v>
      </c>
      <c r="AG461">
        <v>1</v>
      </c>
      <c r="AH461">
        <v>4</v>
      </c>
      <c r="AI461">
        <v>0</v>
      </c>
      <c r="AJ461">
        <v>2</v>
      </c>
      <c r="AK461">
        <v>14</v>
      </c>
      <c r="AL461">
        <v>12</v>
      </c>
      <c r="AM461">
        <v>5</v>
      </c>
      <c r="AN461">
        <v>2</v>
      </c>
      <c r="AO461">
        <v>9</v>
      </c>
      <c r="AP461">
        <v>10</v>
      </c>
      <c r="AQ461">
        <v>15</v>
      </c>
      <c r="AR461">
        <v>13</v>
      </c>
      <c r="AS461">
        <v>53</v>
      </c>
      <c r="AT461">
        <v>47</v>
      </c>
      <c r="AU461">
        <v>1.43</v>
      </c>
      <c r="AV461">
        <v>1.17</v>
      </c>
      <c r="AW461">
        <v>2.86</v>
      </c>
      <c r="AX461">
        <v>72</v>
      </c>
      <c r="AY461">
        <v>86</v>
      </c>
      <c r="AZ461">
        <v>57</v>
      </c>
      <c r="BA461">
        <v>22</v>
      </c>
      <c r="BB461">
        <v>15</v>
      </c>
      <c r="BC461">
        <v>43</v>
      </c>
      <c r="BD461">
        <v>93</v>
      </c>
      <c r="BE461">
        <v>29</v>
      </c>
      <c r="BF461">
        <v>71</v>
      </c>
      <c r="BG461">
        <v>10.28</v>
      </c>
      <c r="BH461">
        <v>5.71</v>
      </c>
      <c r="BI461">
        <v>3.05</v>
      </c>
      <c r="BJ461">
        <v>3.3</v>
      </c>
      <c r="BK461">
        <v>2.25</v>
      </c>
      <c r="BL461">
        <f>(1/Table1[[#This Row],[odds_ft_home_team_win]]+1/Table1[[#This Row],[odds_ft_draw]]+1/Table1[[#This Row],[odds_ft_away_team_win]]-1)/3</f>
        <v>2.5114533311254645E-2</v>
      </c>
      <c r="BM461">
        <v>1.27</v>
      </c>
      <c r="BN461">
        <v>1.87</v>
      </c>
      <c r="BO461">
        <v>3.2</v>
      </c>
      <c r="BP461">
        <v>6</v>
      </c>
      <c r="BQ461">
        <v>1.69</v>
      </c>
      <c r="BR461">
        <v>2.0499999999999998</v>
      </c>
      <c r="BS461" t="s">
        <v>144</v>
      </c>
      <c r="BT461">
        <f>VLOOKUP(Table1[[#This Row],[Reference]],metron,8,FALSE)</f>
        <v>1.2142445227270171</v>
      </c>
      <c r="BU461">
        <f>VLOOKUP(Table1[[#This Row],[Reference]],metron,9,FALSE)</f>
        <v>1.4993969533036628</v>
      </c>
      <c r="BV461">
        <f>VLOOKUP(Table1[[#This Row],[Reference]],metron,10,FALSE)</f>
        <v>2.5726407816919519</v>
      </c>
      <c r="BW461">
        <f>VLOOKUP(Table1[[#This Row],[Reference]],metron,11,FALSE)</f>
        <v>1.1805091283106199</v>
      </c>
      <c r="BX461">
        <f>VLOOKUP(Table1[[#This Row],[Reference]],metron,12,FALSE)</f>
        <v>1.3921316533813319</v>
      </c>
      <c r="BY461" s="6">
        <f>VLOOKUP(Table1[[#This Row],[Reference]],metron,13,FALSE)</f>
        <v>0.5209673269873939</v>
      </c>
      <c r="BZ461" s="6">
        <f>VLOOKUP(Table1[[#This Row],[Reference]],metron,14,FALSE)</f>
        <v>0.61847182917417032</v>
      </c>
      <c r="CA461" s="6">
        <f>VLOOKUP(Table1[[#This Row],[Reference]],metron,15,FALSE)</f>
        <v>11.149200710479571</v>
      </c>
      <c r="CB461" s="6">
        <f>VLOOKUP(Table1[[#This Row],[Reference]],metron,16,FALSE)</f>
        <v>11.444049733570161</v>
      </c>
      <c r="CC461" s="6">
        <f>VLOOKUP(Table1[[#This Row],[Reference]],metron,17,FALSE)</f>
        <v>4.5257270693512304</v>
      </c>
      <c r="CD461" s="6">
        <f>VLOOKUP(Table1[[#This Row],[Reference]],metron,18,FALSE)</f>
        <v>4.8465324384787474</v>
      </c>
      <c r="CE461" s="6">
        <f>VLOOKUP(Table1[[#This Row],[Reference]],metron,19,FALSE)</f>
        <v>6.6234736411283404</v>
      </c>
      <c r="CF461" s="6">
        <f>VLOOKUP(Table1[[#This Row],[Reference]],metron,20,FALSE)</f>
        <v>6.5975172950914134</v>
      </c>
      <c r="CG461" s="6">
        <f>VLOOKUP(Table1[[#This Row],[Reference]],metron,21,FALSE)</f>
        <v>12.90081154192967</v>
      </c>
      <c r="CH461" s="6">
        <f>VLOOKUP(Table1[[#This Row],[Reference]],metron,22,FALSE)</f>
        <v>13.00360685302074</v>
      </c>
      <c r="CI461" s="6">
        <f>VLOOKUP(Table1[[#This Row],[Reference]],metron,23,FALSE)</f>
        <v>1.7502145922746779</v>
      </c>
      <c r="CJ461" s="6">
        <f>VLOOKUP(Table1[[#This Row],[Reference]],metron,24,FALSE)</f>
        <v>1.831402831402831</v>
      </c>
      <c r="CK461" s="6">
        <f>VLOOKUP(Table1[[#This Row],[Reference]],metron,25,FALSE)</f>
        <v>9.6525096525096526E-2</v>
      </c>
      <c r="CL461" s="6">
        <f>VLOOKUP(Table1[[#This Row],[Reference]],metron,26,FALSE)</f>
        <v>0.1244101244101244</v>
      </c>
    </row>
    <row r="462" spans="1:90" hidden="1" x14ac:dyDescent="0.45">
      <c r="A462" t="s">
        <v>1346</v>
      </c>
      <c r="B462">
        <v>1602894600</v>
      </c>
      <c r="C462" s="23" t="s">
        <v>892</v>
      </c>
      <c r="D462" t="s">
        <v>65</v>
      </c>
      <c r="E462" t="s">
        <v>66</v>
      </c>
      <c r="F462" t="s">
        <v>72</v>
      </c>
      <c r="G462" t="s">
        <v>106</v>
      </c>
      <c r="H462" t="s">
        <v>133</v>
      </c>
      <c r="I462">
        <f>MROUND(Table1[[#This Row],[ProbH]]*100,2)/100</f>
        <v>0.42</v>
      </c>
      <c r="J462">
        <f>1/Table1[[#This Row],[odds_ft_home_team_win]]-Table1[[#This Row],[Margin]]</f>
        <v>0.42953342953342954</v>
      </c>
      <c r="K462">
        <f>1/Table1[[#This Row],[odds_ft_draw]]-Table1[[#This Row],[Margin]]</f>
        <v>0.29244829244829246</v>
      </c>
      <c r="L462">
        <f>1/Table1[[#This Row],[odds_ft_away_team_win]]-Table1[[#This Row],[Margin]]</f>
        <v>0.27801827801827805</v>
      </c>
      <c r="M462">
        <v>14</v>
      </c>
      <c r="N462">
        <v>1</v>
      </c>
      <c r="O462">
        <v>0</v>
      </c>
      <c r="P462">
        <v>1.29</v>
      </c>
      <c r="Q462">
        <v>0.47</v>
      </c>
      <c r="R462" t="str" cm="1">
        <f t="array" ref="R4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2">
        <v>2</v>
      </c>
      <c r="T462">
        <v>0</v>
      </c>
      <c r="U462">
        <v>2</v>
      </c>
      <c r="V462">
        <v>1</v>
      </c>
      <c r="W462">
        <v>1</v>
      </c>
      <c r="X462">
        <v>0</v>
      </c>
      <c r="Y462" t="s">
        <v>893</v>
      </c>
      <c r="AA462">
        <v>7</v>
      </c>
      <c r="AB462">
        <v>5</v>
      </c>
      <c r="AC462">
        <v>2</v>
      </c>
      <c r="AD462">
        <v>0</v>
      </c>
      <c r="AE462">
        <v>3</v>
      </c>
      <c r="AF462">
        <v>0</v>
      </c>
      <c r="AG462">
        <v>1</v>
      </c>
      <c r="AH462">
        <v>1</v>
      </c>
      <c r="AI462">
        <v>0</v>
      </c>
      <c r="AJ462">
        <v>3</v>
      </c>
      <c r="AK462">
        <v>13</v>
      </c>
      <c r="AL462">
        <v>8</v>
      </c>
      <c r="AM462">
        <v>6</v>
      </c>
      <c r="AN462">
        <v>2</v>
      </c>
      <c r="AO462">
        <v>7</v>
      </c>
      <c r="AP462">
        <v>6</v>
      </c>
      <c r="AQ462">
        <v>21</v>
      </c>
      <c r="AR462">
        <v>15</v>
      </c>
      <c r="AS462">
        <v>49</v>
      </c>
      <c r="AT462">
        <v>51</v>
      </c>
      <c r="AU462">
        <v>1.57</v>
      </c>
      <c r="AV462">
        <v>0.99</v>
      </c>
      <c r="AW462">
        <v>2.37</v>
      </c>
      <c r="AX462">
        <v>32</v>
      </c>
      <c r="AY462">
        <v>76</v>
      </c>
      <c r="AZ462">
        <v>52</v>
      </c>
      <c r="BA462">
        <v>10</v>
      </c>
      <c r="BB462">
        <v>0</v>
      </c>
      <c r="BC462">
        <v>17</v>
      </c>
      <c r="BD462">
        <v>93</v>
      </c>
      <c r="BE462">
        <v>45</v>
      </c>
      <c r="BF462">
        <v>66</v>
      </c>
      <c r="BG462">
        <v>7.46</v>
      </c>
      <c r="BH462">
        <v>6.83</v>
      </c>
      <c r="BI462">
        <v>2.2000000000000002</v>
      </c>
      <c r="BJ462">
        <v>3.15</v>
      </c>
      <c r="BK462">
        <v>3.3</v>
      </c>
      <c r="BL462">
        <f>(1/Table1[[#This Row],[odds_ft_home_team_win]]+1/Table1[[#This Row],[odds_ft_draw]]+1/Table1[[#This Row],[odds_ft_away_team_win]]-1)/3</f>
        <v>2.5012025012025003E-2</v>
      </c>
      <c r="BM462">
        <v>1.34</v>
      </c>
      <c r="BN462">
        <v>2.0499999999999998</v>
      </c>
      <c r="BO462">
        <v>3.7</v>
      </c>
      <c r="BP462">
        <v>7</v>
      </c>
      <c r="BQ462">
        <v>1.8</v>
      </c>
      <c r="BR462">
        <v>1.91</v>
      </c>
      <c r="BS462" t="s">
        <v>76</v>
      </c>
      <c r="BT462">
        <f>VLOOKUP(Table1[[#This Row],[Reference]],metron,8,FALSE)</f>
        <v>1.5780106027030405</v>
      </c>
      <c r="BU462">
        <f>VLOOKUP(Table1[[#This Row],[Reference]],metron,9,FALSE)</f>
        <v>1.1353025412447635</v>
      </c>
      <c r="BV462">
        <f>VLOOKUP(Table1[[#This Row],[Reference]],metron,10,FALSE)</f>
        <v>2.4884649511978703</v>
      </c>
      <c r="BW462">
        <f>VLOOKUP(Table1[[#This Row],[Reference]],metron,11,FALSE)</f>
        <v>1.396960958296362</v>
      </c>
      <c r="BX462">
        <f>VLOOKUP(Table1[[#This Row],[Reference]],metron,12,FALSE)</f>
        <v>1.091503992901508</v>
      </c>
      <c r="BY462" s="6">
        <f>VLOOKUP(Table1[[#This Row],[Reference]],metron,13,FALSE)</f>
        <v>0.60765391014975045</v>
      </c>
      <c r="BZ462" s="6">
        <f>VLOOKUP(Table1[[#This Row],[Reference]],metron,14,FALSE)</f>
        <v>0.47276760953965608</v>
      </c>
      <c r="CA462" s="6">
        <f>VLOOKUP(Table1[[#This Row],[Reference]],metron,15,FALSE)</f>
        <v>12.29504785684561</v>
      </c>
      <c r="CB462" s="6">
        <f>VLOOKUP(Table1[[#This Row],[Reference]],metron,16,FALSE)</f>
        <v>10.047232625884311</v>
      </c>
      <c r="CC462" s="6">
        <f>VLOOKUP(Table1[[#This Row],[Reference]],metron,17,FALSE)</f>
        <v>5.2917192097519967</v>
      </c>
      <c r="CD462" s="6">
        <f>VLOOKUP(Table1[[#This Row],[Reference]],metron,18,FALSE)</f>
        <v>4.2580916351408158</v>
      </c>
      <c r="CE462" s="6">
        <f>VLOOKUP(Table1[[#This Row],[Reference]],metron,19,FALSE)</f>
        <v>7.0033286470936131</v>
      </c>
      <c r="CF462" s="6">
        <f>VLOOKUP(Table1[[#This Row],[Reference]],metron,20,FALSE)</f>
        <v>5.789140990743495</v>
      </c>
      <c r="CG462" s="6">
        <f>VLOOKUP(Table1[[#This Row],[Reference]],metron,21,FALSE)</f>
        <v>12.77041895895049</v>
      </c>
      <c r="CH462" s="6">
        <f>VLOOKUP(Table1[[#This Row],[Reference]],metron,22,FALSE)</f>
        <v>13.411129919593741</v>
      </c>
      <c r="CI462" s="6">
        <f>VLOOKUP(Table1[[#This Row],[Reference]],metron,23,FALSE)</f>
        <v>1.556141062018646</v>
      </c>
      <c r="CJ462" s="6">
        <f>VLOOKUP(Table1[[#This Row],[Reference]],metron,24,FALSE)</f>
        <v>1.9114308877178761</v>
      </c>
      <c r="CK462" s="6">
        <f>VLOOKUP(Table1[[#This Row],[Reference]],metron,25,FALSE)</f>
        <v>8.4920956627482766E-2</v>
      </c>
      <c r="CL462" s="6">
        <f>VLOOKUP(Table1[[#This Row],[Reference]],metron,26,FALSE)</f>
        <v>0.1323469801378192</v>
      </c>
    </row>
    <row r="463" spans="1:90" hidden="1" x14ac:dyDescent="0.45">
      <c r="A463" t="s">
        <v>1346</v>
      </c>
      <c r="B463">
        <v>1602901800</v>
      </c>
      <c r="C463" s="23" t="s">
        <v>894</v>
      </c>
      <c r="D463" t="s">
        <v>65</v>
      </c>
      <c r="E463" t="s">
        <v>66</v>
      </c>
      <c r="F463" t="s">
        <v>113</v>
      </c>
      <c r="G463" t="s">
        <v>78</v>
      </c>
      <c r="H463" t="s">
        <v>130</v>
      </c>
      <c r="I463">
        <f>MROUND(Table1[[#This Row],[ProbH]]*100,2)/100</f>
        <v>0.44</v>
      </c>
      <c r="J463">
        <f>1/Table1[[#This Row],[odds_ft_home_team_win]]-Table1[[#This Row],[Margin]]</f>
        <v>0.43079753895693174</v>
      </c>
      <c r="K463">
        <f>1/Table1[[#This Row],[odds_ft_draw]]-Table1[[#This Row],[Margin]]</f>
        <v>0.27036973147030074</v>
      </c>
      <c r="L463">
        <f>1/Table1[[#This Row],[odds_ft_away_team_win]]-Table1[[#This Row],[Margin]]</f>
        <v>0.29883272957276752</v>
      </c>
      <c r="M463">
        <v>14</v>
      </c>
      <c r="N463">
        <v>1.33</v>
      </c>
      <c r="O463">
        <v>0.83</v>
      </c>
      <c r="P463">
        <v>1.53</v>
      </c>
      <c r="Q463">
        <v>0.59</v>
      </c>
      <c r="R463" t="str" cm="1">
        <f t="array" ref="R4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3">
        <v>3</v>
      </c>
      <c r="T463">
        <v>2</v>
      </c>
      <c r="U463">
        <v>5</v>
      </c>
      <c r="V463">
        <v>4</v>
      </c>
      <c r="W463">
        <v>3</v>
      </c>
      <c r="X463">
        <v>1</v>
      </c>
      <c r="Y463" t="s">
        <v>895</v>
      </c>
      <c r="Z463" t="s">
        <v>896</v>
      </c>
      <c r="AA463">
        <v>3</v>
      </c>
      <c r="AB463">
        <v>3</v>
      </c>
      <c r="AC463">
        <v>3</v>
      </c>
      <c r="AD463">
        <v>0</v>
      </c>
      <c r="AE463">
        <v>3</v>
      </c>
      <c r="AF463">
        <v>0</v>
      </c>
      <c r="AG463">
        <v>1</v>
      </c>
      <c r="AH463">
        <v>2</v>
      </c>
      <c r="AI463">
        <v>2</v>
      </c>
      <c r="AJ463">
        <v>1</v>
      </c>
      <c r="AK463">
        <v>5</v>
      </c>
      <c r="AL463">
        <v>7</v>
      </c>
      <c r="AM463">
        <v>2</v>
      </c>
      <c r="AN463">
        <v>3</v>
      </c>
      <c r="AO463">
        <v>3</v>
      </c>
      <c r="AP463">
        <v>4</v>
      </c>
      <c r="AQ463">
        <v>14</v>
      </c>
      <c r="AR463">
        <v>16</v>
      </c>
      <c r="AS463">
        <v>42</v>
      </c>
      <c r="AT463">
        <v>58</v>
      </c>
      <c r="AU463">
        <v>0.67</v>
      </c>
      <c r="AV463">
        <v>1.01</v>
      </c>
      <c r="AW463">
        <v>2.67</v>
      </c>
      <c r="AX463">
        <v>75</v>
      </c>
      <c r="AY463">
        <v>75</v>
      </c>
      <c r="AZ463">
        <v>50</v>
      </c>
      <c r="BA463">
        <v>25</v>
      </c>
      <c r="BB463">
        <v>25</v>
      </c>
      <c r="BC463">
        <v>42</v>
      </c>
      <c r="BD463">
        <v>67</v>
      </c>
      <c r="BE463">
        <v>50</v>
      </c>
      <c r="BF463">
        <v>75</v>
      </c>
      <c r="BG463">
        <v>8.5</v>
      </c>
      <c r="BH463">
        <v>5</v>
      </c>
      <c r="BI463">
        <v>2.2000000000000002</v>
      </c>
      <c r="BJ463">
        <v>3.4</v>
      </c>
      <c r="BK463">
        <v>3.1</v>
      </c>
      <c r="BL463">
        <f>(1/Table1[[#This Row],[odds_ft_home_team_win]]+1/Table1[[#This Row],[odds_ft_draw]]+1/Table1[[#This Row],[odds_ft_away_team_win]]-1)/3</f>
        <v>2.3747915588522812E-2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 t="s">
        <v>120</v>
      </c>
      <c r="BT463">
        <f>VLOOKUP(Table1[[#This Row],[Reference]],metron,8,FALSE)</f>
        <v>1.6395459745305552</v>
      </c>
      <c r="BU463">
        <f>VLOOKUP(Table1[[#This Row],[Reference]],metron,9,FALSE)</f>
        <v>1.0758429359324786</v>
      </c>
      <c r="BV463">
        <f>VLOOKUP(Table1[[#This Row],[Reference]],metron,10,FALSE)</f>
        <v>2.4807646356033461</v>
      </c>
      <c r="BW463">
        <f>VLOOKUP(Table1[[#This Row],[Reference]],metron,11,FALSE)</f>
        <v>1.4140979689366791</v>
      </c>
      <c r="BX463">
        <f>VLOOKUP(Table1[[#This Row],[Reference]],metron,12,FALSE)</f>
        <v>1.0666666666666671</v>
      </c>
      <c r="BY463" s="6">
        <f>VLOOKUP(Table1[[#This Row],[Reference]],metron,13,FALSE)</f>
        <v>0.62712066905615294</v>
      </c>
      <c r="BZ463" s="6">
        <f>VLOOKUP(Table1[[#This Row],[Reference]],metron,14,FALSE)</f>
        <v>0.46009557945041818</v>
      </c>
      <c r="CA463" s="6">
        <f>VLOOKUP(Table1[[#This Row],[Reference]],metron,15,FALSE)</f>
        <v>12.56969280146722</v>
      </c>
      <c r="CB463" s="6">
        <f>VLOOKUP(Table1[[#This Row],[Reference]],metron,16,FALSE)</f>
        <v>9.8695552498853729</v>
      </c>
      <c r="CC463" s="6">
        <f>VLOOKUP(Table1[[#This Row],[Reference]],metron,17,FALSE)</f>
        <v>5.2754256787850897</v>
      </c>
      <c r="CD463" s="6">
        <f>VLOOKUP(Table1[[#This Row],[Reference]],metron,18,FALSE)</f>
        <v>4.1279337321675103</v>
      </c>
      <c r="CE463" s="6">
        <f>VLOOKUP(Table1[[#This Row],[Reference]],metron,19,FALSE)</f>
        <v>7.2942671226821298</v>
      </c>
      <c r="CF463" s="6">
        <f>VLOOKUP(Table1[[#This Row],[Reference]],metron,20,FALSE)</f>
        <v>5.7416215177178627</v>
      </c>
      <c r="CG463" s="6">
        <f>VLOOKUP(Table1[[#This Row],[Reference]],metron,21,FALSE)</f>
        <v>12.897246007868549</v>
      </c>
      <c r="CH463" s="6">
        <f>VLOOKUP(Table1[[#This Row],[Reference]],metron,22,FALSE)</f>
        <v>13.507058551261281</v>
      </c>
      <c r="CI463" s="6">
        <f>VLOOKUP(Table1[[#This Row],[Reference]],metron,23,FALSE)</f>
        <v>1.576522702104098</v>
      </c>
      <c r="CJ463" s="6">
        <f>VLOOKUP(Table1[[#This Row],[Reference]],metron,24,FALSE)</f>
        <v>1.917165005537099</v>
      </c>
      <c r="CK463" s="6">
        <f>VLOOKUP(Table1[[#This Row],[Reference]],metron,25,FALSE)</f>
        <v>8.4385382059800659E-2</v>
      </c>
      <c r="CL463" s="6">
        <f>VLOOKUP(Table1[[#This Row],[Reference]],metron,26,FALSE)</f>
        <v>0.1233665559246955</v>
      </c>
    </row>
    <row r="464" spans="1:90" hidden="1" x14ac:dyDescent="0.45">
      <c r="A464" t="s">
        <v>1346</v>
      </c>
      <c r="B464">
        <v>1602972360</v>
      </c>
      <c r="C464" s="23" t="s">
        <v>897</v>
      </c>
      <c r="D464" t="s">
        <v>65</v>
      </c>
      <c r="E464" t="s">
        <v>66</v>
      </c>
      <c r="F464" t="s">
        <v>101</v>
      </c>
      <c r="G464" t="s">
        <v>102</v>
      </c>
      <c r="H464" t="s">
        <v>103</v>
      </c>
      <c r="I464">
        <f>MROUND(Table1[[#This Row],[ProbH]]*100,2)/100</f>
        <v>0.64</v>
      </c>
      <c r="J464">
        <f>1/Table1[[#This Row],[odds_ft_home_team_win]]-Table1[[#This Row],[Margin]]</f>
        <v>0.64278713356500039</v>
      </c>
      <c r="K464">
        <f>1/Table1[[#This Row],[odds_ft_draw]]-Table1[[#This Row],[Margin]]</f>
        <v>0.20867860643321751</v>
      </c>
      <c r="L464">
        <f>1/Table1[[#This Row],[odds_ft_away_team_win]]-Table1[[#This Row],[Margin]]</f>
        <v>0.14853426000178208</v>
      </c>
      <c r="M464">
        <v>14</v>
      </c>
      <c r="N464">
        <v>1.5</v>
      </c>
      <c r="O464">
        <v>1.29</v>
      </c>
      <c r="P464">
        <v>1.79</v>
      </c>
      <c r="Q464">
        <v>1.33</v>
      </c>
      <c r="R464" t="str" cm="1">
        <f t="array" ref="R4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4">
        <v>3</v>
      </c>
      <c r="T464">
        <v>1</v>
      </c>
      <c r="U464">
        <v>4</v>
      </c>
      <c r="V464">
        <v>2</v>
      </c>
      <c r="W464">
        <v>2</v>
      </c>
      <c r="X464">
        <v>0</v>
      </c>
      <c r="Y464" t="s">
        <v>898</v>
      </c>
      <c r="Z464">
        <v>67</v>
      </c>
      <c r="AA464">
        <v>3</v>
      </c>
      <c r="AB464">
        <v>7</v>
      </c>
      <c r="AC464">
        <v>2</v>
      </c>
      <c r="AD464">
        <v>0</v>
      </c>
      <c r="AE464">
        <v>1</v>
      </c>
      <c r="AF464">
        <v>0</v>
      </c>
      <c r="AG464">
        <v>0</v>
      </c>
      <c r="AH464">
        <v>2</v>
      </c>
      <c r="AI464">
        <v>0</v>
      </c>
      <c r="AJ464">
        <v>1</v>
      </c>
      <c r="AK464">
        <v>15</v>
      </c>
      <c r="AL464">
        <v>13</v>
      </c>
      <c r="AM464">
        <v>6</v>
      </c>
      <c r="AN464">
        <v>3</v>
      </c>
      <c r="AO464">
        <v>9</v>
      </c>
      <c r="AP464">
        <v>10</v>
      </c>
      <c r="AQ464">
        <v>10</v>
      </c>
      <c r="AR464">
        <v>7</v>
      </c>
      <c r="AS464">
        <v>45</v>
      </c>
      <c r="AT464">
        <v>55</v>
      </c>
      <c r="AU464">
        <v>1.54</v>
      </c>
      <c r="AV464">
        <v>1.47</v>
      </c>
      <c r="AW464">
        <v>2.63</v>
      </c>
      <c r="AX464">
        <v>63</v>
      </c>
      <c r="AY464">
        <v>72</v>
      </c>
      <c r="AZ464">
        <v>47</v>
      </c>
      <c r="BA464">
        <v>31</v>
      </c>
      <c r="BB464">
        <v>15</v>
      </c>
      <c r="BC464">
        <v>38</v>
      </c>
      <c r="BD464">
        <v>77</v>
      </c>
      <c r="BE464">
        <v>56</v>
      </c>
      <c r="BF464">
        <v>79</v>
      </c>
      <c r="BG464">
        <v>12.26</v>
      </c>
      <c r="BH464">
        <v>5.47</v>
      </c>
      <c r="BI464">
        <v>1.5</v>
      </c>
      <c r="BJ464">
        <v>4.3</v>
      </c>
      <c r="BK464">
        <v>5.8</v>
      </c>
      <c r="BL464">
        <f>(1/Table1[[#This Row],[odds_ft_home_team_win]]+1/Table1[[#This Row],[odds_ft_draw]]+1/Table1[[#This Row],[odds_ft_away_team_win]]-1)/3</f>
        <v>2.3879533101666201E-2</v>
      </c>
      <c r="BM464">
        <v>1.18</v>
      </c>
      <c r="BN464">
        <v>1.61</v>
      </c>
      <c r="BO464">
        <v>2.5499999999999998</v>
      </c>
      <c r="BP464">
        <v>4.45</v>
      </c>
      <c r="BQ464">
        <v>1.67</v>
      </c>
      <c r="BR464">
        <v>2.1</v>
      </c>
      <c r="BS464" t="s">
        <v>713</v>
      </c>
      <c r="BT464">
        <f>VLOOKUP(Table1[[#This Row],[Reference]],metron,8,FALSE)</f>
        <v>2.1745910991837163</v>
      </c>
      <c r="BU464">
        <f>VLOOKUP(Table1[[#This Row],[Reference]],metron,9,FALSE)</f>
        <v>0.59796358565236019</v>
      </c>
      <c r="BV464">
        <f>VLOOKUP(Table1[[#This Row],[Reference]],metron,10,FALSE)</f>
        <v>2.8343749999999996</v>
      </c>
      <c r="BW464">
        <f>VLOOKUP(Table1[[#This Row],[Reference]],metron,11,FALSE)</f>
        <v>1.980803571428571</v>
      </c>
      <c r="BX464">
        <f>VLOOKUP(Table1[[#This Row],[Reference]],metron,12,FALSE)</f>
        <v>0.85357142857142854</v>
      </c>
      <c r="BY464" s="6">
        <f>VLOOKUP(Table1[[#This Row],[Reference]],metron,13,FALSE)</f>
        <v>0.8683035714285714</v>
      </c>
      <c r="BZ464" s="6">
        <f>VLOOKUP(Table1[[#This Row],[Reference]],metron,14,FALSE)</f>
        <v>0.36607142857142849</v>
      </c>
      <c r="CA464" s="6">
        <f>VLOOKUP(Table1[[#This Row],[Reference]],metron,15,FALSE)</f>
        <v>15.03980099502488</v>
      </c>
      <c r="CB464" s="6">
        <f>VLOOKUP(Table1[[#This Row],[Reference]],metron,16,FALSE)</f>
        <v>8.6326699834162515</v>
      </c>
      <c r="CC464" s="6">
        <f>VLOOKUP(Table1[[#This Row],[Reference]],metron,17,FALSE)</f>
        <v>6.5189234650967203</v>
      </c>
      <c r="CD464" s="6">
        <f>VLOOKUP(Table1[[#This Row],[Reference]],metron,18,FALSE)</f>
        <v>3.4507989907485279</v>
      </c>
      <c r="CE464" s="6">
        <f>VLOOKUP(Table1[[#This Row],[Reference]],metron,19,FALSE)</f>
        <v>8.5208775299281605</v>
      </c>
      <c r="CF464" s="6">
        <f>VLOOKUP(Table1[[#This Row],[Reference]],metron,20,FALSE)</f>
        <v>5.181870992667724</v>
      </c>
      <c r="CG464" s="6">
        <f>VLOOKUP(Table1[[#This Row],[Reference]],metron,21,FALSE)</f>
        <v>12.48566610455312</v>
      </c>
      <c r="CH464" s="6">
        <f>VLOOKUP(Table1[[#This Row],[Reference]],metron,22,FALSE)</f>
        <v>13.573355817875211</v>
      </c>
      <c r="CI464" s="6">
        <f>VLOOKUP(Table1[[#This Row],[Reference]],metron,23,FALSE)</f>
        <v>1.395273023634882</v>
      </c>
      <c r="CJ464" s="6">
        <f>VLOOKUP(Table1[[#This Row],[Reference]],metron,24,FALSE)</f>
        <v>2.0586797066014668</v>
      </c>
      <c r="CK464" s="6">
        <f>VLOOKUP(Table1[[#This Row],[Reference]],metron,25,FALSE)</f>
        <v>6.8459657701711488E-2</v>
      </c>
      <c r="CL464" s="6">
        <f>VLOOKUP(Table1[[#This Row],[Reference]],metron,26,FALSE)</f>
        <v>0.12713936430317849</v>
      </c>
    </row>
    <row r="465" spans="1:90" hidden="1" x14ac:dyDescent="0.45">
      <c r="A465" t="s">
        <v>1346</v>
      </c>
      <c r="B465">
        <v>1602979200</v>
      </c>
      <c r="C465" s="23" t="s">
        <v>899</v>
      </c>
      <c r="D465" t="s">
        <v>65</v>
      </c>
      <c r="E465" t="s">
        <v>66</v>
      </c>
      <c r="F465" t="s">
        <v>90</v>
      </c>
      <c r="G465" t="s">
        <v>97</v>
      </c>
      <c r="H465" t="s">
        <v>122</v>
      </c>
      <c r="I465">
        <f>MROUND(Table1[[#This Row],[ProbH]]*100,2)/100</f>
        <v>0.48</v>
      </c>
      <c r="J465">
        <f>1/Table1[[#This Row],[odds_ft_home_team_win]]-Table1[[#This Row],[Margin]]</f>
        <v>0.48771367521367531</v>
      </c>
      <c r="K465">
        <f>1/Table1[[#This Row],[odds_ft_draw]]-Table1[[#This Row],[Margin]]</f>
        <v>0.28739316239316243</v>
      </c>
      <c r="L465">
        <f>1/Table1[[#This Row],[odds_ft_away_team_win]]-Table1[[#This Row],[Margin]]</f>
        <v>0.2248931623931624</v>
      </c>
      <c r="M465">
        <v>14</v>
      </c>
      <c r="N465">
        <v>1.5</v>
      </c>
      <c r="O465">
        <v>1</v>
      </c>
      <c r="P465">
        <v>1.6</v>
      </c>
      <c r="Q465">
        <v>1.06</v>
      </c>
      <c r="R465" t="str" cm="1">
        <f t="array" ref="R4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5">
        <v>3</v>
      </c>
      <c r="T465">
        <v>2</v>
      </c>
      <c r="U465">
        <v>5</v>
      </c>
      <c r="V465">
        <v>2</v>
      </c>
      <c r="W465">
        <v>2</v>
      </c>
      <c r="X465">
        <v>0</v>
      </c>
      <c r="Y465" t="s">
        <v>900</v>
      </c>
      <c r="Z465" t="s">
        <v>901</v>
      </c>
      <c r="AA465">
        <v>2</v>
      </c>
      <c r="AB465">
        <v>8</v>
      </c>
      <c r="AC465">
        <v>2</v>
      </c>
      <c r="AD465">
        <v>0</v>
      </c>
      <c r="AE465">
        <v>1</v>
      </c>
      <c r="AF465">
        <v>0</v>
      </c>
      <c r="AG465">
        <v>0</v>
      </c>
      <c r="AH465">
        <v>2</v>
      </c>
      <c r="AI465">
        <v>0</v>
      </c>
      <c r="AJ465">
        <v>1</v>
      </c>
      <c r="AK465">
        <v>12</v>
      </c>
      <c r="AL465">
        <v>20</v>
      </c>
      <c r="AM465">
        <v>5</v>
      </c>
      <c r="AN465">
        <v>3</v>
      </c>
      <c r="AO465">
        <v>7</v>
      </c>
      <c r="AP465">
        <v>17</v>
      </c>
      <c r="AQ465">
        <v>7</v>
      </c>
      <c r="AR465">
        <v>11</v>
      </c>
      <c r="AS465">
        <v>57</v>
      </c>
      <c r="AT465">
        <v>43</v>
      </c>
      <c r="AU465">
        <v>1.33</v>
      </c>
      <c r="AV465">
        <v>1.76</v>
      </c>
      <c r="AW465">
        <v>1.75</v>
      </c>
      <c r="AX465">
        <v>59</v>
      </c>
      <c r="AY465">
        <v>59</v>
      </c>
      <c r="AZ465">
        <v>33</v>
      </c>
      <c r="BA465">
        <v>9</v>
      </c>
      <c r="BB465">
        <v>0</v>
      </c>
      <c r="BC465">
        <v>34</v>
      </c>
      <c r="BD465">
        <v>50</v>
      </c>
      <c r="BE465">
        <v>25</v>
      </c>
      <c r="BF465">
        <v>42</v>
      </c>
      <c r="BG465">
        <v>8.17</v>
      </c>
      <c r="BH465">
        <v>4.67</v>
      </c>
      <c r="BI465">
        <v>1.95</v>
      </c>
      <c r="BJ465">
        <v>3.2</v>
      </c>
      <c r="BK465">
        <v>4</v>
      </c>
      <c r="BL465">
        <f>(1/Table1[[#This Row],[odds_ft_home_team_win]]+1/Table1[[#This Row],[odds_ft_draw]]+1/Table1[[#This Row],[odds_ft_away_team_win]]-1)/3</f>
        <v>2.510683760683759E-2</v>
      </c>
      <c r="BM465">
        <v>1.45</v>
      </c>
      <c r="BN465">
        <v>2.4</v>
      </c>
      <c r="BO465">
        <v>4.5999999999999996</v>
      </c>
      <c r="BP465">
        <v>9.25</v>
      </c>
      <c r="BQ465">
        <v>2.1</v>
      </c>
      <c r="BR465">
        <v>1.67</v>
      </c>
      <c r="BS465" t="s">
        <v>94</v>
      </c>
      <c r="BT465">
        <f>VLOOKUP(Table1[[#This Row],[Reference]],metron,8,FALSE)</f>
        <v>1.743992017160418</v>
      </c>
      <c r="BU465">
        <f>VLOOKUP(Table1[[#This Row],[Reference]],metron,9,FALSE)</f>
        <v>0.97803937284245479</v>
      </c>
      <c r="BV465">
        <f>VLOOKUP(Table1[[#This Row],[Reference]],metron,10,FALSE)</f>
        <v>2.5271929824561399</v>
      </c>
      <c r="BW465">
        <f>VLOOKUP(Table1[[#This Row],[Reference]],metron,11,FALSE)</f>
        <v>1.510877192982456</v>
      </c>
      <c r="BX465">
        <f>VLOOKUP(Table1[[#This Row],[Reference]],metron,12,FALSE)</f>
        <v>1.0163157894736841</v>
      </c>
      <c r="BY465" s="6">
        <f>VLOOKUP(Table1[[#This Row],[Reference]],metron,13,FALSE)</f>
        <v>0.67350877192982461</v>
      </c>
      <c r="BZ465" s="6">
        <f>VLOOKUP(Table1[[#This Row],[Reference]],metron,14,FALSE)</f>
        <v>0.4442105263157895</v>
      </c>
      <c r="CA465" s="6">
        <f>VLOOKUP(Table1[[#This Row],[Reference]],metron,15,FALSE)</f>
        <v>12.80980392156863</v>
      </c>
      <c r="CB465" s="6">
        <f>VLOOKUP(Table1[[#This Row],[Reference]],metron,16,FALSE)</f>
        <v>9.6872549019607845</v>
      </c>
      <c r="CC465" s="6">
        <f>VLOOKUP(Table1[[#This Row],[Reference]],metron,17,FALSE)</f>
        <v>5.6491169610129957</v>
      </c>
      <c r="CD465" s="6">
        <f>VLOOKUP(Table1[[#This Row],[Reference]],metron,18,FALSE)</f>
        <v>4.1379540153282237</v>
      </c>
      <c r="CE465" s="6">
        <f>VLOOKUP(Table1[[#This Row],[Reference]],metron,19,FALSE)</f>
        <v>7.1606869605556343</v>
      </c>
      <c r="CF465" s="6">
        <f>VLOOKUP(Table1[[#This Row],[Reference]],metron,20,FALSE)</f>
        <v>5.5493008866325608</v>
      </c>
      <c r="CG465" s="6">
        <f>VLOOKUP(Table1[[#This Row],[Reference]],metron,21,FALSE)</f>
        <v>12.9029029029029</v>
      </c>
      <c r="CH465" s="6">
        <f>VLOOKUP(Table1[[#This Row],[Reference]],metron,22,FALSE)</f>
        <v>13.75508842175509</v>
      </c>
      <c r="CI465" s="6">
        <f>VLOOKUP(Table1[[#This Row],[Reference]],metron,23,FALSE)</f>
        <v>1.5287356321839081</v>
      </c>
      <c r="CJ465" s="6">
        <f>VLOOKUP(Table1[[#This Row],[Reference]],metron,24,FALSE)</f>
        <v>1.9664750957854411</v>
      </c>
      <c r="CK465" s="6">
        <f>VLOOKUP(Table1[[#This Row],[Reference]],metron,25,FALSE)</f>
        <v>8.8441890166028103E-2</v>
      </c>
      <c r="CL465" s="6">
        <f>VLOOKUP(Table1[[#This Row],[Reference]],metron,26,FALSE)</f>
        <v>0.13409961685823751</v>
      </c>
    </row>
    <row r="466" spans="1:90" hidden="1" x14ac:dyDescent="0.45">
      <c r="A466" t="s">
        <v>1346</v>
      </c>
      <c r="B466">
        <v>1602986400</v>
      </c>
      <c r="C466" s="23" t="s">
        <v>902</v>
      </c>
      <c r="D466" t="s">
        <v>65</v>
      </c>
      <c r="E466" t="s">
        <v>66</v>
      </c>
      <c r="F466" t="s">
        <v>112</v>
      </c>
      <c r="G466" t="s">
        <v>107</v>
      </c>
      <c r="H466" t="s">
        <v>92</v>
      </c>
      <c r="I466">
        <f>MROUND(Table1[[#This Row],[ProbH]]*100,2)/100</f>
        <v>0.42</v>
      </c>
      <c r="J466">
        <f>1/Table1[[#This Row],[odds_ft_home_team_win]]-Table1[[#This Row],[Margin]]</f>
        <v>0.42973563903796463</v>
      </c>
      <c r="K466">
        <f>1/Table1[[#This Row],[odds_ft_draw]]-Table1[[#This Row],[Margin]]</f>
        <v>0.27231166766050491</v>
      </c>
      <c r="L466">
        <f>1/Table1[[#This Row],[odds_ft_away_team_win]]-Table1[[#This Row],[Margin]]</f>
        <v>0.29795269330153051</v>
      </c>
      <c r="M466">
        <v>14</v>
      </c>
      <c r="N466">
        <v>2.67</v>
      </c>
      <c r="O466">
        <v>1.5</v>
      </c>
      <c r="P466">
        <v>2.1800000000000002</v>
      </c>
      <c r="Q466">
        <v>1.47</v>
      </c>
      <c r="R466" t="str" cm="1">
        <f t="array" ref="R4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66">
        <v>0</v>
      </c>
      <c r="T466">
        <v>2</v>
      </c>
      <c r="U466">
        <v>2</v>
      </c>
      <c r="V466">
        <v>0</v>
      </c>
      <c r="W466">
        <v>0</v>
      </c>
      <c r="X466">
        <v>0</v>
      </c>
      <c r="Z466" t="s">
        <v>903</v>
      </c>
      <c r="AA466">
        <v>6</v>
      </c>
      <c r="AB466">
        <v>3</v>
      </c>
      <c r="AC466">
        <v>4</v>
      </c>
      <c r="AD466">
        <v>0</v>
      </c>
      <c r="AE466">
        <v>3</v>
      </c>
      <c r="AF466">
        <v>0</v>
      </c>
      <c r="AG466">
        <v>2</v>
      </c>
      <c r="AH466">
        <v>2</v>
      </c>
      <c r="AI466">
        <v>1</v>
      </c>
      <c r="AJ466">
        <v>2</v>
      </c>
      <c r="AK466">
        <v>14</v>
      </c>
      <c r="AL466">
        <v>11</v>
      </c>
      <c r="AM466">
        <v>4</v>
      </c>
      <c r="AN466">
        <v>3</v>
      </c>
      <c r="AO466">
        <v>10</v>
      </c>
      <c r="AP466">
        <v>8</v>
      </c>
      <c r="AQ466">
        <v>15</v>
      </c>
      <c r="AR466">
        <v>9</v>
      </c>
      <c r="AS466">
        <v>45</v>
      </c>
      <c r="AT466">
        <v>55</v>
      </c>
      <c r="AU466">
        <v>1.54</v>
      </c>
      <c r="AV466">
        <v>1.0900000000000001</v>
      </c>
      <c r="AW466">
        <v>2.25</v>
      </c>
      <c r="AX466">
        <v>34</v>
      </c>
      <c r="AY466">
        <v>75</v>
      </c>
      <c r="AZ466">
        <v>33</v>
      </c>
      <c r="BA466">
        <v>17</v>
      </c>
      <c r="BB466">
        <v>17</v>
      </c>
      <c r="BC466">
        <v>25</v>
      </c>
      <c r="BD466">
        <v>67</v>
      </c>
      <c r="BE466">
        <v>33</v>
      </c>
      <c r="BF466">
        <v>83</v>
      </c>
      <c r="BG466">
        <v>12.67</v>
      </c>
      <c r="BH466">
        <v>3.84</v>
      </c>
      <c r="BI466">
        <v>2.15</v>
      </c>
      <c r="BJ466">
        <v>3.25</v>
      </c>
      <c r="BK466">
        <v>3</v>
      </c>
      <c r="BL466">
        <f>(1/Table1[[#This Row],[odds_ft_home_team_win]]+1/Table1[[#This Row],[odds_ft_draw]]+1/Table1[[#This Row],[odds_ft_away_team_win]]-1)/3</f>
        <v>3.5380640031802781E-2</v>
      </c>
      <c r="BM466">
        <v>1.3</v>
      </c>
      <c r="BN466">
        <v>2</v>
      </c>
      <c r="BO466">
        <v>3.6</v>
      </c>
      <c r="BP466">
        <v>6.95</v>
      </c>
      <c r="BQ466">
        <v>1.8</v>
      </c>
      <c r="BR466">
        <v>1.91</v>
      </c>
      <c r="BS466" t="s">
        <v>116</v>
      </c>
      <c r="BT466">
        <f>VLOOKUP(Table1[[#This Row],[Reference]],metron,8,FALSE)</f>
        <v>1.5780106027030405</v>
      </c>
      <c r="BU466">
        <f>VLOOKUP(Table1[[#This Row],[Reference]],metron,9,FALSE)</f>
        <v>1.1353025412447635</v>
      </c>
      <c r="BV466">
        <f>VLOOKUP(Table1[[#This Row],[Reference]],metron,10,FALSE)</f>
        <v>2.4884649511978703</v>
      </c>
      <c r="BW466">
        <f>VLOOKUP(Table1[[#This Row],[Reference]],metron,11,FALSE)</f>
        <v>1.396960958296362</v>
      </c>
      <c r="BX466">
        <f>VLOOKUP(Table1[[#This Row],[Reference]],metron,12,FALSE)</f>
        <v>1.091503992901508</v>
      </c>
      <c r="BY466" s="6">
        <f>VLOOKUP(Table1[[#This Row],[Reference]],metron,13,FALSE)</f>
        <v>0.60765391014975045</v>
      </c>
      <c r="BZ466" s="6">
        <f>VLOOKUP(Table1[[#This Row],[Reference]],metron,14,FALSE)</f>
        <v>0.47276760953965608</v>
      </c>
      <c r="CA466" s="6">
        <f>VLOOKUP(Table1[[#This Row],[Reference]],metron,15,FALSE)</f>
        <v>12.29504785684561</v>
      </c>
      <c r="CB466" s="6">
        <f>VLOOKUP(Table1[[#This Row],[Reference]],metron,16,FALSE)</f>
        <v>10.047232625884311</v>
      </c>
      <c r="CC466" s="6">
        <f>VLOOKUP(Table1[[#This Row],[Reference]],metron,17,FALSE)</f>
        <v>5.2917192097519967</v>
      </c>
      <c r="CD466" s="6">
        <f>VLOOKUP(Table1[[#This Row],[Reference]],metron,18,FALSE)</f>
        <v>4.2580916351408158</v>
      </c>
      <c r="CE466" s="6">
        <f>VLOOKUP(Table1[[#This Row],[Reference]],metron,19,FALSE)</f>
        <v>7.0033286470936131</v>
      </c>
      <c r="CF466" s="6">
        <f>VLOOKUP(Table1[[#This Row],[Reference]],metron,20,FALSE)</f>
        <v>5.789140990743495</v>
      </c>
      <c r="CG466" s="6">
        <f>VLOOKUP(Table1[[#This Row],[Reference]],metron,21,FALSE)</f>
        <v>12.77041895895049</v>
      </c>
      <c r="CH466" s="6">
        <f>VLOOKUP(Table1[[#This Row],[Reference]],metron,22,FALSE)</f>
        <v>13.411129919593741</v>
      </c>
      <c r="CI466" s="6">
        <f>VLOOKUP(Table1[[#This Row],[Reference]],metron,23,FALSE)</f>
        <v>1.556141062018646</v>
      </c>
      <c r="CJ466" s="6">
        <f>VLOOKUP(Table1[[#This Row],[Reference]],metron,24,FALSE)</f>
        <v>1.9114308877178761</v>
      </c>
      <c r="CK466" s="6">
        <f>VLOOKUP(Table1[[#This Row],[Reference]],metron,25,FALSE)</f>
        <v>8.4920956627482766E-2</v>
      </c>
      <c r="CL466" s="6">
        <f>VLOOKUP(Table1[[#This Row],[Reference]],metron,26,FALSE)</f>
        <v>0.1323469801378192</v>
      </c>
    </row>
    <row r="467" spans="1:90" hidden="1" x14ac:dyDescent="0.45">
      <c r="A467" t="s">
        <v>1346</v>
      </c>
      <c r="B467">
        <v>1603040400</v>
      </c>
      <c r="C467" s="23" t="s">
        <v>904</v>
      </c>
      <c r="D467" t="s">
        <v>65</v>
      </c>
      <c r="E467" t="s">
        <v>66</v>
      </c>
      <c r="F467" t="s">
        <v>96</v>
      </c>
      <c r="G467" t="s">
        <v>79</v>
      </c>
      <c r="H467" t="s">
        <v>98</v>
      </c>
      <c r="I467">
        <f>MROUND(Table1[[#This Row],[ProbH]]*100,2)/100</f>
        <v>0.5</v>
      </c>
      <c r="J467">
        <f>1/Table1[[#This Row],[odds_ft_home_team_win]]-Table1[[#This Row],[Margin]]</f>
        <v>0.50952768135430671</v>
      </c>
      <c r="K467">
        <f>1/Table1[[#This Row],[odds_ft_draw]]-Table1[[#This Row],[Margin]]</f>
        <v>0.25254610084331447</v>
      </c>
      <c r="L467">
        <f>1/Table1[[#This Row],[odds_ft_away_team_win]]-Table1[[#This Row],[Margin]]</f>
        <v>0.2379262178023788</v>
      </c>
      <c r="M467">
        <v>14</v>
      </c>
      <c r="N467">
        <v>2.14</v>
      </c>
      <c r="O467">
        <v>0.71</v>
      </c>
      <c r="P467">
        <v>1.65</v>
      </c>
      <c r="Q467">
        <v>0.55000000000000004</v>
      </c>
      <c r="R467" t="str" cm="1">
        <f t="array" ref="R4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75</v>
      </c>
      <c r="AA467">
        <v>8</v>
      </c>
      <c r="AB467">
        <v>5</v>
      </c>
      <c r="AC467">
        <v>1</v>
      </c>
      <c r="AD467">
        <v>0</v>
      </c>
      <c r="AE467">
        <v>3</v>
      </c>
      <c r="AF467">
        <v>0</v>
      </c>
      <c r="AG467">
        <v>1</v>
      </c>
      <c r="AH467">
        <v>0</v>
      </c>
      <c r="AI467">
        <v>0</v>
      </c>
      <c r="AJ467">
        <v>3</v>
      </c>
      <c r="AK467">
        <v>19</v>
      </c>
      <c r="AL467">
        <v>13</v>
      </c>
      <c r="AM467">
        <v>2</v>
      </c>
      <c r="AN467">
        <v>6</v>
      </c>
      <c r="AO467">
        <v>17</v>
      </c>
      <c r="AP467">
        <v>7</v>
      </c>
      <c r="AQ467">
        <v>12</v>
      </c>
      <c r="AR467">
        <v>17</v>
      </c>
      <c r="AS467">
        <v>54</v>
      </c>
      <c r="AT467">
        <v>46</v>
      </c>
      <c r="AU467">
        <v>1.68</v>
      </c>
      <c r="AV467">
        <v>1.52</v>
      </c>
      <c r="AW467">
        <v>3.14</v>
      </c>
      <c r="AX467">
        <v>79</v>
      </c>
      <c r="AY467">
        <v>93</v>
      </c>
      <c r="AZ467">
        <v>64</v>
      </c>
      <c r="BA467">
        <v>36</v>
      </c>
      <c r="BB467">
        <v>29</v>
      </c>
      <c r="BC467">
        <v>50</v>
      </c>
      <c r="BD467">
        <v>86</v>
      </c>
      <c r="BE467">
        <v>57</v>
      </c>
      <c r="BF467">
        <v>79</v>
      </c>
      <c r="BG467">
        <v>12.43</v>
      </c>
      <c r="BH467">
        <v>5.29</v>
      </c>
      <c r="BI467">
        <v>1.87</v>
      </c>
      <c r="BJ467">
        <v>3.6</v>
      </c>
      <c r="BK467">
        <v>3.8</v>
      </c>
      <c r="BL467">
        <f>(1/Table1[[#This Row],[odds_ft_home_team_win]]+1/Table1[[#This Row],[odds_ft_draw]]+1/Table1[[#This Row],[odds_ft_away_team_win]]-1)/3</f>
        <v>2.5231676934463303E-2</v>
      </c>
      <c r="BM467">
        <v>1.19</v>
      </c>
      <c r="BN467">
        <v>1.62</v>
      </c>
      <c r="BO467">
        <v>2.6</v>
      </c>
      <c r="BP467">
        <v>4.5999999999999996</v>
      </c>
      <c r="BQ467">
        <v>1.56</v>
      </c>
      <c r="BR467">
        <v>2.35</v>
      </c>
      <c r="BS467" t="s">
        <v>99</v>
      </c>
      <c r="BT467">
        <f>VLOOKUP(Table1[[#This Row],[Reference]],metron,8,FALSE)</f>
        <v>1.8001937313313046</v>
      </c>
      <c r="BU467">
        <f>VLOOKUP(Table1[[#This Row],[Reference]],metron,9,FALSE)</f>
        <v>0.9268512077832276</v>
      </c>
      <c r="BV467">
        <f>VLOOKUP(Table1[[#This Row],[Reference]],metron,10,FALSE)</f>
        <v>2.5202079886551649</v>
      </c>
      <c r="BW467">
        <f>VLOOKUP(Table1[[#This Row],[Reference]],metron,11,FALSE)</f>
        <v>1.5342708579532029</v>
      </c>
      <c r="BX467">
        <f>VLOOKUP(Table1[[#This Row],[Reference]],metron,12,FALSE)</f>
        <v>0.98593713070196176</v>
      </c>
      <c r="BY467" s="6">
        <f>VLOOKUP(Table1[[#This Row],[Reference]],metron,13,FALSE)</f>
        <v>0.67513590167809023</v>
      </c>
      <c r="BZ467" s="6">
        <f>VLOOKUP(Table1[[#This Row],[Reference]],metron,14,FALSE)</f>
        <v>0.4286727337194185</v>
      </c>
      <c r="CA467" s="6">
        <f>VLOOKUP(Table1[[#This Row],[Reference]],metron,15,FALSE)</f>
        <v>12.98669114272602</v>
      </c>
      <c r="CB467" s="6">
        <f>VLOOKUP(Table1[[#This Row],[Reference]],metron,16,FALSE)</f>
        <v>9.4167049105094076</v>
      </c>
      <c r="CC467" s="6">
        <f>VLOOKUP(Table1[[#This Row],[Reference]],metron,17,FALSE)</f>
        <v>5.6645716945996272</v>
      </c>
      <c r="CD467" s="6">
        <f>VLOOKUP(Table1[[#This Row],[Reference]],metron,18,FALSE)</f>
        <v>4.0242085661080074</v>
      </c>
      <c r="CE467" s="6">
        <f>VLOOKUP(Table1[[#This Row],[Reference]],metron,19,FALSE)</f>
        <v>7.3221194481263927</v>
      </c>
      <c r="CF467" s="6">
        <f>VLOOKUP(Table1[[#This Row],[Reference]],metron,20,FALSE)</f>
        <v>5.3924963444014002</v>
      </c>
      <c r="CG467" s="6">
        <f>VLOOKUP(Table1[[#This Row],[Reference]],metron,21,FALSE)</f>
        <v>12.508162313432839</v>
      </c>
      <c r="CH467" s="6">
        <f>VLOOKUP(Table1[[#This Row],[Reference]],metron,22,FALSE)</f>
        <v>13.36963619402985</v>
      </c>
      <c r="CI467" s="6">
        <f>VLOOKUP(Table1[[#This Row],[Reference]],metron,23,FALSE)</f>
        <v>1.4438014689517029</v>
      </c>
      <c r="CJ467" s="6">
        <f>VLOOKUP(Table1[[#This Row],[Reference]],metron,24,FALSE)</f>
        <v>1.9410193634542621</v>
      </c>
      <c r="CK467" s="6">
        <f>VLOOKUP(Table1[[#This Row],[Reference]],metron,25,FALSE)</f>
        <v>8.4130870242599604E-2</v>
      </c>
      <c r="CL467" s="6">
        <f>VLOOKUP(Table1[[#This Row],[Reference]],metron,26,FALSE)</f>
        <v>0.1275317160026708</v>
      </c>
    </row>
    <row r="468" spans="1:90" hidden="1" x14ac:dyDescent="0.45">
      <c r="A468" t="s">
        <v>1346</v>
      </c>
      <c r="B468">
        <v>1603065960</v>
      </c>
      <c r="C468" s="23" t="s">
        <v>905</v>
      </c>
      <c r="D468" t="s">
        <v>65</v>
      </c>
      <c r="E468" t="s">
        <v>66</v>
      </c>
      <c r="F468" t="s">
        <v>73</v>
      </c>
      <c r="G468" t="s">
        <v>84</v>
      </c>
      <c r="H468" t="s">
        <v>80</v>
      </c>
      <c r="I468">
        <f>MROUND(Table1[[#This Row],[ProbH]]*100,2)/100</f>
        <v>0.4</v>
      </c>
      <c r="J468">
        <f>1/Table1[[#This Row],[odds_ft_home_team_win]]-Table1[[#This Row],[Margin]]</f>
        <v>0.409732121644096</v>
      </c>
      <c r="K468">
        <f>1/Table1[[#This Row],[odds_ft_draw]]-Table1[[#This Row],[Margin]]</f>
        <v>0.28744951294844379</v>
      </c>
      <c r="L468">
        <f>1/Table1[[#This Row],[odds_ft_away_team_win]]-Table1[[#This Row],[Margin]]</f>
        <v>0.30281836540746021</v>
      </c>
      <c r="M468">
        <v>14</v>
      </c>
      <c r="N468">
        <v>2</v>
      </c>
      <c r="O468">
        <v>1.5</v>
      </c>
      <c r="P468">
        <v>2.09</v>
      </c>
      <c r="Q468">
        <v>1.38</v>
      </c>
      <c r="R468" t="str" cm="1">
        <f t="array" ref="R4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68">
        <v>1</v>
      </c>
      <c r="T468">
        <v>1</v>
      </c>
      <c r="U468">
        <v>2</v>
      </c>
      <c r="V468">
        <v>2</v>
      </c>
      <c r="W468">
        <v>1</v>
      </c>
      <c r="X468">
        <v>1</v>
      </c>
      <c r="Y468" t="s">
        <v>172</v>
      </c>
      <c r="Z468" t="s">
        <v>148</v>
      </c>
      <c r="AA468">
        <v>9</v>
      </c>
      <c r="AB468">
        <v>4</v>
      </c>
      <c r="AC468">
        <v>1</v>
      </c>
      <c r="AD468">
        <v>0</v>
      </c>
      <c r="AE468">
        <v>2</v>
      </c>
      <c r="AF468">
        <v>0</v>
      </c>
      <c r="AG468">
        <v>1</v>
      </c>
      <c r="AH468">
        <v>0</v>
      </c>
      <c r="AI468">
        <v>1</v>
      </c>
      <c r="AJ468">
        <v>1</v>
      </c>
      <c r="AK468">
        <v>13</v>
      </c>
      <c r="AL468">
        <v>6</v>
      </c>
      <c r="AM468">
        <v>4</v>
      </c>
      <c r="AN468">
        <v>3</v>
      </c>
      <c r="AO468">
        <v>9</v>
      </c>
      <c r="AP468">
        <v>3</v>
      </c>
      <c r="AQ468">
        <v>19</v>
      </c>
      <c r="AR468">
        <v>12</v>
      </c>
      <c r="AS468">
        <v>51</v>
      </c>
      <c r="AT468">
        <v>49</v>
      </c>
      <c r="AU468">
        <v>1.42</v>
      </c>
      <c r="AV468">
        <v>0.87</v>
      </c>
      <c r="AW468">
        <v>1.59</v>
      </c>
      <c r="AX468">
        <v>37</v>
      </c>
      <c r="AY468">
        <v>57</v>
      </c>
      <c r="AZ468">
        <v>20</v>
      </c>
      <c r="BA468">
        <v>0</v>
      </c>
      <c r="BB468">
        <v>0</v>
      </c>
      <c r="BC468">
        <v>20</v>
      </c>
      <c r="BD468">
        <v>49</v>
      </c>
      <c r="BE468">
        <v>19</v>
      </c>
      <c r="BF468">
        <v>72</v>
      </c>
      <c r="BG468">
        <v>12.77</v>
      </c>
      <c r="BH468">
        <v>3.8</v>
      </c>
      <c r="BI468">
        <v>2.2999999999999998</v>
      </c>
      <c r="BJ468">
        <v>3.2</v>
      </c>
      <c r="BK468">
        <v>3.05</v>
      </c>
      <c r="BL468">
        <f>(1/Table1[[#This Row],[odds_ft_home_team_win]]+1/Table1[[#This Row],[odds_ft_draw]]+1/Table1[[#This Row],[odds_ft_away_team_win]]-1)/3</f>
        <v>2.5050487051556214E-2</v>
      </c>
      <c r="BM468">
        <v>1.32</v>
      </c>
      <c r="BN468">
        <v>2</v>
      </c>
      <c r="BO468">
        <v>3.55</v>
      </c>
      <c r="BP468">
        <v>6.85</v>
      </c>
      <c r="BQ468">
        <v>1.77</v>
      </c>
      <c r="BR468">
        <v>1.95</v>
      </c>
      <c r="BS468" t="s">
        <v>142</v>
      </c>
      <c r="BT468">
        <f>VLOOKUP(Table1[[#This Row],[Reference]],metron,8,FALSE)</f>
        <v>1.5181603563290151</v>
      </c>
      <c r="BU468">
        <f>VLOOKUP(Table1[[#This Row],[Reference]],metron,9,FALSE)</f>
        <v>1.1952730370775513</v>
      </c>
      <c r="BV468">
        <f>VLOOKUP(Table1[[#This Row],[Reference]],metron,10,FALSE)</f>
        <v>2.4956155335383219</v>
      </c>
      <c r="BW468">
        <f>VLOOKUP(Table1[[#This Row],[Reference]],metron,11,FALSE)</f>
        <v>1.344038264434575</v>
      </c>
      <c r="BX468">
        <f>VLOOKUP(Table1[[#This Row],[Reference]],metron,12,FALSE)</f>
        <v>1.1515772691037469</v>
      </c>
      <c r="BY468" s="6">
        <f>VLOOKUP(Table1[[#This Row],[Reference]],metron,13,FALSE)</f>
        <v>0.59936225942375587</v>
      </c>
      <c r="BZ468" s="6">
        <f>VLOOKUP(Table1[[#This Row],[Reference]],metron,14,FALSE)</f>
        <v>0.50723152260562576</v>
      </c>
      <c r="CA468" s="6">
        <f>VLOOKUP(Table1[[#This Row],[Reference]],metron,15,FALSE)</f>
        <v>11.99278846153846</v>
      </c>
      <c r="CB468" s="6">
        <f>VLOOKUP(Table1[[#This Row],[Reference]],metron,16,FALSE)</f>
        <v>10.0277534965035</v>
      </c>
      <c r="CC468" s="6">
        <f>VLOOKUP(Table1[[#This Row],[Reference]],metron,17,FALSE)</f>
        <v>5.2857459543338514</v>
      </c>
      <c r="CD468" s="6">
        <f>VLOOKUP(Table1[[#This Row],[Reference]],metron,18,FALSE)</f>
        <v>4.4067834183107957</v>
      </c>
      <c r="CE468" s="6">
        <f>VLOOKUP(Table1[[#This Row],[Reference]],metron,19,FALSE)</f>
        <v>6.7070425072046085</v>
      </c>
      <c r="CF468" s="6">
        <f>VLOOKUP(Table1[[#This Row],[Reference]],metron,20,FALSE)</f>
        <v>5.6209700781927046</v>
      </c>
      <c r="CG468" s="6">
        <f>VLOOKUP(Table1[[#This Row],[Reference]],metron,21,FALSE)</f>
        <v>13.04463690872752</v>
      </c>
      <c r="CH468" s="6">
        <f>VLOOKUP(Table1[[#This Row],[Reference]],metron,22,FALSE)</f>
        <v>13.49811236953142</v>
      </c>
      <c r="CI468" s="6">
        <f>VLOOKUP(Table1[[#This Row],[Reference]],metron,23,FALSE)</f>
        <v>1.5836526181353769</v>
      </c>
      <c r="CJ468" s="6">
        <f>VLOOKUP(Table1[[#This Row],[Reference]],metron,24,FALSE)</f>
        <v>1.8744146445295871</v>
      </c>
      <c r="CK468" s="6">
        <f>VLOOKUP(Table1[[#This Row],[Reference]],metron,25,FALSE)</f>
        <v>8.5994040017028525E-2</v>
      </c>
      <c r="CL468" s="6">
        <f>VLOOKUP(Table1[[#This Row],[Reference]],metron,26,FALSE)</f>
        <v>0.13452532992762881</v>
      </c>
    </row>
    <row r="469" spans="1:90" hidden="1" x14ac:dyDescent="0.45">
      <c r="A469" t="s">
        <v>1346</v>
      </c>
      <c r="B469">
        <v>1603159200</v>
      </c>
      <c r="C469" s="23" t="s">
        <v>906</v>
      </c>
      <c r="D469" t="s">
        <v>65</v>
      </c>
      <c r="E469" t="s">
        <v>66</v>
      </c>
      <c r="F469" t="s">
        <v>85</v>
      </c>
      <c r="G469" t="s">
        <v>68</v>
      </c>
      <c r="H469" t="s">
        <v>158</v>
      </c>
      <c r="I469">
        <f>MROUND(Table1[[#This Row],[ProbH]]*100,2)/100</f>
        <v>0.54</v>
      </c>
      <c r="J469">
        <f>1/Table1[[#This Row],[odds_ft_home_team_win]]-Table1[[#This Row],[Margin]]</f>
        <v>0.53051431998800425</v>
      </c>
      <c r="K469">
        <f>1/Table1[[#This Row],[odds_ft_draw]]-Table1[[#This Row],[Margin]]</f>
        <v>0.23811665916929076</v>
      </c>
      <c r="L469">
        <f>1/Table1[[#This Row],[odds_ft_away_team_win]]-Table1[[#This Row],[Margin]]</f>
        <v>0.23136902084270511</v>
      </c>
      <c r="M469">
        <v>14</v>
      </c>
      <c r="N469">
        <v>2.67</v>
      </c>
      <c r="O469">
        <v>1.83</v>
      </c>
      <c r="P469">
        <v>2.29</v>
      </c>
      <c r="Q469">
        <v>1.63</v>
      </c>
      <c r="R469" s="9" t="str" cm="1">
        <f t="array" ref="R4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9">
        <v>3</v>
      </c>
      <c r="T469">
        <v>2</v>
      </c>
      <c r="U469">
        <v>5</v>
      </c>
      <c r="V469">
        <v>4</v>
      </c>
      <c r="W469">
        <v>2</v>
      </c>
      <c r="X469">
        <v>2</v>
      </c>
      <c r="Y469" t="s">
        <v>907</v>
      </c>
      <c r="Z469" t="s">
        <v>908</v>
      </c>
      <c r="AA469">
        <v>2</v>
      </c>
      <c r="AB469">
        <v>6</v>
      </c>
      <c r="AC469">
        <v>2</v>
      </c>
      <c r="AD469">
        <v>0</v>
      </c>
      <c r="AE469">
        <v>2</v>
      </c>
      <c r="AF469">
        <v>0</v>
      </c>
      <c r="AG469">
        <v>1</v>
      </c>
      <c r="AH469">
        <v>1</v>
      </c>
      <c r="AI469">
        <v>0</v>
      </c>
      <c r="AJ469">
        <v>2</v>
      </c>
      <c r="AK469">
        <v>17</v>
      </c>
      <c r="AL469">
        <v>17</v>
      </c>
      <c r="AM469">
        <v>6</v>
      </c>
      <c r="AN469">
        <v>4</v>
      </c>
      <c r="AO469">
        <v>11</v>
      </c>
      <c r="AP469">
        <v>13</v>
      </c>
      <c r="AQ469">
        <v>15</v>
      </c>
      <c r="AR469">
        <v>11</v>
      </c>
      <c r="AS469">
        <v>51</v>
      </c>
      <c r="AT469">
        <v>49</v>
      </c>
      <c r="AU469">
        <v>1.8</v>
      </c>
      <c r="AV469">
        <v>1.71</v>
      </c>
      <c r="AW469">
        <v>2.67</v>
      </c>
      <c r="AX469">
        <v>75</v>
      </c>
      <c r="AY469">
        <v>83</v>
      </c>
      <c r="AZ469">
        <v>59</v>
      </c>
      <c r="BA469">
        <v>17</v>
      </c>
      <c r="BB469">
        <v>17</v>
      </c>
      <c r="BC469">
        <v>25</v>
      </c>
      <c r="BD469">
        <v>67</v>
      </c>
      <c r="BE469">
        <v>42</v>
      </c>
      <c r="BF469">
        <v>83</v>
      </c>
      <c r="BG469">
        <v>9.83</v>
      </c>
      <c r="BH469">
        <v>2.84</v>
      </c>
      <c r="BI469">
        <v>1.8</v>
      </c>
      <c r="BJ469">
        <v>3.8</v>
      </c>
      <c r="BK469">
        <v>3.9</v>
      </c>
      <c r="BL469">
        <f>(1/Table1[[#This Row],[odds_ft_home_team_win]]+1/Table1[[#This Row],[odds_ft_draw]]+1/Table1[[#This Row],[odds_ft_away_team_win]]-1)/3</f>
        <v>2.5041235567551334E-2</v>
      </c>
      <c r="BM469">
        <v>1.21</v>
      </c>
      <c r="BN469">
        <v>1.67</v>
      </c>
      <c r="BO469">
        <v>2.7</v>
      </c>
      <c r="BP469">
        <v>4.9000000000000004</v>
      </c>
      <c r="BQ469">
        <v>1.62</v>
      </c>
      <c r="BR469">
        <v>2.15</v>
      </c>
      <c r="BS469" t="s">
        <v>76</v>
      </c>
      <c r="BT469">
        <f>VLOOKUP(Table1[[#This Row],[Reference]],metron,8,FALSE)</f>
        <v>1.915666026436746</v>
      </c>
      <c r="BU469">
        <f>VLOOKUP(Table1[[#This Row],[Reference]],metron,9,FALSE)</f>
        <v>0.82283834599204153</v>
      </c>
      <c r="BV469">
        <f>VLOOKUP(Table1[[#This Row],[Reference]],metron,10,FALSE)</f>
        <v>2.6359702267612941</v>
      </c>
      <c r="BW469">
        <f>VLOOKUP(Table1[[#This Row],[Reference]],metron,11,FALSE)</f>
        <v>1.684957590444867</v>
      </c>
      <c r="BX469">
        <f>VLOOKUP(Table1[[#This Row],[Reference]],metron,12,FALSE)</f>
        <v>0.95101263631642718</v>
      </c>
      <c r="BY469" s="6">
        <f>VLOOKUP(Table1[[#This Row],[Reference]],metron,13,FALSE)</f>
        <v>0.72650164445213783</v>
      </c>
      <c r="BZ469" s="6">
        <f>VLOOKUP(Table1[[#This Row],[Reference]],metron,14,FALSE)</f>
        <v>0.42097974727367138</v>
      </c>
      <c r="CA469" s="6">
        <f>VLOOKUP(Table1[[#This Row],[Reference]],metron,15,FALSE)</f>
        <v>13.338806970509379</v>
      </c>
      <c r="CB469" s="6">
        <f>VLOOKUP(Table1[[#This Row],[Reference]],metron,16,FALSE)</f>
        <v>9.2530160857908843</v>
      </c>
      <c r="CC469" s="6">
        <f>VLOOKUP(Table1[[#This Row],[Reference]],metron,17,FALSE)</f>
        <v>5.9915081521739131</v>
      </c>
      <c r="CD469" s="6">
        <f>VLOOKUP(Table1[[#This Row],[Reference]],metron,18,FALSE)</f>
        <v>3.9772418478260869</v>
      </c>
      <c r="CE469" s="6">
        <f>VLOOKUP(Table1[[#This Row],[Reference]],metron,19,FALSE)</f>
        <v>7.3472988183354664</v>
      </c>
      <c r="CF469" s="6">
        <f>VLOOKUP(Table1[[#This Row],[Reference]],metron,20,FALSE)</f>
        <v>5.2757742379647974</v>
      </c>
      <c r="CG469" s="6">
        <f>VLOOKUP(Table1[[#This Row],[Reference]],metron,21,FALSE)</f>
        <v>12.59428182437032</v>
      </c>
      <c r="CH469" s="6">
        <f>VLOOKUP(Table1[[#This Row],[Reference]],metron,22,FALSE)</f>
        <v>13.577944179714089</v>
      </c>
      <c r="CI469" s="6">
        <f>VLOOKUP(Table1[[#This Row],[Reference]],metron,23,FALSE)</f>
        <v>1.4276913099870301</v>
      </c>
      <c r="CJ469" s="6">
        <f>VLOOKUP(Table1[[#This Row],[Reference]],metron,24,FALSE)</f>
        <v>1.940985732814527</v>
      </c>
      <c r="CK469" s="6">
        <f>VLOOKUP(Table1[[#This Row],[Reference]],metron,25,FALSE)</f>
        <v>8.0739299610894946E-2</v>
      </c>
      <c r="CL469" s="6">
        <f>VLOOKUP(Table1[[#This Row],[Reference]],metron,26,FALSE)</f>
        <v>0.12743190661478601</v>
      </c>
    </row>
    <row r="470" spans="1:90" hidden="1" x14ac:dyDescent="0.45">
      <c r="A470" t="s">
        <v>1346</v>
      </c>
      <c r="B470">
        <v>1603499400</v>
      </c>
      <c r="C470" s="23" t="s">
        <v>909</v>
      </c>
      <c r="D470" t="s">
        <v>65</v>
      </c>
      <c r="E470" t="s">
        <v>66</v>
      </c>
      <c r="F470" t="s">
        <v>102</v>
      </c>
      <c r="G470" t="s">
        <v>85</v>
      </c>
      <c r="H470" t="s">
        <v>130</v>
      </c>
      <c r="I470">
        <f>MROUND(Table1[[#This Row],[ProbH]]*100,2)/100</f>
        <v>0.22</v>
      </c>
      <c r="J470">
        <f>1/Table1[[#This Row],[odds_ft_home_team_win]]-Table1[[#This Row],[Margin]]</f>
        <v>0.21055163160426321</v>
      </c>
      <c r="K470">
        <f>1/Table1[[#This Row],[odds_ft_draw]]-Table1[[#This Row],[Margin]]</f>
        <v>0.23219665324928485</v>
      </c>
      <c r="L470">
        <f>1/Table1[[#This Row],[odds_ft_away_team_win]]-Table1[[#This Row],[Margin]]</f>
        <v>0.557251715146452</v>
      </c>
      <c r="M470">
        <v>15</v>
      </c>
      <c r="N470">
        <v>0.83</v>
      </c>
      <c r="O470">
        <v>2</v>
      </c>
      <c r="P470">
        <v>1.5</v>
      </c>
      <c r="Q470">
        <v>1.5</v>
      </c>
      <c r="R470" t="str" cm="1">
        <f t="array" ref="R4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0">
        <v>1</v>
      </c>
      <c r="T470">
        <v>2</v>
      </c>
      <c r="U470">
        <v>3</v>
      </c>
      <c r="V470">
        <v>0</v>
      </c>
      <c r="W470">
        <v>0</v>
      </c>
      <c r="X470">
        <v>0</v>
      </c>
      <c r="Y470">
        <v>77</v>
      </c>
      <c r="Z470" t="s">
        <v>910</v>
      </c>
      <c r="AA470">
        <v>6</v>
      </c>
      <c r="AB470">
        <v>2</v>
      </c>
      <c r="AC470">
        <v>3</v>
      </c>
      <c r="AD470">
        <v>0</v>
      </c>
      <c r="AE470">
        <v>2</v>
      </c>
      <c r="AF470">
        <v>1</v>
      </c>
      <c r="AG470">
        <v>1</v>
      </c>
      <c r="AH470">
        <v>2</v>
      </c>
      <c r="AI470">
        <v>0</v>
      </c>
      <c r="AJ470">
        <v>3</v>
      </c>
      <c r="AK470">
        <v>17</v>
      </c>
      <c r="AL470">
        <v>13</v>
      </c>
      <c r="AM470">
        <v>6</v>
      </c>
      <c r="AN470">
        <v>4</v>
      </c>
      <c r="AO470">
        <v>11</v>
      </c>
      <c r="AP470">
        <v>9</v>
      </c>
      <c r="AQ470">
        <v>15</v>
      </c>
      <c r="AR470">
        <v>12</v>
      </c>
      <c r="AS470">
        <v>38</v>
      </c>
      <c r="AT470">
        <v>62</v>
      </c>
      <c r="AU470">
        <v>1.89</v>
      </c>
      <c r="AV470">
        <v>1.32</v>
      </c>
      <c r="AW470">
        <v>2.61</v>
      </c>
      <c r="AX470">
        <v>41</v>
      </c>
      <c r="AY470">
        <v>70</v>
      </c>
      <c r="AZ470">
        <v>32</v>
      </c>
      <c r="BA470">
        <v>32</v>
      </c>
      <c r="BB470">
        <v>32</v>
      </c>
      <c r="BC470">
        <v>34</v>
      </c>
      <c r="BD470">
        <v>62</v>
      </c>
      <c r="BE470">
        <v>41</v>
      </c>
      <c r="BF470">
        <v>77</v>
      </c>
      <c r="BG470">
        <v>8.9700000000000006</v>
      </c>
      <c r="BH470">
        <v>3.19</v>
      </c>
      <c r="BI470">
        <v>4.2</v>
      </c>
      <c r="BJ470">
        <v>3.85</v>
      </c>
      <c r="BK470">
        <v>1.71</v>
      </c>
      <c r="BL470">
        <f>(1/Table1[[#This Row],[odds_ft_home_team_win]]+1/Table1[[#This Row],[odds_ft_draw]]+1/Table1[[#This Row],[odds_ft_away_team_win]]-1)/3</f>
        <v>2.754360649097487E-2</v>
      </c>
      <c r="BM470">
        <v>1.2</v>
      </c>
      <c r="BN470">
        <v>1.67</v>
      </c>
      <c r="BO470">
        <v>2.7</v>
      </c>
      <c r="BP470">
        <v>4.8499999999999996</v>
      </c>
      <c r="BQ470">
        <v>1.65</v>
      </c>
      <c r="BR470">
        <v>2.15</v>
      </c>
      <c r="BS470" t="s">
        <v>124</v>
      </c>
      <c r="BT470">
        <f>VLOOKUP(Table1[[#This Row],[Reference]],metron,8,FALSE)</f>
        <v>0.95722909461760497</v>
      </c>
      <c r="BU470">
        <f>VLOOKUP(Table1[[#This Row],[Reference]],metron,9,FALSE)</f>
        <v>1.7723830340511415</v>
      </c>
      <c r="BV470">
        <f>VLOOKUP(Table1[[#This Row],[Reference]],metron,10,FALSE)</f>
        <v>2.7115135834411381</v>
      </c>
      <c r="BW470">
        <f>VLOOKUP(Table1[[#This Row],[Reference]],metron,11,FALSE)</f>
        <v>1.0633893919793009</v>
      </c>
      <c r="BX470">
        <f>VLOOKUP(Table1[[#This Row],[Reference]],metron,12,FALSE)</f>
        <v>1.648124191461837</v>
      </c>
      <c r="BY470" s="6">
        <f>VLOOKUP(Table1[[#This Row],[Reference]],metron,13,FALSE)</f>
        <v>0.47218628719275552</v>
      </c>
      <c r="BZ470" s="6">
        <f>VLOOKUP(Table1[[#This Row],[Reference]],metron,14,FALSE)</f>
        <v>0.70181112548512292</v>
      </c>
      <c r="CA470" s="6">
        <f>VLOOKUP(Table1[[#This Row],[Reference]],metron,15,FALSE)</f>
        <v>10.38488783943329</v>
      </c>
      <c r="CB470" s="6">
        <f>VLOOKUP(Table1[[#This Row],[Reference]],metron,16,FALSE)</f>
        <v>12.349468713105081</v>
      </c>
      <c r="CC470" s="6">
        <f>VLOOKUP(Table1[[#This Row],[Reference]],metron,17,FALSE)</f>
        <v>4.0990453460620522</v>
      </c>
      <c r="CD470" s="6">
        <f>VLOOKUP(Table1[[#This Row],[Reference]],metron,18,FALSE)</f>
        <v>5.2720763723150359</v>
      </c>
      <c r="CE470" s="6">
        <f>VLOOKUP(Table1[[#This Row],[Reference]],metron,19,FALSE)</f>
        <v>6.2858424933712378</v>
      </c>
      <c r="CF470" s="6">
        <f>VLOOKUP(Table1[[#This Row],[Reference]],metron,20,FALSE)</f>
        <v>7.0773923407900448</v>
      </c>
      <c r="CG470" s="6">
        <f>VLOOKUP(Table1[[#This Row],[Reference]],metron,21,FALSE)</f>
        <v>13.235083532219569</v>
      </c>
      <c r="CH470" s="6">
        <f>VLOOKUP(Table1[[#This Row],[Reference]],metron,22,FALSE)</f>
        <v>13.05131264916468</v>
      </c>
      <c r="CI470" s="6">
        <f>VLOOKUP(Table1[[#This Row],[Reference]],metron,23,FALSE)</f>
        <v>1.834292289988493</v>
      </c>
      <c r="CJ470" s="6">
        <f>VLOOKUP(Table1[[#This Row],[Reference]],metron,24,FALSE)</f>
        <v>1.806674338319908</v>
      </c>
      <c r="CK470" s="6">
        <f>VLOOKUP(Table1[[#This Row],[Reference]],metron,25,FALSE)</f>
        <v>0.1196777905638665</v>
      </c>
      <c r="CL470" s="6">
        <f>VLOOKUP(Table1[[#This Row],[Reference]],metron,26,FALSE)</f>
        <v>0.1185270425776755</v>
      </c>
    </row>
    <row r="471" spans="1:90" hidden="1" x14ac:dyDescent="0.45">
      <c r="A471" t="s">
        <v>1346</v>
      </c>
      <c r="B471">
        <v>1603576800</v>
      </c>
      <c r="C471" s="23" t="s">
        <v>911</v>
      </c>
      <c r="D471" t="s">
        <v>65</v>
      </c>
      <c r="E471" t="s">
        <v>66</v>
      </c>
      <c r="F471" t="s">
        <v>67</v>
      </c>
      <c r="G471" t="s">
        <v>72</v>
      </c>
      <c r="H471" t="s">
        <v>103</v>
      </c>
      <c r="I471">
        <f>MROUND(Table1[[#This Row],[ProbH]]*100,2)/100</f>
        <v>0.42</v>
      </c>
      <c r="J471">
        <f>1/Table1[[#This Row],[odds_ft_home_team_win]]-Table1[[#This Row],[Margin]]</f>
        <v>0.41953864534509694</v>
      </c>
      <c r="K471">
        <f>1/Table1[[#This Row],[odds_ft_draw]]-Table1[[#This Row],[Margin]]</f>
        <v>0.29767484606194283</v>
      </c>
      <c r="L471">
        <f>1/Table1[[#This Row],[odds_ft_away_team_win]]-Table1[[#This Row],[Margin]]</f>
        <v>0.28278650859296023</v>
      </c>
      <c r="M471">
        <v>15</v>
      </c>
      <c r="N471">
        <v>1.67</v>
      </c>
      <c r="O471">
        <v>0.83</v>
      </c>
      <c r="P471">
        <v>1.82</v>
      </c>
      <c r="Q471">
        <v>0.72</v>
      </c>
      <c r="R471" t="str" cm="1">
        <f t="array" ref="R4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1</v>
      </c>
      <c r="Z471" t="s">
        <v>639</v>
      </c>
      <c r="AA471">
        <v>5</v>
      </c>
      <c r="AB471">
        <v>4</v>
      </c>
      <c r="AC471">
        <v>4</v>
      </c>
      <c r="AD471">
        <v>0</v>
      </c>
      <c r="AE471">
        <v>1</v>
      </c>
      <c r="AF471">
        <v>1</v>
      </c>
      <c r="AG471">
        <v>1</v>
      </c>
      <c r="AH471">
        <v>3</v>
      </c>
      <c r="AI471">
        <v>1</v>
      </c>
      <c r="AJ471">
        <v>1</v>
      </c>
      <c r="AK471">
        <v>19</v>
      </c>
      <c r="AL471">
        <v>7</v>
      </c>
      <c r="AM471">
        <v>4</v>
      </c>
      <c r="AN471">
        <v>3</v>
      </c>
      <c r="AO471">
        <v>15</v>
      </c>
      <c r="AP471">
        <v>4</v>
      </c>
      <c r="AQ471">
        <v>8</v>
      </c>
      <c r="AR471">
        <v>9</v>
      </c>
      <c r="AS471">
        <v>49</v>
      </c>
      <c r="AT471">
        <v>51</v>
      </c>
      <c r="AU471">
        <v>1.84</v>
      </c>
      <c r="AV471">
        <v>0.82</v>
      </c>
      <c r="AW471">
        <v>2.75</v>
      </c>
      <c r="AX471">
        <v>67</v>
      </c>
      <c r="AY471">
        <v>75</v>
      </c>
      <c r="AZ471">
        <v>50</v>
      </c>
      <c r="BA471">
        <v>25</v>
      </c>
      <c r="BB471">
        <v>25</v>
      </c>
      <c r="BC471">
        <v>9</v>
      </c>
      <c r="BD471">
        <v>59</v>
      </c>
      <c r="BE471">
        <v>67</v>
      </c>
      <c r="BF471">
        <v>92</v>
      </c>
      <c r="BG471">
        <v>7.67</v>
      </c>
      <c r="BH471">
        <v>4.17</v>
      </c>
      <c r="BI471">
        <v>2.25</v>
      </c>
      <c r="BJ471">
        <v>3.1</v>
      </c>
      <c r="BK471">
        <v>3.25</v>
      </c>
      <c r="BL471">
        <f>(1/Table1[[#This Row],[odds_ft_home_team_win]]+1/Table1[[#This Row],[odds_ft_draw]]+1/Table1[[#This Row],[odds_ft_away_team_win]]-1)/3</f>
        <v>2.4905799099347464E-2</v>
      </c>
      <c r="BM471">
        <v>1.33</v>
      </c>
      <c r="BN471">
        <v>2.0499999999999998</v>
      </c>
      <c r="BO471">
        <v>3.65</v>
      </c>
      <c r="BP471">
        <v>7</v>
      </c>
      <c r="BQ471">
        <v>1.77</v>
      </c>
      <c r="BR471">
        <v>1.95</v>
      </c>
      <c r="BS471" t="s">
        <v>70</v>
      </c>
      <c r="BT471">
        <f>VLOOKUP(Table1[[#This Row],[Reference]],metron,8,FALSE)</f>
        <v>1.5780106027030405</v>
      </c>
      <c r="BU471">
        <f>VLOOKUP(Table1[[#This Row],[Reference]],metron,9,FALSE)</f>
        <v>1.1353025412447635</v>
      </c>
      <c r="BV471">
        <f>VLOOKUP(Table1[[#This Row],[Reference]],metron,10,FALSE)</f>
        <v>2.4884649511978703</v>
      </c>
      <c r="BW471">
        <f>VLOOKUP(Table1[[#This Row],[Reference]],metron,11,FALSE)</f>
        <v>1.396960958296362</v>
      </c>
      <c r="BX471">
        <f>VLOOKUP(Table1[[#This Row],[Reference]],metron,12,FALSE)</f>
        <v>1.091503992901508</v>
      </c>
      <c r="BY471" s="6">
        <f>VLOOKUP(Table1[[#This Row],[Reference]],metron,13,FALSE)</f>
        <v>0.60765391014975045</v>
      </c>
      <c r="BZ471" s="6">
        <f>VLOOKUP(Table1[[#This Row],[Reference]],metron,14,FALSE)</f>
        <v>0.47276760953965608</v>
      </c>
      <c r="CA471" s="6">
        <f>VLOOKUP(Table1[[#This Row],[Reference]],metron,15,FALSE)</f>
        <v>12.29504785684561</v>
      </c>
      <c r="CB471" s="6">
        <f>VLOOKUP(Table1[[#This Row],[Reference]],metron,16,FALSE)</f>
        <v>10.047232625884311</v>
      </c>
      <c r="CC471" s="6">
        <f>VLOOKUP(Table1[[#This Row],[Reference]],metron,17,FALSE)</f>
        <v>5.2917192097519967</v>
      </c>
      <c r="CD471" s="6">
        <f>VLOOKUP(Table1[[#This Row],[Reference]],metron,18,FALSE)</f>
        <v>4.2580916351408158</v>
      </c>
      <c r="CE471" s="6">
        <f>VLOOKUP(Table1[[#This Row],[Reference]],metron,19,FALSE)</f>
        <v>7.0033286470936131</v>
      </c>
      <c r="CF471" s="6">
        <f>VLOOKUP(Table1[[#This Row],[Reference]],metron,20,FALSE)</f>
        <v>5.789140990743495</v>
      </c>
      <c r="CG471" s="6">
        <f>VLOOKUP(Table1[[#This Row],[Reference]],metron,21,FALSE)</f>
        <v>12.77041895895049</v>
      </c>
      <c r="CH471" s="6">
        <f>VLOOKUP(Table1[[#This Row],[Reference]],metron,22,FALSE)</f>
        <v>13.411129919593741</v>
      </c>
      <c r="CI471" s="6">
        <f>VLOOKUP(Table1[[#This Row],[Reference]],metron,23,FALSE)</f>
        <v>1.556141062018646</v>
      </c>
      <c r="CJ471" s="6">
        <f>VLOOKUP(Table1[[#This Row],[Reference]],metron,24,FALSE)</f>
        <v>1.9114308877178761</v>
      </c>
      <c r="CK471" s="6">
        <f>VLOOKUP(Table1[[#This Row],[Reference]],metron,25,FALSE)</f>
        <v>8.4920956627482766E-2</v>
      </c>
      <c r="CL471" s="6">
        <f>VLOOKUP(Table1[[#This Row],[Reference]],metron,26,FALSE)</f>
        <v>0.1323469801378192</v>
      </c>
    </row>
    <row r="472" spans="1:90" hidden="1" x14ac:dyDescent="0.45">
      <c r="A472" t="s">
        <v>1346</v>
      </c>
      <c r="B472">
        <v>1603587600</v>
      </c>
      <c r="C472" s="23" t="s">
        <v>912</v>
      </c>
      <c r="D472" t="s">
        <v>65</v>
      </c>
      <c r="E472" t="s">
        <v>66</v>
      </c>
      <c r="F472" t="s">
        <v>107</v>
      </c>
      <c r="G472" t="s">
        <v>78</v>
      </c>
      <c r="H472" t="s">
        <v>74</v>
      </c>
      <c r="I472">
        <f>MROUND(Table1[[#This Row],[ProbH]]*100,2)/100</f>
        <v>0.62</v>
      </c>
      <c r="J472">
        <f>1/Table1[[#This Row],[odds_ft_home_team_win]]-Table1[[#This Row],[Margin]]</f>
        <v>0.62828282828282822</v>
      </c>
      <c r="K472">
        <f>1/Table1[[#This Row],[odds_ft_draw]]-Table1[[#This Row],[Margin]]</f>
        <v>0.22828282828282825</v>
      </c>
      <c r="L472">
        <f>1/Table1[[#This Row],[odds_ft_away_team_win]]-Table1[[#This Row],[Margin]]</f>
        <v>0.14343434343434341</v>
      </c>
      <c r="M472">
        <v>15</v>
      </c>
      <c r="N472">
        <v>2</v>
      </c>
      <c r="O472">
        <v>0.71</v>
      </c>
      <c r="P472">
        <v>1.53</v>
      </c>
      <c r="Q472">
        <v>0.59</v>
      </c>
      <c r="R472" t="str" cm="1">
        <f t="array" ref="R4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72">
        <v>1</v>
      </c>
      <c r="T472">
        <v>1</v>
      </c>
      <c r="U472">
        <v>2</v>
      </c>
      <c r="V472">
        <v>0</v>
      </c>
      <c r="W472">
        <v>0</v>
      </c>
      <c r="X472">
        <v>0</v>
      </c>
      <c r="Y472">
        <v>46</v>
      </c>
      <c r="Z472">
        <v>70</v>
      </c>
      <c r="AA472">
        <v>3</v>
      </c>
      <c r="AB472">
        <v>5</v>
      </c>
      <c r="AC472">
        <v>3</v>
      </c>
      <c r="AD472">
        <v>0</v>
      </c>
      <c r="AE472">
        <v>2</v>
      </c>
      <c r="AF472">
        <v>0</v>
      </c>
      <c r="AG472">
        <v>2</v>
      </c>
      <c r="AH472">
        <v>1</v>
      </c>
      <c r="AI472">
        <v>1</v>
      </c>
      <c r="AJ472">
        <v>1</v>
      </c>
      <c r="AK472">
        <v>21</v>
      </c>
      <c r="AL472">
        <v>12</v>
      </c>
      <c r="AM472">
        <v>5</v>
      </c>
      <c r="AN472">
        <v>2</v>
      </c>
      <c r="AO472">
        <v>16</v>
      </c>
      <c r="AP472">
        <v>10</v>
      </c>
      <c r="AQ472">
        <v>9</v>
      </c>
      <c r="AR472">
        <v>7</v>
      </c>
      <c r="AS472">
        <v>65</v>
      </c>
      <c r="AT472">
        <v>35</v>
      </c>
      <c r="AU472">
        <v>2.0299999999999998</v>
      </c>
      <c r="AV472">
        <v>1.17</v>
      </c>
      <c r="AW472">
        <v>2.86</v>
      </c>
      <c r="AX472">
        <v>72</v>
      </c>
      <c r="AY472">
        <v>93</v>
      </c>
      <c r="AZ472">
        <v>57</v>
      </c>
      <c r="BA472">
        <v>22</v>
      </c>
      <c r="BB472">
        <v>15</v>
      </c>
      <c r="BC472">
        <v>29</v>
      </c>
      <c r="BD472">
        <v>57</v>
      </c>
      <c r="BE472">
        <v>57</v>
      </c>
      <c r="BF472">
        <v>100</v>
      </c>
      <c r="BG472">
        <v>9.7200000000000006</v>
      </c>
      <c r="BH472">
        <v>4.57</v>
      </c>
      <c r="BI472">
        <v>1.5</v>
      </c>
      <c r="BJ472">
        <v>3.75</v>
      </c>
      <c r="BK472">
        <v>5.5</v>
      </c>
      <c r="BL472">
        <f>(1/Table1[[#This Row],[odds_ft_home_team_win]]+1/Table1[[#This Row],[odds_ft_draw]]+1/Table1[[#This Row],[odds_ft_away_team_win]]-1)/3</f>
        <v>3.8383838383838409E-2</v>
      </c>
      <c r="BM472">
        <v>1.28</v>
      </c>
      <c r="BN472">
        <v>1.8</v>
      </c>
      <c r="BO472">
        <v>3.4</v>
      </c>
      <c r="BP472">
        <v>5.0999999999999996</v>
      </c>
      <c r="BQ472">
        <v>1.91</v>
      </c>
      <c r="BR472">
        <v>1.8</v>
      </c>
      <c r="BS472" t="s">
        <v>161</v>
      </c>
      <c r="BT472">
        <f>VLOOKUP(Table1[[#This Row],[Reference]],metron,8,FALSE)</f>
        <v>2.1234388909289978</v>
      </c>
      <c r="BU472">
        <f>VLOOKUP(Table1[[#This Row],[Reference]],metron,9,FALSE)</f>
        <v>0.63925141338926716</v>
      </c>
      <c r="BV472">
        <f>VLOOKUP(Table1[[#This Row],[Reference]],metron,10,FALSE)</f>
        <v>2.7366666666666664</v>
      </c>
      <c r="BW472">
        <f>VLOOKUP(Table1[[#This Row],[Reference]],metron,11,FALSE)</f>
        <v>1.8681481481481479</v>
      </c>
      <c r="BX472">
        <f>VLOOKUP(Table1[[#This Row],[Reference]],metron,12,FALSE)</f>
        <v>0.86851851851851847</v>
      </c>
      <c r="BY472" s="6">
        <f>VLOOKUP(Table1[[#This Row],[Reference]],metron,13,FALSE)</f>
        <v>0.81333333333333335</v>
      </c>
      <c r="BZ472" s="6">
        <f>VLOOKUP(Table1[[#This Row],[Reference]],metron,14,FALSE)</f>
        <v>0.38925925925925919</v>
      </c>
      <c r="CA472" s="6">
        <f>VLOOKUP(Table1[[#This Row],[Reference]],metron,15,FALSE)</f>
        <v>14.53422724064926</v>
      </c>
      <c r="CB472" s="6">
        <f>VLOOKUP(Table1[[#This Row],[Reference]],metron,16,FALSE)</f>
        <v>8.7882851093860275</v>
      </c>
      <c r="CC472" s="6">
        <f>VLOOKUP(Table1[[#This Row],[Reference]],metron,17,FALSE)</f>
        <v>6.3007953723788868</v>
      </c>
      <c r="CD472" s="6">
        <f>VLOOKUP(Table1[[#This Row],[Reference]],metron,18,FALSE)</f>
        <v>3.681851048445409</v>
      </c>
      <c r="CE472" s="6">
        <f>VLOOKUP(Table1[[#This Row],[Reference]],metron,19,FALSE)</f>
        <v>8.2334318682703724</v>
      </c>
      <c r="CF472" s="6">
        <f>VLOOKUP(Table1[[#This Row],[Reference]],metron,20,FALSE)</f>
        <v>5.106434060940618</v>
      </c>
      <c r="CG472" s="6">
        <f>VLOOKUP(Table1[[#This Row],[Reference]],metron,21,FALSE)</f>
        <v>12.32150615496017</v>
      </c>
      <c r="CH472" s="6">
        <f>VLOOKUP(Table1[[#This Row],[Reference]],metron,22,FALSE)</f>
        <v>13.337436640115859</v>
      </c>
      <c r="CI472" s="6">
        <f>VLOOKUP(Table1[[#This Row],[Reference]],metron,23,FALSE)</f>
        <v>1.346101231190151</v>
      </c>
      <c r="CJ472" s="6">
        <f>VLOOKUP(Table1[[#This Row],[Reference]],metron,24,FALSE)</f>
        <v>1.995212038303694</v>
      </c>
      <c r="CK472" s="6">
        <f>VLOOKUP(Table1[[#This Row],[Reference]],metron,25,FALSE)</f>
        <v>6.1559507523939808E-2</v>
      </c>
      <c r="CL472" s="6">
        <f>VLOOKUP(Table1[[#This Row],[Reference]],metron,26,FALSE)</f>
        <v>0.13201094391244869</v>
      </c>
    </row>
    <row r="473" spans="1:90" hidden="1" x14ac:dyDescent="0.45">
      <c r="A473" t="s">
        <v>1346</v>
      </c>
      <c r="B473">
        <v>1603591200</v>
      </c>
      <c r="C473" s="23" t="s">
        <v>913</v>
      </c>
      <c r="D473" t="s">
        <v>65</v>
      </c>
      <c r="E473" t="s">
        <v>66</v>
      </c>
      <c r="F473" t="s">
        <v>113</v>
      </c>
      <c r="G473" t="s">
        <v>101</v>
      </c>
      <c r="H473" t="s">
        <v>80</v>
      </c>
      <c r="I473">
        <f>MROUND(Table1[[#This Row],[ProbH]]*100,2)/100</f>
        <v>0.34</v>
      </c>
      <c r="J473">
        <f>1/Table1[[#This Row],[odds_ft_home_team_win]]-Table1[[#This Row],[Margin]]</f>
        <v>0.34596906579590875</v>
      </c>
      <c r="K473">
        <f>1/Table1[[#This Row],[odds_ft_draw]]-Table1[[#This Row],[Margin]]</f>
        <v>0.25865551660407882</v>
      </c>
      <c r="L473">
        <f>1/Table1[[#This Row],[odds_ft_away_team_win]]-Table1[[#This Row],[Margin]]</f>
        <v>0.39537541760001255</v>
      </c>
      <c r="M473">
        <v>15</v>
      </c>
      <c r="N473">
        <v>1.57</v>
      </c>
      <c r="O473">
        <v>1.57</v>
      </c>
      <c r="P473">
        <v>1.53</v>
      </c>
      <c r="Q473">
        <v>1.39</v>
      </c>
      <c r="R473" t="str" cm="1">
        <f t="array" ref="R4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3">
        <v>1</v>
      </c>
      <c r="T473">
        <v>2</v>
      </c>
      <c r="U473">
        <v>3</v>
      </c>
      <c r="V473">
        <v>2</v>
      </c>
      <c r="W473">
        <v>0</v>
      </c>
      <c r="X473">
        <v>2</v>
      </c>
      <c r="Y473">
        <v>57</v>
      </c>
      <c r="Z473" t="s">
        <v>914</v>
      </c>
      <c r="AA473">
        <v>2</v>
      </c>
      <c r="AB473">
        <v>3</v>
      </c>
      <c r="AC473">
        <v>2</v>
      </c>
      <c r="AD473">
        <v>0</v>
      </c>
      <c r="AE473">
        <v>3</v>
      </c>
      <c r="AF473">
        <v>0</v>
      </c>
      <c r="AG473">
        <v>1</v>
      </c>
      <c r="AH473">
        <v>1</v>
      </c>
      <c r="AI473">
        <v>2</v>
      </c>
      <c r="AJ473">
        <v>1</v>
      </c>
      <c r="AK473">
        <v>11</v>
      </c>
      <c r="AL473">
        <v>9</v>
      </c>
      <c r="AM473">
        <v>5</v>
      </c>
      <c r="AN473">
        <v>4</v>
      </c>
      <c r="AO473">
        <v>6</v>
      </c>
      <c r="AP473">
        <v>5</v>
      </c>
      <c r="AQ473">
        <v>13</v>
      </c>
      <c r="AR473">
        <v>13</v>
      </c>
      <c r="AS473">
        <v>48</v>
      </c>
      <c r="AT473">
        <v>52</v>
      </c>
      <c r="AU473">
        <v>1.35</v>
      </c>
      <c r="AV473">
        <v>1.02</v>
      </c>
      <c r="AW473">
        <v>2.79</v>
      </c>
      <c r="AX473">
        <v>79</v>
      </c>
      <c r="AY473">
        <v>79</v>
      </c>
      <c r="AZ473">
        <v>57</v>
      </c>
      <c r="BA473">
        <v>29</v>
      </c>
      <c r="BB473">
        <v>22</v>
      </c>
      <c r="BC473">
        <v>50</v>
      </c>
      <c r="BD473">
        <v>71</v>
      </c>
      <c r="BE473">
        <v>36</v>
      </c>
      <c r="BF473">
        <v>72</v>
      </c>
      <c r="BG473">
        <v>8.2799999999999994</v>
      </c>
      <c r="BH473">
        <v>4.8600000000000003</v>
      </c>
      <c r="BI473">
        <v>2.71</v>
      </c>
      <c r="BJ473">
        <v>3.55</v>
      </c>
      <c r="BK473">
        <v>2.39</v>
      </c>
      <c r="BL473">
        <f>(1/Table1[[#This Row],[odds_ft_home_team_win]]+1/Table1[[#This Row],[odds_ft_draw]]+1/Table1[[#This Row],[odds_ft_away_team_win]]-1)/3</f>
        <v>2.3034624240991636E-2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 t="s">
        <v>120</v>
      </c>
      <c r="BT473">
        <f>VLOOKUP(Table1[[#This Row],[Reference]],metron,8,FALSE)</f>
        <v>1.3382439854569812</v>
      </c>
      <c r="BU473">
        <f>VLOOKUP(Table1[[#This Row],[Reference]],metron,9,FALSE)</f>
        <v>1.3740319615582339</v>
      </c>
      <c r="BV473">
        <f>VLOOKUP(Table1[[#This Row],[Reference]],metron,10,FALSE)</f>
        <v>2.5229727551184897</v>
      </c>
      <c r="BW473">
        <f>VLOOKUP(Table1[[#This Row],[Reference]],metron,11,FALSE)</f>
        <v>1.228921489601805</v>
      </c>
      <c r="BX473">
        <f>VLOOKUP(Table1[[#This Row],[Reference]],metron,12,FALSE)</f>
        <v>1.2940512655166849</v>
      </c>
      <c r="BY473" s="6">
        <f>VLOOKUP(Table1[[#This Row],[Reference]],metron,13,FALSE)</f>
        <v>0.53240890035472432</v>
      </c>
      <c r="BZ473" s="6">
        <f>VLOOKUP(Table1[[#This Row],[Reference]],metron,14,FALSE)</f>
        <v>0.56514027732989358</v>
      </c>
      <c r="CA473" s="6">
        <f>VLOOKUP(Table1[[#This Row],[Reference]],metron,15,FALSE)</f>
        <v>11.417888124439131</v>
      </c>
      <c r="CB473" s="6">
        <f>VLOOKUP(Table1[[#This Row],[Reference]],metron,16,FALSE)</f>
        <v>10.76308704756207</v>
      </c>
      <c r="CC473" s="6">
        <f>VLOOKUP(Table1[[#This Row],[Reference]],metron,17,FALSE)</f>
        <v>4.8317672021824798</v>
      </c>
      <c r="CD473" s="6">
        <f>VLOOKUP(Table1[[#This Row],[Reference]],metron,18,FALSE)</f>
        <v>4.6698999696877843</v>
      </c>
      <c r="CE473" s="6">
        <f>VLOOKUP(Table1[[#This Row],[Reference]],metron,19,FALSE)</f>
        <v>6.5861209222566508</v>
      </c>
      <c r="CF473" s="6">
        <f>VLOOKUP(Table1[[#This Row],[Reference]],metron,20,FALSE)</f>
        <v>6.093187077874286</v>
      </c>
      <c r="CG473" s="6">
        <f>VLOOKUP(Table1[[#This Row],[Reference]],metron,21,FALSE)</f>
        <v>12.685679611650491</v>
      </c>
      <c r="CH473" s="6">
        <f>VLOOKUP(Table1[[#This Row],[Reference]],metron,22,FALSE)</f>
        <v>13.02639563106796</v>
      </c>
      <c r="CI473" s="6">
        <f>VLOOKUP(Table1[[#This Row],[Reference]],metron,23,FALSE)</f>
        <v>1.6481211768132831</v>
      </c>
      <c r="CJ473" s="6">
        <f>VLOOKUP(Table1[[#This Row],[Reference]],metron,24,FALSE)</f>
        <v>1.8572676958928049</v>
      </c>
      <c r="CK473" s="6">
        <f>VLOOKUP(Table1[[#This Row],[Reference]],metron,25,FALSE)</f>
        <v>9.641712787649287E-2</v>
      </c>
      <c r="CL473" s="6">
        <f>VLOOKUP(Table1[[#This Row],[Reference]],metron,26,FALSE)</f>
        <v>0.11302068161957469</v>
      </c>
    </row>
    <row r="474" spans="1:90" hidden="1" x14ac:dyDescent="0.45">
      <c r="A474" t="s">
        <v>1346</v>
      </c>
      <c r="B474">
        <v>1603591200</v>
      </c>
      <c r="C474" s="23" t="s">
        <v>913</v>
      </c>
      <c r="D474" t="s">
        <v>65</v>
      </c>
      <c r="E474" t="s">
        <v>66</v>
      </c>
      <c r="F474" t="s">
        <v>68</v>
      </c>
      <c r="G474" t="s">
        <v>97</v>
      </c>
      <c r="H474" t="s">
        <v>114</v>
      </c>
      <c r="I474">
        <f>MROUND(Table1[[#This Row],[ProbH]]*100,2)/100</f>
        <v>0.54</v>
      </c>
      <c r="J474">
        <f>1/Table1[[#This Row],[odds_ft_home_team_win]]-Table1[[#This Row],[Margin]]</f>
        <v>0.54808590102707755</v>
      </c>
      <c r="K474">
        <f>1/Table1[[#This Row],[odds_ft_draw]]-Table1[[#This Row],[Margin]]</f>
        <v>0.25396825396825395</v>
      </c>
      <c r="L474">
        <f>1/Table1[[#This Row],[odds_ft_away_team_win]]-Table1[[#This Row],[Margin]]</f>
        <v>0.19794584500466852</v>
      </c>
      <c r="M474">
        <v>15</v>
      </c>
      <c r="N474">
        <v>2</v>
      </c>
      <c r="O474">
        <v>0.86</v>
      </c>
      <c r="P474">
        <v>2.37</v>
      </c>
      <c r="Q474">
        <v>1.06</v>
      </c>
      <c r="R474" t="str" cm="1">
        <f t="array" ref="R4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88</v>
      </c>
      <c r="AA474">
        <v>8</v>
      </c>
      <c r="AB474">
        <v>0</v>
      </c>
      <c r="AC474">
        <v>2</v>
      </c>
      <c r="AD474">
        <v>0</v>
      </c>
      <c r="AE474">
        <v>4</v>
      </c>
      <c r="AF474">
        <v>0</v>
      </c>
      <c r="AG474">
        <v>0</v>
      </c>
      <c r="AH474">
        <v>2</v>
      </c>
      <c r="AI474">
        <v>1</v>
      </c>
      <c r="AJ474">
        <v>3</v>
      </c>
      <c r="AK474">
        <v>23</v>
      </c>
      <c r="AL474">
        <v>11</v>
      </c>
      <c r="AM474">
        <v>10</v>
      </c>
      <c r="AN474">
        <v>6</v>
      </c>
      <c r="AO474">
        <v>13</v>
      </c>
      <c r="AP474">
        <v>5</v>
      </c>
      <c r="AQ474">
        <v>17</v>
      </c>
      <c r="AR474">
        <v>12</v>
      </c>
      <c r="AS474">
        <v>66</v>
      </c>
      <c r="AT474">
        <v>34</v>
      </c>
      <c r="AU474">
        <v>2.56</v>
      </c>
      <c r="AV474">
        <v>1.24</v>
      </c>
      <c r="AW474">
        <v>2.86</v>
      </c>
      <c r="AX474">
        <v>71</v>
      </c>
      <c r="AY474">
        <v>79</v>
      </c>
      <c r="AZ474">
        <v>57</v>
      </c>
      <c r="BA474">
        <v>50</v>
      </c>
      <c r="BB474">
        <v>7</v>
      </c>
      <c r="BC474">
        <v>57</v>
      </c>
      <c r="BD474">
        <v>79</v>
      </c>
      <c r="BE474">
        <v>50</v>
      </c>
      <c r="BF474">
        <v>57</v>
      </c>
      <c r="BG474">
        <v>8.7100000000000009</v>
      </c>
      <c r="BH474">
        <v>4.71</v>
      </c>
      <c r="BI474">
        <v>1.7</v>
      </c>
      <c r="BJ474">
        <v>3.4</v>
      </c>
      <c r="BK474">
        <v>4.2</v>
      </c>
      <c r="BL474">
        <f>(1/Table1[[#This Row],[odds_ft_home_team_win]]+1/Table1[[#This Row],[odds_ft_draw]]+1/Table1[[#This Row],[odds_ft_away_team_win]]-1)/3</f>
        <v>4.0149393090569564E-2</v>
      </c>
      <c r="BM474">
        <v>1.3</v>
      </c>
      <c r="BN474">
        <v>1.91</v>
      </c>
      <c r="BO474">
        <v>3.05</v>
      </c>
      <c r="BP474">
        <v>5.7</v>
      </c>
      <c r="BQ474">
        <v>1.69</v>
      </c>
      <c r="BR474">
        <v>2.0499999999999998</v>
      </c>
      <c r="BS474" t="s">
        <v>116</v>
      </c>
      <c r="BT474">
        <f>VLOOKUP(Table1[[#This Row],[Reference]],metron,8,FALSE)</f>
        <v>1.915666026436746</v>
      </c>
      <c r="BU474">
        <f>VLOOKUP(Table1[[#This Row],[Reference]],metron,9,FALSE)</f>
        <v>0.82283834599204153</v>
      </c>
      <c r="BV474">
        <f>VLOOKUP(Table1[[#This Row],[Reference]],metron,10,FALSE)</f>
        <v>2.6359702267612941</v>
      </c>
      <c r="BW474">
        <f>VLOOKUP(Table1[[#This Row],[Reference]],metron,11,FALSE)</f>
        <v>1.684957590444867</v>
      </c>
      <c r="BX474">
        <f>VLOOKUP(Table1[[#This Row],[Reference]],metron,12,FALSE)</f>
        <v>0.95101263631642718</v>
      </c>
      <c r="BY474" s="6">
        <f>VLOOKUP(Table1[[#This Row],[Reference]],metron,13,FALSE)</f>
        <v>0.72650164445213783</v>
      </c>
      <c r="BZ474" s="6">
        <f>VLOOKUP(Table1[[#This Row],[Reference]],metron,14,FALSE)</f>
        <v>0.42097974727367138</v>
      </c>
      <c r="CA474" s="6">
        <f>VLOOKUP(Table1[[#This Row],[Reference]],metron,15,FALSE)</f>
        <v>13.338806970509379</v>
      </c>
      <c r="CB474" s="6">
        <f>VLOOKUP(Table1[[#This Row],[Reference]],metron,16,FALSE)</f>
        <v>9.2530160857908843</v>
      </c>
      <c r="CC474" s="6">
        <f>VLOOKUP(Table1[[#This Row],[Reference]],metron,17,FALSE)</f>
        <v>5.9915081521739131</v>
      </c>
      <c r="CD474" s="6">
        <f>VLOOKUP(Table1[[#This Row],[Reference]],metron,18,FALSE)</f>
        <v>3.9772418478260869</v>
      </c>
      <c r="CE474" s="6">
        <f>VLOOKUP(Table1[[#This Row],[Reference]],metron,19,FALSE)</f>
        <v>7.3472988183354664</v>
      </c>
      <c r="CF474" s="6">
        <f>VLOOKUP(Table1[[#This Row],[Reference]],metron,20,FALSE)</f>
        <v>5.2757742379647974</v>
      </c>
      <c r="CG474" s="6">
        <f>VLOOKUP(Table1[[#This Row],[Reference]],metron,21,FALSE)</f>
        <v>12.59428182437032</v>
      </c>
      <c r="CH474" s="6">
        <f>VLOOKUP(Table1[[#This Row],[Reference]],metron,22,FALSE)</f>
        <v>13.577944179714089</v>
      </c>
      <c r="CI474" s="6">
        <f>VLOOKUP(Table1[[#This Row],[Reference]],metron,23,FALSE)</f>
        <v>1.4276913099870301</v>
      </c>
      <c r="CJ474" s="6">
        <f>VLOOKUP(Table1[[#This Row],[Reference]],metron,24,FALSE)</f>
        <v>1.940985732814527</v>
      </c>
      <c r="CK474" s="6">
        <f>VLOOKUP(Table1[[#This Row],[Reference]],metron,25,FALSE)</f>
        <v>8.0739299610894946E-2</v>
      </c>
      <c r="CL474" s="6">
        <f>VLOOKUP(Table1[[#This Row],[Reference]],metron,26,FALSE)</f>
        <v>0.12743190661478601</v>
      </c>
    </row>
    <row r="475" spans="1:90" hidden="1" x14ac:dyDescent="0.45">
      <c r="A475" t="s">
        <v>1346</v>
      </c>
      <c r="B475">
        <v>1603648800</v>
      </c>
      <c r="C475" s="23" t="s">
        <v>915</v>
      </c>
      <c r="D475" t="s">
        <v>65</v>
      </c>
      <c r="E475" t="s">
        <v>66</v>
      </c>
      <c r="F475" t="s">
        <v>79</v>
      </c>
      <c r="G475" t="s">
        <v>106</v>
      </c>
      <c r="H475" t="s">
        <v>122</v>
      </c>
      <c r="I475">
        <f>MROUND(Table1[[#This Row],[ProbH]]*100,2)/100</f>
        <v>0.46</v>
      </c>
      <c r="J475">
        <f>1/Table1[[#This Row],[odds_ft_home_team_win]]-Table1[[#This Row],[Margin]]</f>
        <v>0.45019033254327373</v>
      </c>
      <c r="K475">
        <f>1/Table1[[#This Row],[odds_ft_draw]]-Table1[[#This Row],[Margin]]</f>
        <v>0.26811750341162111</v>
      </c>
      <c r="L475">
        <f>1/Table1[[#This Row],[odds_ft_away_team_win]]-Table1[[#This Row],[Margin]]</f>
        <v>0.28169216404510528</v>
      </c>
      <c r="M475">
        <v>15</v>
      </c>
      <c r="N475">
        <v>2</v>
      </c>
      <c r="O475">
        <v>0</v>
      </c>
      <c r="P475">
        <v>2</v>
      </c>
      <c r="Q475">
        <v>0.47</v>
      </c>
      <c r="R475" t="str" cm="1">
        <f t="array" ref="R4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75">
        <v>2</v>
      </c>
      <c r="T475">
        <v>0</v>
      </c>
      <c r="U475">
        <v>2</v>
      </c>
      <c r="V475">
        <v>2</v>
      </c>
      <c r="W475">
        <v>2</v>
      </c>
      <c r="X475">
        <v>0</v>
      </c>
      <c r="Y475" t="s">
        <v>916</v>
      </c>
      <c r="AA475">
        <v>7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13</v>
      </c>
      <c r="AL475">
        <v>20</v>
      </c>
      <c r="AM475">
        <v>3</v>
      </c>
      <c r="AN475">
        <v>4</v>
      </c>
      <c r="AO475">
        <v>10</v>
      </c>
      <c r="AP475">
        <v>16</v>
      </c>
      <c r="AQ475">
        <v>9</v>
      </c>
      <c r="AR475">
        <v>14</v>
      </c>
      <c r="AS475">
        <v>43</v>
      </c>
      <c r="AT475">
        <v>57</v>
      </c>
      <c r="AU475">
        <v>1.37</v>
      </c>
      <c r="AV475">
        <v>2.0099999999999998</v>
      </c>
      <c r="AW475">
        <v>2.67</v>
      </c>
      <c r="AX475">
        <v>34</v>
      </c>
      <c r="AY475">
        <v>75</v>
      </c>
      <c r="AZ475">
        <v>50</v>
      </c>
      <c r="BA475">
        <v>25</v>
      </c>
      <c r="BB475">
        <v>17</v>
      </c>
      <c r="BC475">
        <v>25</v>
      </c>
      <c r="BD475">
        <v>84</v>
      </c>
      <c r="BE475">
        <v>50</v>
      </c>
      <c r="BF475">
        <v>84</v>
      </c>
      <c r="BG475">
        <v>7.33</v>
      </c>
      <c r="BH475">
        <v>5.66</v>
      </c>
      <c r="BI475">
        <v>2.1</v>
      </c>
      <c r="BJ475">
        <v>3.4</v>
      </c>
      <c r="BK475">
        <v>3.25</v>
      </c>
      <c r="BL475">
        <f>(1/Table1[[#This Row],[odds_ft_home_team_win]]+1/Table1[[#This Row],[odds_ft_draw]]+1/Table1[[#This Row],[odds_ft_away_team_win]]-1)/3</f>
        <v>2.6000143647202451E-2</v>
      </c>
      <c r="BM475">
        <v>1.26</v>
      </c>
      <c r="BN475">
        <v>1.83</v>
      </c>
      <c r="BO475">
        <v>3.1</v>
      </c>
      <c r="BP475">
        <v>5.8</v>
      </c>
      <c r="BQ475">
        <v>1.69</v>
      </c>
      <c r="BR475">
        <v>2.0499999999999998</v>
      </c>
      <c r="BS475" t="s">
        <v>140</v>
      </c>
      <c r="BT475">
        <f>VLOOKUP(Table1[[#This Row],[Reference]],metron,8,FALSE)</f>
        <v>1.6955772349985931</v>
      </c>
      <c r="BU475">
        <f>VLOOKUP(Table1[[#This Row],[Reference]],metron,9,FALSE)</f>
        <v>1.0239029519551039</v>
      </c>
      <c r="BV475">
        <f>VLOOKUP(Table1[[#This Row],[Reference]],metron,10,FALSE)</f>
        <v>2.5405629139072849</v>
      </c>
      <c r="BW475">
        <f>VLOOKUP(Table1[[#This Row],[Reference]],metron,11,FALSE)</f>
        <v>1.4888836329233679</v>
      </c>
      <c r="BX475">
        <f>VLOOKUP(Table1[[#This Row],[Reference]],metron,12,FALSE)</f>
        <v>1.0516792809839171</v>
      </c>
      <c r="BY475" s="6">
        <f>VLOOKUP(Table1[[#This Row],[Reference]],metron,13,FALSE)</f>
        <v>0.64581362346263005</v>
      </c>
      <c r="BZ475" s="6">
        <f>VLOOKUP(Table1[[#This Row],[Reference]],metron,14,FALSE)</f>
        <v>0.45364238410596031</v>
      </c>
      <c r="CA475" s="6">
        <f>VLOOKUP(Table1[[#This Row],[Reference]],metron,15,FALSE)</f>
        <v>12.686892177589851</v>
      </c>
      <c r="CB475" s="6">
        <f>VLOOKUP(Table1[[#This Row],[Reference]],metron,16,FALSE)</f>
        <v>9.8059196617336148</v>
      </c>
      <c r="CC475" s="6">
        <f>VLOOKUP(Table1[[#This Row],[Reference]],metron,17,FALSE)</f>
        <v>5.3198121263877027</v>
      </c>
      <c r="CD475" s="6">
        <f>VLOOKUP(Table1[[#This Row],[Reference]],metron,18,FALSE)</f>
        <v>4.0954312553373189</v>
      </c>
      <c r="CE475" s="6">
        <f>VLOOKUP(Table1[[#This Row],[Reference]],metron,19,FALSE)</f>
        <v>7.3670800512021479</v>
      </c>
      <c r="CF475" s="6">
        <f>VLOOKUP(Table1[[#This Row],[Reference]],metron,20,FALSE)</f>
        <v>5.710488406396296</v>
      </c>
      <c r="CG475" s="6">
        <f>VLOOKUP(Table1[[#This Row],[Reference]],metron,21,FALSE)</f>
        <v>13.0488908033599</v>
      </c>
      <c r="CH475" s="6">
        <f>VLOOKUP(Table1[[#This Row],[Reference]],metron,22,FALSE)</f>
        <v>13.714839543398661</v>
      </c>
      <c r="CI475" s="6">
        <f>VLOOKUP(Table1[[#This Row],[Reference]],metron,23,FALSE)</f>
        <v>1.567523459812322</v>
      </c>
      <c r="CJ475" s="6">
        <f>VLOOKUP(Table1[[#This Row],[Reference]],metron,24,FALSE)</f>
        <v>1.951040391676867</v>
      </c>
      <c r="CK475" s="6">
        <f>VLOOKUP(Table1[[#This Row],[Reference]],metron,25,FALSE)</f>
        <v>8.3027335781313744E-2</v>
      </c>
      <c r="CL475" s="6">
        <f>VLOOKUP(Table1[[#This Row],[Reference]],metron,26,FALSE)</f>
        <v>0.13117095063239501</v>
      </c>
    </row>
    <row r="476" spans="1:90" hidden="1" x14ac:dyDescent="0.45">
      <c r="A476" t="s">
        <v>1346</v>
      </c>
      <c r="B476">
        <v>1603668600</v>
      </c>
      <c r="C476" s="23" t="s">
        <v>917</v>
      </c>
      <c r="D476" t="s">
        <v>65</v>
      </c>
      <c r="E476" t="s">
        <v>66</v>
      </c>
      <c r="F476" t="s">
        <v>90</v>
      </c>
      <c r="G476" t="s">
        <v>112</v>
      </c>
      <c r="H476" t="s">
        <v>215</v>
      </c>
      <c r="I476">
        <f>MROUND(Table1[[#This Row],[ProbH]]*100,2)/100</f>
        <v>0.3</v>
      </c>
      <c r="J476">
        <f>1/Table1[[#This Row],[odds_ft_home_team_win]]-Table1[[#This Row],[Margin]]</f>
        <v>0.2919600588773521</v>
      </c>
      <c r="K476">
        <f>1/Table1[[#This Row],[odds_ft_draw]]-Table1[[#This Row],[Margin]]</f>
        <v>0.32537693439949078</v>
      </c>
      <c r="L476">
        <f>1/Table1[[#This Row],[odds_ft_away_team_win]]-Table1[[#This Row],[Margin]]</f>
        <v>0.38266300672315706</v>
      </c>
      <c r="M476">
        <v>15</v>
      </c>
      <c r="N476">
        <v>1.71</v>
      </c>
      <c r="O476">
        <v>1.43</v>
      </c>
      <c r="P476">
        <v>1.6</v>
      </c>
      <c r="Q476">
        <v>1.77</v>
      </c>
      <c r="R476" t="str" cm="1">
        <f t="array" ref="R4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6">
        <v>0</v>
      </c>
      <c r="T476">
        <v>2</v>
      </c>
      <c r="U476">
        <v>2</v>
      </c>
      <c r="V476">
        <v>1</v>
      </c>
      <c r="W476">
        <v>0</v>
      </c>
      <c r="X476">
        <v>1</v>
      </c>
      <c r="Z476" t="s">
        <v>918</v>
      </c>
      <c r="AA476">
        <v>2</v>
      </c>
      <c r="AB476">
        <v>7</v>
      </c>
      <c r="AC476">
        <v>2</v>
      </c>
      <c r="AD476">
        <v>0</v>
      </c>
      <c r="AE476">
        <v>2</v>
      </c>
      <c r="AF476">
        <v>0</v>
      </c>
      <c r="AG476">
        <v>0</v>
      </c>
      <c r="AH476">
        <v>2</v>
      </c>
      <c r="AI476">
        <v>2</v>
      </c>
      <c r="AJ476">
        <v>0</v>
      </c>
      <c r="AK476">
        <v>8</v>
      </c>
      <c r="AL476">
        <v>14</v>
      </c>
      <c r="AM476">
        <v>0</v>
      </c>
      <c r="AN476">
        <v>3</v>
      </c>
      <c r="AO476">
        <v>8</v>
      </c>
      <c r="AP476">
        <v>11</v>
      </c>
      <c r="AQ476">
        <v>12</v>
      </c>
      <c r="AR476">
        <v>10</v>
      </c>
      <c r="AS476">
        <v>61</v>
      </c>
      <c r="AT476">
        <v>39</v>
      </c>
      <c r="AU476">
        <v>0.87</v>
      </c>
      <c r="AV476">
        <v>1.35</v>
      </c>
      <c r="AW476">
        <v>2.29</v>
      </c>
      <c r="AX476">
        <v>57</v>
      </c>
      <c r="AY476">
        <v>64</v>
      </c>
      <c r="AZ476">
        <v>43</v>
      </c>
      <c r="BA476">
        <v>22</v>
      </c>
      <c r="BB476">
        <v>14</v>
      </c>
      <c r="BC476">
        <v>29</v>
      </c>
      <c r="BD476">
        <v>57</v>
      </c>
      <c r="BE476">
        <v>36</v>
      </c>
      <c r="BF476">
        <v>72</v>
      </c>
      <c r="BG476">
        <v>10.29</v>
      </c>
      <c r="BH476">
        <v>3.42</v>
      </c>
      <c r="BI476">
        <v>3.15</v>
      </c>
      <c r="BJ476">
        <v>2.85</v>
      </c>
      <c r="BK476">
        <v>2.4500000000000002</v>
      </c>
      <c r="BL476">
        <f>(1/Table1[[#This Row],[odds_ft_home_team_win]]+1/Table1[[#This Row],[odds_ft_draw]]+1/Table1[[#This Row],[odds_ft_away_team_win]]-1)/3</f>
        <v>2.5500258582965341E-2</v>
      </c>
      <c r="BM476">
        <v>1.35</v>
      </c>
      <c r="BN476">
        <v>2.1</v>
      </c>
      <c r="BO476">
        <v>3.8</v>
      </c>
      <c r="BP476">
        <v>7.25</v>
      </c>
      <c r="BQ476">
        <v>1.8</v>
      </c>
      <c r="BR476">
        <v>1.95</v>
      </c>
      <c r="BS476" t="s">
        <v>94</v>
      </c>
      <c r="BT476">
        <f>VLOOKUP(Table1[[#This Row],[Reference]],metron,8,FALSE)</f>
        <v>1.2142445227270171</v>
      </c>
      <c r="BU476">
        <f>VLOOKUP(Table1[[#This Row],[Reference]],metron,9,FALSE)</f>
        <v>1.4993969533036628</v>
      </c>
      <c r="BV476">
        <f>VLOOKUP(Table1[[#This Row],[Reference]],metron,10,FALSE)</f>
        <v>2.5726407816919519</v>
      </c>
      <c r="BW476">
        <f>VLOOKUP(Table1[[#This Row],[Reference]],metron,11,FALSE)</f>
        <v>1.1805091283106199</v>
      </c>
      <c r="BX476">
        <f>VLOOKUP(Table1[[#This Row],[Reference]],metron,12,FALSE)</f>
        <v>1.3921316533813319</v>
      </c>
      <c r="BY476" s="6">
        <f>VLOOKUP(Table1[[#This Row],[Reference]],metron,13,FALSE)</f>
        <v>0.5209673269873939</v>
      </c>
      <c r="BZ476" s="6">
        <f>VLOOKUP(Table1[[#This Row],[Reference]],metron,14,FALSE)</f>
        <v>0.61847182917417032</v>
      </c>
      <c r="CA476" s="6">
        <f>VLOOKUP(Table1[[#This Row],[Reference]],metron,15,FALSE)</f>
        <v>11.149200710479571</v>
      </c>
      <c r="CB476" s="6">
        <f>VLOOKUP(Table1[[#This Row],[Reference]],metron,16,FALSE)</f>
        <v>11.444049733570161</v>
      </c>
      <c r="CC476" s="6">
        <f>VLOOKUP(Table1[[#This Row],[Reference]],metron,17,FALSE)</f>
        <v>4.5257270693512304</v>
      </c>
      <c r="CD476" s="6">
        <f>VLOOKUP(Table1[[#This Row],[Reference]],metron,18,FALSE)</f>
        <v>4.8465324384787474</v>
      </c>
      <c r="CE476" s="6">
        <f>VLOOKUP(Table1[[#This Row],[Reference]],metron,19,FALSE)</f>
        <v>6.6234736411283404</v>
      </c>
      <c r="CF476" s="6">
        <f>VLOOKUP(Table1[[#This Row],[Reference]],metron,20,FALSE)</f>
        <v>6.5975172950914134</v>
      </c>
      <c r="CG476" s="6">
        <f>VLOOKUP(Table1[[#This Row],[Reference]],metron,21,FALSE)</f>
        <v>12.90081154192967</v>
      </c>
      <c r="CH476" s="6">
        <f>VLOOKUP(Table1[[#This Row],[Reference]],metron,22,FALSE)</f>
        <v>13.00360685302074</v>
      </c>
      <c r="CI476" s="6">
        <f>VLOOKUP(Table1[[#This Row],[Reference]],metron,23,FALSE)</f>
        <v>1.7502145922746779</v>
      </c>
      <c r="CJ476" s="6">
        <f>VLOOKUP(Table1[[#This Row],[Reference]],metron,24,FALSE)</f>
        <v>1.831402831402831</v>
      </c>
      <c r="CK476" s="6">
        <f>VLOOKUP(Table1[[#This Row],[Reference]],metron,25,FALSE)</f>
        <v>9.6525096525096526E-2</v>
      </c>
      <c r="CL476" s="6">
        <f>VLOOKUP(Table1[[#This Row],[Reference]],metron,26,FALSE)</f>
        <v>0.1244101244101244</v>
      </c>
    </row>
    <row r="477" spans="1:90" hidden="1" x14ac:dyDescent="0.45">
      <c r="A477" t="s">
        <v>1346</v>
      </c>
      <c r="B477">
        <v>1603674360</v>
      </c>
      <c r="C477" s="23" t="s">
        <v>919</v>
      </c>
      <c r="D477" t="s">
        <v>65</v>
      </c>
      <c r="E477" t="s">
        <v>66</v>
      </c>
      <c r="F477" t="s">
        <v>73</v>
      </c>
      <c r="G477" t="s">
        <v>91</v>
      </c>
      <c r="H477" t="s">
        <v>92</v>
      </c>
      <c r="I477">
        <f>MROUND(Table1[[#This Row],[ProbH]]*100,2)/100</f>
        <v>0.62</v>
      </c>
      <c r="J477">
        <f>1/Table1[[#This Row],[odds_ft_home_team_win]]-Table1[[#This Row],[Margin]]</f>
        <v>0.62390338275294022</v>
      </c>
      <c r="K477">
        <f>1/Table1[[#This Row],[odds_ft_draw]]-Table1[[#This Row],[Margin]]</f>
        <v>0.2245527334022909</v>
      </c>
      <c r="L477">
        <f>1/Table1[[#This Row],[odds_ft_away_team_win]]-Table1[[#This Row],[Margin]]</f>
        <v>0.15154388384476877</v>
      </c>
      <c r="M477">
        <v>15</v>
      </c>
      <c r="N477">
        <v>1.83</v>
      </c>
      <c r="O477">
        <v>0.5</v>
      </c>
      <c r="P477">
        <v>2.09</v>
      </c>
      <c r="Q477">
        <v>0.35</v>
      </c>
      <c r="R477" t="str" cm="1">
        <f t="array" ref="R4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77">
        <v>2</v>
      </c>
      <c r="T477">
        <v>1</v>
      </c>
      <c r="U477">
        <v>3</v>
      </c>
      <c r="V477">
        <v>2</v>
      </c>
      <c r="W477">
        <v>1</v>
      </c>
      <c r="X477">
        <v>1</v>
      </c>
      <c r="Y477" t="s">
        <v>920</v>
      </c>
      <c r="Z477">
        <v>30</v>
      </c>
      <c r="AA477">
        <v>6</v>
      </c>
      <c r="AB477">
        <v>5</v>
      </c>
      <c r="AC477">
        <v>1</v>
      </c>
      <c r="AD477">
        <v>0</v>
      </c>
      <c r="AE477">
        <v>3</v>
      </c>
      <c r="AF477">
        <v>0</v>
      </c>
      <c r="AG477">
        <v>1</v>
      </c>
      <c r="AH477">
        <v>0</v>
      </c>
      <c r="AI477">
        <v>0</v>
      </c>
      <c r="AJ477">
        <v>3</v>
      </c>
      <c r="AK477">
        <v>19</v>
      </c>
      <c r="AL477">
        <v>8</v>
      </c>
      <c r="AM477">
        <v>5</v>
      </c>
      <c r="AN477">
        <v>2</v>
      </c>
      <c r="AO477">
        <v>14</v>
      </c>
      <c r="AP477">
        <v>6</v>
      </c>
      <c r="AQ477">
        <v>6</v>
      </c>
      <c r="AR477">
        <v>14</v>
      </c>
      <c r="AS477">
        <v>54</v>
      </c>
      <c r="AT477">
        <v>46</v>
      </c>
      <c r="AU477">
        <v>1.93</v>
      </c>
      <c r="AV477">
        <v>0.92</v>
      </c>
      <c r="AW477">
        <v>2.67</v>
      </c>
      <c r="AX477">
        <v>50</v>
      </c>
      <c r="AY477">
        <v>92</v>
      </c>
      <c r="AZ477">
        <v>58</v>
      </c>
      <c r="BA477">
        <v>17</v>
      </c>
      <c r="BB477">
        <v>9</v>
      </c>
      <c r="BC477">
        <v>42</v>
      </c>
      <c r="BD477">
        <v>75</v>
      </c>
      <c r="BE477">
        <v>50</v>
      </c>
      <c r="BF477">
        <v>75</v>
      </c>
      <c r="BG477">
        <v>11.66</v>
      </c>
      <c r="BH477">
        <v>4.84</v>
      </c>
      <c r="BI477">
        <v>1.54</v>
      </c>
      <c r="BJ477">
        <v>4</v>
      </c>
      <c r="BK477">
        <v>5.65</v>
      </c>
      <c r="BL477">
        <f>(1/Table1[[#This Row],[odds_ft_home_team_win]]+1/Table1[[#This Row],[odds_ft_draw]]+1/Table1[[#This Row],[odds_ft_away_team_win]]-1)/3</f>
        <v>2.544726659770909E-2</v>
      </c>
      <c r="BM477">
        <v>1.21</v>
      </c>
      <c r="BN477">
        <v>1.69</v>
      </c>
      <c r="BO477">
        <v>2.75</v>
      </c>
      <c r="BP477">
        <v>5</v>
      </c>
      <c r="BQ477">
        <v>1.71</v>
      </c>
      <c r="BR477">
        <v>2.0499999999999998</v>
      </c>
      <c r="BS477" t="s">
        <v>142</v>
      </c>
      <c r="BT477">
        <f>VLOOKUP(Table1[[#This Row],[Reference]],metron,8,FALSE)</f>
        <v>2.1234388909289978</v>
      </c>
      <c r="BU477">
        <f>VLOOKUP(Table1[[#This Row],[Reference]],metron,9,FALSE)</f>
        <v>0.63925141338926716</v>
      </c>
      <c r="BV477">
        <f>VLOOKUP(Table1[[#This Row],[Reference]],metron,10,FALSE)</f>
        <v>2.7366666666666664</v>
      </c>
      <c r="BW477">
        <f>VLOOKUP(Table1[[#This Row],[Reference]],metron,11,FALSE)</f>
        <v>1.8681481481481479</v>
      </c>
      <c r="BX477">
        <f>VLOOKUP(Table1[[#This Row],[Reference]],metron,12,FALSE)</f>
        <v>0.86851851851851847</v>
      </c>
      <c r="BY477" s="6">
        <f>VLOOKUP(Table1[[#This Row],[Reference]],metron,13,FALSE)</f>
        <v>0.81333333333333335</v>
      </c>
      <c r="BZ477" s="6">
        <f>VLOOKUP(Table1[[#This Row],[Reference]],metron,14,FALSE)</f>
        <v>0.38925925925925919</v>
      </c>
      <c r="CA477" s="6">
        <f>VLOOKUP(Table1[[#This Row],[Reference]],metron,15,FALSE)</f>
        <v>14.53422724064926</v>
      </c>
      <c r="CB477" s="6">
        <f>VLOOKUP(Table1[[#This Row],[Reference]],metron,16,FALSE)</f>
        <v>8.7882851093860275</v>
      </c>
      <c r="CC477" s="6">
        <f>VLOOKUP(Table1[[#This Row],[Reference]],metron,17,FALSE)</f>
        <v>6.3007953723788868</v>
      </c>
      <c r="CD477" s="6">
        <f>VLOOKUP(Table1[[#This Row],[Reference]],metron,18,FALSE)</f>
        <v>3.681851048445409</v>
      </c>
      <c r="CE477" s="6">
        <f>VLOOKUP(Table1[[#This Row],[Reference]],metron,19,FALSE)</f>
        <v>8.2334318682703724</v>
      </c>
      <c r="CF477" s="6">
        <f>VLOOKUP(Table1[[#This Row],[Reference]],metron,20,FALSE)</f>
        <v>5.106434060940618</v>
      </c>
      <c r="CG477" s="6">
        <f>VLOOKUP(Table1[[#This Row],[Reference]],metron,21,FALSE)</f>
        <v>12.32150615496017</v>
      </c>
      <c r="CH477" s="6">
        <f>VLOOKUP(Table1[[#This Row],[Reference]],metron,22,FALSE)</f>
        <v>13.337436640115859</v>
      </c>
      <c r="CI477" s="6">
        <f>VLOOKUP(Table1[[#This Row],[Reference]],metron,23,FALSE)</f>
        <v>1.346101231190151</v>
      </c>
      <c r="CJ477" s="6">
        <f>VLOOKUP(Table1[[#This Row],[Reference]],metron,24,FALSE)</f>
        <v>1.995212038303694</v>
      </c>
      <c r="CK477" s="6">
        <f>VLOOKUP(Table1[[#This Row],[Reference]],metron,25,FALSE)</f>
        <v>6.1559507523939808E-2</v>
      </c>
      <c r="CL477" s="6">
        <f>VLOOKUP(Table1[[#This Row],[Reference]],metron,26,FALSE)</f>
        <v>0.13201094391244869</v>
      </c>
    </row>
    <row r="478" spans="1:90" hidden="1" x14ac:dyDescent="0.45">
      <c r="A478" t="s">
        <v>1346</v>
      </c>
      <c r="B478">
        <v>1603767600</v>
      </c>
      <c r="C478" s="23" t="s">
        <v>921</v>
      </c>
      <c r="D478" t="s">
        <v>65</v>
      </c>
      <c r="E478" t="s">
        <v>66</v>
      </c>
      <c r="F478" t="s">
        <v>84</v>
      </c>
      <c r="G478" t="s">
        <v>96</v>
      </c>
      <c r="H478" t="s">
        <v>108</v>
      </c>
      <c r="I478">
        <f>MROUND(Table1[[#This Row],[ProbH]]*100,2)/100</f>
        <v>0.54</v>
      </c>
      <c r="J478">
        <f>1/Table1[[#This Row],[odds_ft_home_team_win]]-Table1[[#This Row],[Margin]]</f>
        <v>0.5398691951707324</v>
      </c>
      <c r="K478">
        <f>1/Table1[[#This Row],[odds_ft_draw]]-Table1[[#This Row],[Margin]]</f>
        <v>0.25267522153608085</v>
      </c>
      <c r="L478">
        <f>1/Table1[[#This Row],[odds_ft_away_team_win]]-Table1[[#This Row],[Margin]]</f>
        <v>0.20745558329318675</v>
      </c>
      <c r="M478">
        <v>15</v>
      </c>
      <c r="N478">
        <v>1.57</v>
      </c>
      <c r="O478">
        <v>1.5</v>
      </c>
      <c r="P478">
        <v>1.43</v>
      </c>
      <c r="Q478">
        <v>1.25</v>
      </c>
      <c r="R478" t="str" cm="1">
        <f t="array" ref="R4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78">
        <v>1</v>
      </c>
      <c r="T478">
        <v>1</v>
      </c>
      <c r="U478">
        <v>2</v>
      </c>
      <c r="V478">
        <v>2</v>
      </c>
      <c r="W478">
        <v>1</v>
      </c>
      <c r="X478">
        <v>1</v>
      </c>
      <c r="Y478" t="s">
        <v>148</v>
      </c>
      <c r="Z478">
        <v>23</v>
      </c>
      <c r="AA478">
        <v>6</v>
      </c>
      <c r="AB478">
        <v>4</v>
      </c>
      <c r="AC478">
        <v>3</v>
      </c>
      <c r="AD478">
        <v>0</v>
      </c>
      <c r="AE478">
        <v>2</v>
      </c>
      <c r="AF478">
        <v>0</v>
      </c>
      <c r="AG478">
        <v>1</v>
      </c>
      <c r="AH478">
        <v>2</v>
      </c>
      <c r="AI478">
        <v>0</v>
      </c>
      <c r="AJ478">
        <v>2</v>
      </c>
      <c r="AK478">
        <v>12</v>
      </c>
      <c r="AL478">
        <v>12</v>
      </c>
      <c r="AM478">
        <v>6</v>
      </c>
      <c r="AN478">
        <v>3</v>
      </c>
      <c r="AO478">
        <v>6</v>
      </c>
      <c r="AP478">
        <v>9</v>
      </c>
      <c r="AQ478">
        <v>17</v>
      </c>
      <c r="AR478">
        <v>14</v>
      </c>
      <c r="AS478">
        <v>59</v>
      </c>
      <c r="AT478">
        <v>41</v>
      </c>
      <c r="AU478">
        <v>1.41</v>
      </c>
      <c r="AV478">
        <v>1.2</v>
      </c>
      <c r="AW478">
        <v>2.4500000000000002</v>
      </c>
      <c r="AX478">
        <v>62</v>
      </c>
      <c r="AY478">
        <v>70</v>
      </c>
      <c r="AZ478">
        <v>47</v>
      </c>
      <c r="BA478">
        <v>23</v>
      </c>
      <c r="BB478">
        <v>7</v>
      </c>
      <c r="BC478">
        <v>23</v>
      </c>
      <c r="BD478">
        <v>62</v>
      </c>
      <c r="BE478">
        <v>55</v>
      </c>
      <c r="BF478">
        <v>77</v>
      </c>
      <c r="BG478">
        <v>9.4600000000000009</v>
      </c>
      <c r="BH478">
        <v>6.93</v>
      </c>
      <c r="BI478">
        <v>1.77</v>
      </c>
      <c r="BJ478">
        <v>3.6</v>
      </c>
      <c r="BK478">
        <v>4.3</v>
      </c>
      <c r="BL478">
        <f>(1/Table1[[#This Row],[odds_ft_home_team_win]]+1/Table1[[#This Row],[odds_ft_draw]]+1/Table1[[#This Row],[odds_ft_away_team_win]]-1)/3</f>
        <v>2.5102556241696956E-2</v>
      </c>
      <c r="BM478">
        <v>1.28</v>
      </c>
      <c r="BN478">
        <v>1.87</v>
      </c>
      <c r="BO478">
        <v>3.25</v>
      </c>
      <c r="BP478">
        <v>6.15</v>
      </c>
      <c r="BQ478">
        <v>1.77</v>
      </c>
      <c r="BR478">
        <v>1.95</v>
      </c>
      <c r="BS478" t="s">
        <v>88</v>
      </c>
      <c r="BT478">
        <f>VLOOKUP(Table1[[#This Row],[Reference]],metron,8,FALSE)</f>
        <v>1.915666026436746</v>
      </c>
      <c r="BU478">
        <f>VLOOKUP(Table1[[#This Row],[Reference]],metron,9,FALSE)</f>
        <v>0.82283834599204153</v>
      </c>
      <c r="BV478">
        <f>VLOOKUP(Table1[[#This Row],[Reference]],metron,10,FALSE)</f>
        <v>2.6359702267612941</v>
      </c>
      <c r="BW478">
        <f>VLOOKUP(Table1[[#This Row],[Reference]],metron,11,FALSE)</f>
        <v>1.684957590444867</v>
      </c>
      <c r="BX478">
        <f>VLOOKUP(Table1[[#This Row],[Reference]],metron,12,FALSE)</f>
        <v>0.95101263631642718</v>
      </c>
      <c r="BY478" s="6">
        <f>VLOOKUP(Table1[[#This Row],[Reference]],metron,13,FALSE)</f>
        <v>0.72650164445213783</v>
      </c>
      <c r="BZ478" s="6">
        <f>VLOOKUP(Table1[[#This Row],[Reference]],metron,14,FALSE)</f>
        <v>0.42097974727367138</v>
      </c>
      <c r="CA478" s="6">
        <f>VLOOKUP(Table1[[#This Row],[Reference]],metron,15,FALSE)</f>
        <v>13.338806970509379</v>
      </c>
      <c r="CB478" s="6">
        <f>VLOOKUP(Table1[[#This Row],[Reference]],metron,16,FALSE)</f>
        <v>9.2530160857908843</v>
      </c>
      <c r="CC478" s="6">
        <f>VLOOKUP(Table1[[#This Row],[Reference]],metron,17,FALSE)</f>
        <v>5.9915081521739131</v>
      </c>
      <c r="CD478" s="6">
        <f>VLOOKUP(Table1[[#This Row],[Reference]],metron,18,FALSE)</f>
        <v>3.9772418478260869</v>
      </c>
      <c r="CE478" s="6">
        <f>VLOOKUP(Table1[[#This Row],[Reference]],metron,19,FALSE)</f>
        <v>7.3472988183354664</v>
      </c>
      <c r="CF478" s="6">
        <f>VLOOKUP(Table1[[#This Row],[Reference]],metron,20,FALSE)</f>
        <v>5.2757742379647974</v>
      </c>
      <c r="CG478" s="6">
        <f>VLOOKUP(Table1[[#This Row],[Reference]],metron,21,FALSE)</f>
        <v>12.59428182437032</v>
      </c>
      <c r="CH478" s="6">
        <f>VLOOKUP(Table1[[#This Row],[Reference]],metron,22,FALSE)</f>
        <v>13.577944179714089</v>
      </c>
      <c r="CI478" s="6">
        <f>VLOOKUP(Table1[[#This Row],[Reference]],metron,23,FALSE)</f>
        <v>1.4276913099870301</v>
      </c>
      <c r="CJ478" s="6">
        <f>VLOOKUP(Table1[[#This Row],[Reference]],metron,24,FALSE)</f>
        <v>1.940985732814527</v>
      </c>
      <c r="CK478" s="6">
        <f>VLOOKUP(Table1[[#This Row],[Reference]],metron,25,FALSE)</f>
        <v>8.0739299610894946E-2</v>
      </c>
      <c r="CL478" s="6">
        <f>VLOOKUP(Table1[[#This Row],[Reference]],metron,26,FALSE)</f>
        <v>0.12743190661478601</v>
      </c>
    </row>
    <row r="479" spans="1:90" hidden="1" x14ac:dyDescent="0.45">
      <c r="A479" t="s">
        <v>1346</v>
      </c>
      <c r="B479">
        <v>1604026800</v>
      </c>
      <c r="C479" s="23" t="s">
        <v>922</v>
      </c>
      <c r="D479" t="s">
        <v>65</v>
      </c>
      <c r="E479" t="s">
        <v>66</v>
      </c>
      <c r="F479" t="s">
        <v>91</v>
      </c>
      <c r="G479" t="s">
        <v>113</v>
      </c>
      <c r="H479" t="s">
        <v>74</v>
      </c>
      <c r="I479">
        <f>MROUND(Table1[[#This Row],[ProbH]]*100,2)/100</f>
        <v>0.4</v>
      </c>
      <c r="J479">
        <f>1/Table1[[#This Row],[odds_ft_home_team_win]]-Table1[[#This Row],[Margin]]</f>
        <v>0.39046821336185866</v>
      </c>
      <c r="K479">
        <f>1/Table1[[#This Row],[odds_ft_draw]]-Table1[[#This Row],[Margin]]</f>
        <v>0.25794119328980508</v>
      </c>
      <c r="L479">
        <f>1/Table1[[#This Row],[odds_ft_away_team_win]]-Table1[[#This Row],[Margin]]</f>
        <v>0.35159059334833603</v>
      </c>
      <c r="M479">
        <v>16</v>
      </c>
      <c r="N479">
        <v>1</v>
      </c>
      <c r="O479">
        <v>0.28999999999999998</v>
      </c>
      <c r="P479">
        <v>1</v>
      </c>
      <c r="Q479">
        <v>0.65</v>
      </c>
      <c r="R479" t="str" cm="1">
        <f t="array" ref="R4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9">
        <v>0</v>
      </c>
      <c r="T479">
        <v>5</v>
      </c>
      <c r="U479">
        <v>5</v>
      </c>
      <c r="V479">
        <v>5</v>
      </c>
      <c r="W479">
        <v>0</v>
      </c>
      <c r="X479">
        <v>5</v>
      </c>
      <c r="Z479" t="s">
        <v>923</v>
      </c>
      <c r="AA479">
        <v>8</v>
      </c>
      <c r="AB479">
        <v>2</v>
      </c>
      <c r="AC479">
        <v>2</v>
      </c>
      <c r="AD479">
        <v>0</v>
      </c>
      <c r="AE479">
        <v>1</v>
      </c>
      <c r="AF479">
        <v>0</v>
      </c>
      <c r="AG479">
        <v>2</v>
      </c>
      <c r="AH479">
        <v>0</v>
      </c>
      <c r="AI479">
        <v>0</v>
      </c>
      <c r="AJ479">
        <v>1</v>
      </c>
      <c r="AK479">
        <v>18</v>
      </c>
      <c r="AL479">
        <v>12</v>
      </c>
      <c r="AM479">
        <v>5</v>
      </c>
      <c r="AN479">
        <v>8</v>
      </c>
      <c r="AO479">
        <v>13</v>
      </c>
      <c r="AP479">
        <v>4</v>
      </c>
      <c r="AQ479">
        <v>9</v>
      </c>
      <c r="AR479">
        <v>4</v>
      </c>
      <c r="AS479">
        <v>49</v>
      </c>
      <c r="AT479">
        <v>51</v>
      </c>
      <c r="AU479">
        <v>1.74</v>
      </c>
      <c r="AV479">
        <v>1.68</v>
      </c>
      <c r="AW479">
        <v>2.95</v>
      </c>
      <c r="AX479">
        <v>87</v>
      </c>
      <c r="AY479">
        <v>93</v>
      </c>
      <c r="AZ479">
        <v>60</v>
      </c>
      <c r="BA479">
        <v>21</v>
      </c>
      <c r="BB479">
        <v>7</v>
      </c>
      <c r="BC479">
        <v>40</v>
      </c>
      <c r="BD479">
        <v>72</v>
      </c>
      <c r="BE479">
        <v>48</v>
      </c>
      <c r="BF479">
        <v>73</v>
      </c>
      <c r="BG479">
        <v>8.75</v>
      </c>
      <c r="BH479">
        <v>5.45</v>
      </c>
      <c r="BI479">
        <v>2.3199999999999998</v>
      </c>
      <c r="BJ479">
        <v>3.35</v>
      </c>
      <c r="BK479">
        <v>2.5499999999999998</v>
      </c>
      <c r="BL479">
        <f>(1/Table1[[#This Row],[odds_ft_home_team_win]]+1/Table1[[#This Row],[odds_ft_draw]]+1/Table1[[#This Row],[odds_ft_away_team_win]]-1)/3</f>
        <v>4.0566269396762035E-2</v>
      </c>
      <c r="BM479">
        <v>1.24</v>
      </c>
      <c r="BN479">
        <v>1.75</v>
      </c>
      <c r="BO479">
        <v>2.95</v>
      </c>
      <c r="BP479">
        <v>0</v>
      </c>
      <c r="BQ479">
        <v>0</v>
      </c>
      <c r="BR479">
        <v>0</v>
      </c>
      <c r="BS479" t="s">
        <v>144</v>
      </c>
      <c r="BT479">
        <f>VLOOKUP(Table1[[#This Row],[Reference]],metron,8,FALSE)</f>
        <v>1.5181603563290151</v>
      </c>
      <c r="BU479">
        <f>VLOOKUP(Table1[[#This Row],[Reference]],metron,9,FALSE)</f>
        <v>1.1952730370775513</v>
      </c>
      <c r="BV479">
        <f>VLOOKUP(Table1[[#This Row],[Reference]],metron,10,FALSE)</f>
        <v>2.4956155335383219</v>
      </c>
      <c r="BW479">
        <f>VLOOKUP(Table1[[#This Row],[Reference]],metron,11,FALSE)</f>
        <v>1.344038264434575</v>
      </c>
      <c r="BX479">
        <f>VLOOKUP(Table1[[#This Row],[Reference]],metron,12,FALSE)</f>
        <v>1.1515772691037469</v>
      </c>
      <c r="BY479" s="6">
        <f>VLOOKUP(Table1[[#This Row],[Reference]],metron,13,FALSE)</f>
        <v>0.59936225942375587</v>
      </c>
      <c r="BZ479" s="6">
        <f>VLOOKUP(Table1[[#This Row],[Reference]],metron,14,FALSE)</f>
        <v>0.50723152260562576</v>
      </c>
      <c r="CA479" s="6">
        <f>VLOOKUP(Table1[[#This Row],[Reference]],metron,15,FALSE)</f>
        <v>11.99278846153846</v>
      </c>
      <c r="CB479" s="6">
        <f>VLOOKUP(Table1[[#This Row],[Reference]],metron,16,FALSE)</f>
        <v>10.0277534965035</v>
      </c>
      <c r="CC479" s="6">
        <f>VLOOKUP(Table1[[#This Row],[Reference]],metron,17,FALSE)</f>
        <v>5.2857459543338514</v>
      </c>
      <c r="CD479" s="6">
        <f>VLOOKUP(Table1[[#This Row],[Reference]],metron,18,FALSE)</f>
        <v>4.4067834183107957</v>
      </c>
      <c r="CE479" s="6">
        <f>VLOOKUP(Table1[[#This Row],[Reference]],metron,19,FALSE)</f>
        <v>6.7070425072046085</v>
      </c>
      <c r="CF479" s="6">
        <f>VLOOKUP(Table1[[#This Row],[Reference]],metron,20,FALSE)</f>
        <v>5.6209700781927046</v>
      </c>
      <c r="CG479" s="6">
        <f>VLOOKUP(Table1[[#This Row],[Reference]],metron,21,FALSE)</f>
        <v>13.04463690872752</v>
      </c>
      <c r="CH479" s="6">
        <f>VLOOKUP(Table1[[#This Row],[Reference]],metron,22,FALSE)</f>
        <v>13.49811236953142</v>
      </c>
      <c r="CI479" s="6">
        <f>VLOOKUP(Table1[[#This Row],[Reference]],metron,23,FALSE)</f>
        <v>1.5836526181353769</v>
      </c>
      <c r="CJ479" s="6">
        <f>VLOOKUP(Table1[[#This Row],[Reference]],metron,24,FALSE)</f>
        <v>1.8744146445295871</v>
      </c>
      <c r="CK479" s="6">
        <f>VLOOKUP(Table1[[#This Row],[Reference]],metron,25,FALSE)</f>
        <v>8.5994040017028525E-2</v>
      </c>
      <c r="CL479" s="6">
        <f>VLOOKUP(Table1[[#This Row],[Reference]],metron,26,FALSE)</f>
        <v>0.13452532992762881</v>
      </c>
    </row>
    <row r="480" spans="1:90" hidden="1" x14ac:dyDescent="0.45">
      <c r="A480" t="s">
        <v>1346</v>
      </c>
      <c r="B480">
        <v>1604107800</v>
      </c>
      <c r="C480" s="23" t="s">
        <v>924</v>
      </c>
      <c r="D480" t="s">
        <v>65</v>
      </c>
      <c r="E480" t="s">
        <v>66</v>
      </c>
      <c r="F480" t="s">
        <v>72</v>
      </c>
      <c r="G480" t="s">
        <v>79</v>
      </c>
      <c r="H480" t="s">
        <v>130</v>
      </c>
      <c r="I480">
        <f>MROUND(Table1[[#This Row],[ProbH]]*100,2)/100</f>
        <v>0.44</v>
      </c>
      <c r="J480">
        <f>1/Table1[[#This Row],[odds_ft_home_team_win]]-Table1[[#This Row],[Margin]]</f>
        <v>0.44436153601680278</v>
      </c>
      <c r="K480">
        <f>1/Table1[[#This Row],[odds_ft_draw]]-Table1[[#This Row],[Margin]]</f>
        <v>0.27336290400585889</v>
      </c>
      <c r="L480">
        <f>1/Table1[[#This Row],[odds_ft_away_team_win]]-Table1[[#This Row],[Margin]]</f>
        <v>0.28227555997733839</v>
      </c>
      <c r="M480">
        <v>16</v>
      </c>
      <c r="N480">
        <v>1.25</v>
      </c>
      <c r="O480">
        <v>0.63</v>
      </c>
      <c r="P480">
        <v>1.29</v>
      </c>
      <c r="Q480">
        <v>0.55000000000000004</v>
      </c>
      <c r="R480" t="str" cm="1">
        <f t="array" ref="R4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0">
        <v>3</v>
      </c>
      <c r="T480">
        <v>2</v>
      </c>
      <c r="U480">
        <v>5</v>
      </c>
      <c r="V480">
        <v>2</v>
      </c>
      <c r="W480">
        <v>1</v>
      </c>
      <c r="X480">
        <v>1</v>
      </c>
      <c r="Y480" t="s">
        <v>925</v>
      </c>
      <c r="Z480" t="s">
        <v>926</v>
      </c>
      <c r="AA480">
        <v>2</v>
      </c>
      <c r="AB480">
        <v>6</v>
      </c>
      <c r="AC480">
        <v>2</v>
      </c>
      <c r="AD480">
        <v>0</v>
      </c>
      <c r="AE480">
        <v>5</v>
      </c>
      <c r="AF480">
        <v>0</v>
      </c>
      <c r="AG480">
        <v>0</v>
      </c>
      <c r="AH480">
        <v>2</v>
      </c>
      <c r="AI480">
        <v>3</v>
      </c>
      <c r="AJ480">
        <v>2</v>
      </c>
      <c r="AK480">
        <v>16</v>
      </c>
      <c r="AL480">
        <v>7</v>
      </c>
      <c r="AM480">
        <v>4</v>
      </c>
      <c r="AN480">
        <v>4</v>
      </c>
      <c r="AO480">
        <v>12</v>
      </c>
      <c r="AP480">
        <v>3</v>
      </c>
      <c r="AQ480">
        <v>17</v>
      </c>
      <c r="AR480">
        <v>13</v>
      </c>
      <c r="AS480">
        <v>54</v>
      </c>
      <c r="AT480">
        <v>46</v>
      </c>
      <c r="AU480">
        <v>1.66</v>
      </c>
      <c r="AV480">
        <v>0.99</v>
      </c>
      <c r="AW480">
        <v>2.5099999999999998</v>
      </c>
      <c r="AX480">
        <v>57</v>
      </c>
      <c r="AY480">
        <v>75</v>
      </c>
      <c r="AZ480">
        <v>51</v>
      </c>
      <c r="BA480">
        <v>19</v>
      </c>
      <c r="BB480">
        <v>13</v>
      </c>
      <c r="BC480">
        <v>44</v>
      </c>
      <c r="BD480">
        <v>82</v>
      </c>
      <c r="BE480">
        <v>32</v>
      </c>
      <c r="BF480">
        <v>69</v>
      </c>
      <c r="BG480">
        <v>10.51</v>
      </c>
      <c r="BH480">
        <v>5.75</v>
      </c>
      <c r="BI480">
        <v>2.15</v>
      </c>
      <c r="BJ480">
        <v>3.4</v>
      </c>
      <c r="BK480">
        <v>3.3</v>
      </c>
      <c r="BL480">
        <f>(1/Table1[[#This Row],[odds_ft_home_team_win]]+1/Table1[[#This Row],[odds_ft_draw]]+1/Table1[[#This Row],[odds_ft_away_team_win]]-1)/3</f>
        <v>2.0754743052964653E-2</v>
      </c>
      <c r="BM480">
        <v>1.26</v>
      </c>
      <c r="BN480">
        <v>1.87</v>
      </c>
      <c r="BO480">
        <v>3.15</v>
      </c>
      <c r="BP480">
        <v>6</v>
      </c>
      <c r="BQ480">
        <v>1.71</v>
      </c>
      <c r="BR480">
        <v>2.1</v>
      </c>
      <c r="BS480" t="s">
        <v>76</v>
      </c>
      <c r="BT480">
        <f>VLOOKUP(Table1[[#This Row],[Reference]],metron,8,FALSE)</f>
        <v>1.6395459745305552</v>
      </c>
      <c r="BU480">
        <f>VLOOKUP(Table1[[#This Row],[Reference]],metron,9,FALSE)</f>
        <v>1.0758429359324786</v>
      </c>
      <c r="BV480">
        <f>VLOOKUP(Table1[[#This Row],[Reference]],metron,10,FALSE)</f>
        <v>2.4807646356033461</v>
      </c>
      <c r="BW480">
        <f>VLOOKUP(Table1[[#This Row],[Reference]],metron,11,FALSE)</f>
        <v>1.4140979689366791</v>
      </c>
      <c r="BX480">
        <f>VLOOKUP(Table1[[#This Row],[Reference]],metron,12,FALSE)</f>
        <v>1.0666666666666671</v>
      </c>
      <c r="BY480" s="6">
        <f>VLOOKUP(Table1[[#This Row],[Reference]],metron,13,FALSE)</f>
        <v>0.62712066905615294</v>
      </c>
      <c r="BZ480" s="6">
        <f>VLOOKUP(Table1[[#This Row],[Reference]],metron,14,FALSE)</f>
        <v>0.46009557945041818</v>
      </c>
      <c r="CA480" s="6">
        <f>VLOOKUP(Table1[[#This Row],[Reference]],metron,15,FALSE)</f>
        <v>12.56969280146722</v>
      </c>
      <c r="CB480" s="6">
        <f>VLOOKUP(Table1[[#This Row],[Reference]],metron,16,FALSE)</f>
        <v>9.8695552498853729</v>
      </c>
      <c r="CC480" s="6">
        <f>VLOOKUP(Table1[[#This Row],[Reference]],metron,17,FALSE)</f>
        <v>5.2754256787850897</v>
      </c>
      <c r="CD480" s="6">
        <f>VLOOKUP(Table1[[#This Row],[Reference]],metron,18,FALSE)</f>
        <v>4.1279337321675103</v>
      </c>
      <c r="CE480" s="6">
        <f>VLOOKUP(Table1[[#This Row],[Reference]],metron,19,FALSE)</f>
        <v>7.2942671226821298</v>
      </c>
      <c r="CF480" s="6">
        <f>VLOOKUP(Table1[[#This Row],[Reference]],metron,20,FALSE)</f>
        <v>5.7416215177178627</v>
      </c>
      <c r="CG480" s="6">
        <f>VLOOKUP(Table1[[#This Row],[Reference]],metron,21,FALSE)</f>
        <v>12.897246007868549</v>
      </c>
      <c r="CH480" s="6">
        <f>VLOOKUP(Table1[[#This Row],[Reference]],metron,22,FALSE)</f>
        <v>13.507058551261281</v>
      </c>
      <c r="CI480" s="6">
        <f>VLOOKUP(Table1[[#This Row],[Reference]],metron,23,FALSE)</f>
        <v>1.576522702104098</v>
      </c>
      <c r="CJ480" s="6">
        <f>VLOOKUP(Table1[[#This Row],[Reference]],metron,24,FALSE)</f>
        <v>1.917165005537099</v>
      </c>
      <c r="CK480" s="6">
        <f>VLOOKUP(Table1[[#This Row],[Reference]],metron,25,FALSE)</f>
        <v>8.4385382059800659E-2</v>
      </c>
      <c r="CL480" s="6">
        <f>VLOOKUP(Table1[[#This Row],[Reference]],metron,26,FALSE)</f>
        <v>0.1233665559246955</v>
      </c>
    </row>
    <row r="481" spans="1:90" hidden="1" x14ac:dyDescent="0.45">
      <c r="A481" t="s">
        <v>1346</v>
      </c>
      <c r="B481">
        <v>1604113560</v>
      </c>
      <c r="C481" s="23" t="s">
        <v>927</v>
      </c>
      <c r="D481" t="s">
        <v>65</v>
      </c>
      <c r="E481" t="s">
        <v>66</v>
      </c>
      <c r="F481" t="s">
        <v>106</v>
      </c>
      <c r="G481" t="s">
        <v>84</v>
      </c>
      <c r="H481" t="s">
        <v>114</v>
      </c>
      <c r="I481">
        <f>MROUND(Table1[[#This Row],[ProbH]]*100,2)/100</f>
        <v>0.36</v>
      </c>
      <c r="J481">
        <f>1/Table1[[#This Row],[odds_ft_home_team_win]]-Table1[[#This Row],[Margin]]</f>
        <v>0.36875034914250604</v>
      </c>
      <c r="K481">
        <f>1/Table1[[#This Row],[odds_ft_draw]]-Table1[[#This Row],[Margin]]</f>
        <v>0.28428579408971566</v>
      </c>
      <c r="L481">
        <f>1/Table1[[#This Row],[odds_ft_away_team_win]]-Table1[[#This Row],[Margin]]</f>
        <v>0.3469638567677783</v>
      </c>
      <c r="M481">
        <v>16</v>
      </c>
      <c r="N481">
        <v>1.75</v>
      </c>
      <c r="O481">
        <v>1.43</v>
      </c>
      <c r="P481">
        <v>1.59</v>
      </c>
      <c r="Q481">
        <v>1.38</v>
      </c>
      <c r="R481" t="str" cm="1">
        <f t="array" ref="R4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81">
        <v>0</v>
      </c>
      <c r="T481">
        <v>2</v>
      </c>
      <c r="U481">
        <v>2</v>
      </c>
      <c r="V481">
        <v>1</v>
      </c>
      <c r="W481">
        <v>0</v>
      </c>
      <c r="X481">
        <v>1</v>
      </c>
      <c r="Z481" t="s">
        <v>928</v>
      </c>
      <c r="AA481">
        <v>6</v>
      </c>
      <c r="AB481">
        <v>6</v>
      </c>
      <c r="AC481">
        <v>2</v>
      </c>
      <c r="AD481">
        <v>0</v>
      </c>
      <c r="AE481">
        <v>1</v>
      </c>
      <c r="AF481">
        <v>0</v>
      </c>
      <c r="AG481">
        <v>2</v>
      </c>
      <c r="AH481">
        <v>0</v>
      </c>
      <c r="AI481">
        <v>0</v>
      </c>
      <c r="AJ481">
        <v>1</v>
      </c>
      <c r="AK481">
        <v>12</v>
      </c>
      <c r="AL481">
        <v>18</v>
      </c>
      <c r="AM481">
        <v>5</v>
      </c>
      <c r="AN481">
        <v>7</v>
      </c>
      <c r="AO481">
        <v>7</v>
      </c>
      <c r="AP481">
        <v>11</v>
      </c>
      <c r="AQ481">
        <v>18</v>
      </c>
      <c r="AR481">
        <v>17</v>
      </c>
      <c r="AS481">
        <v>52</v>
      </c>
      <c r="AT481">
        <v>48</v>
      </c>
      <c r="AU481">
        <v>1.53</v>
      </c>
      <c r="AV481">
        <v>1.86</v>
      </c>
      <c r="AW481">
        <v>1.65</v>
      </c>
      <c r="AX481">
        <v>47</v>
      </c>
      <c r="AY481">
        <v>53</v>
      </c>
      <c r="AZ481">
        <v>25</v>
      </c>
      <c r="BA481">
        <v>7</v>
      </c>
      <c r="BB481">
        <v>0</v>
      </c>
      <c r="BC481">
        <v>26</v>
      </c>
      <c r="BD481">
        <v>52</v>
      </c>
      <c r="BE481">
        <v>20</v>
      </c>
      <c r="BF481">
        <v>67</v>
      </c>
      <c r="BG481">
        <v>8.75</v>
      </c>
      <c r="BH481">
        <v>3.88</v>
      </c>
      <c r="BI481">
        <v>2.5499999999999998</v>
      </c>
      <c r="BJ481">
        <v>3.25</v>
      </c>
      <c r="BK481">
        <v>2.7</v>
      </c>
      <c r="BL481">
        <f>(1/Table1[[#This Row],[odds_ft_home_team_win]]+1/Table1[[#This Row],[odds_ft_draw]]+1/Table1[[#This Row],[odds_ft_away_team_win]]-1)/3</f>
        <v>2.3406513602592049E-2</v>
      </c>
      <c r="BM481">
        <v>1.35</v>
      </c>
      <c r="BN481">
        <v>2.1</v>
      </c>
      <c r="BO481">
        <v>3.8</v>
      </c>
      <c r="BP481">
        <v>7.5</v>
      </c>
      <c r="BQ481">
        <v>1.83</v>
      </c>
      <c r="BR481">
        <v>1.91</v>
      </c>
      <c r="BS481" t="s">
        <v>110</v>
      </c>
      <c r="BT481">
        <f>VLOOKUP(Table1[[#This Row],[Reference]],metron,8,FALSE)</f>
        <v>1.4023864615972674</v>
      </c>
      <c r="BU481">
        <f>VLOOKUP(Table1[[#This Row],[Reference]],metron,9,FALSE)</f>
        <v>1.3093265904245279</v>
      </c>
      <c r="BV481">
        <f>VLOOKUP(Table1[[#This Row],[Reference]],metron,10,FALSE)</f>
        <v>2.5110350525197691</v>
      </c>
      <c r="BW481">
        <f>VLOOKUP(Table1[[#This Row],[Reference]],metron,11,FALSE)</f>
        <v>1.269326094653606</v>
      </c>
      <c r="BX481">
        <f>VLOOKUP(Table1[[#This Row],[Reference]],metron,12,FALSE)</f>
        <v>1.2417089578661631</v>
      </c>
      <c r="BY481" s="6">
        <f>VLOOKUP(Table1[[#This Row],[Reference]],metron,13,FALSE)</f>
        <v>0.56586402266288949</v>
      </c>
      <c r="BZ481" s="6">
        <f>VLOOKUP(Table1[[#This Row],[Reference]],metron,14,FALSE)</f>
        <v>0.55158168083097259</v>
      </c>
      <c r="CA481" s="6">
        <f>VLOOKUP(Table1[[#This Row],[Reference]],metron,15,FALSE)</f>
        <v>11.49400826446281</v>
      </c>
      <c r="CB481" s="6">
        <f>VLOOKUP(Table1[[#This Row],[Reference]],metron,16,FALSE)</f>
        <v>10.507231404958681</v>
      </c>
      <c r="CC481" s="6">
        <f>VLOOKUP(Table1[[#This Row],[Reference]],metron,17,FALSE)</f>
        <v>4.9238790406673623</v>
      </c>
      <c r="CD481" s="6">
        <f>VLOOKUP(Table1[[#This Row],[Reference]],metron,18,FALSE)</f>
        <v>4.6296141814389991</v>
      </c>
      <c r="CE481" s="6">
        <f>VLOOKUP(Table1[[#This Row],[Reference]],metron,19,FALSE)</f>
        <v>6.5701292237954476</v>
      </c>
      <c r="CF481" s="6">
        <f>VLOOKUP(Table1[[#This Row],[Reference]],metron,20,FALSE)</f>
        <v>5.8776172235196817</v>
      </c>
      <c r="CG481" s="6">
        <f>VLOOKUP(Table1[[#This Row],[Reference]],metron,21,FALSE)</f>
        <v>12.798739495798319</v>
      </c>
      <c r="CH481" s="6">
        <f>VLOOKUP(Table1[[#This Row],[Reference]],metron,22,FALSE)</f>
        <v>12.98844537815126</v>
      </c>
      <c r="CI481" s="6">
        <f>VLOOKUP(Table1[[#This Row],[Reference]],metron,23,FALSE)</f>
        <v>1.604928297313674</v>
      </c>
      <c r="CJ481" s="6">
        <f>VLOOKUP(Table1[[#This Row],[Reference]],metron,24,FALSE)</f>
        <v>1.791961219955565</v>
      </c>
      <c r="CK481" s="6">
        <f>VLOOKUP(Table1[[#This Row],[Reference]],metron,25,FALSE)</f>
        <v>8.887093516461321E-2</v>
      </c>
      <c r="CL481" s="6">
        <f>VLOOKUP(Table1[[#This Row],[Reference]],metron,26,FALSE)</f>
        <v>0.11694607150070691</v>
      </c>
    </row>
    <row r="482" spans="1:90" hidden="1" x14ac:dyDescent="0.45">
      <c r="A482" t="s">
        <v>1346</v>
      </c>
      <c r="B482">
        <v>1604115000</v>
      </c>
      <c r="C482" s="23" t="s">
        <v>929</v>
      </c>
      <c r="D482" t="s">
        <v>65</v>
      </c>
      <c r="E482" t="s">
        <v>66</v>
      </c>
      <c r="F482" t="s">
        <v>78</v>
      </c>
      <c r="G482" t="s">
        <v>67</v>
      </c>
      <c r="H482" t="s">
        <v>122</v>
      </c>
      <c r="I482">
        <f>MROUND(Table1[[#This Row],[ProbH]]*100,2)/100</f>
        <v>0.38</v>
      </c>
      <c r="J482">
        <f>1/Table1[[#This Row],[odds_ft_home_team_win]]-Table1[[#This Row],[Margin]]</f>
        <v>0.37678571428571433</v>
      </c>
      <c r="K482">
        <f>1/Table1[[#This Row],[odds_ft_draw]]-Table1[[#This Row],[Margin]]</f>
        <v>0.28928571428571431</v>
      </c>
      <c r="L482">
        <f>1/Table1[[#This Row],[odds_ft_away_team_win]]-Table1[[#This Row],[Margin]]</f>
        <v>0.33392857142857146</v>
      </c>
      <c r="M482">
        <v>16</v>
      </c>
      <c r="N482">
        <v>1.29</v>
      </c>
      <c r="O482">
        <v>0.25</v>
      </c>
      <c r="P482">
        <v>1.41</v>
      </c>
      <c r="Q482">
        <v>0.17</v>
      </c>
      <c r="R482" t="str" cm="1">
        <f t="array" ref="R4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81</v>
      </c>
      <c r="AA482">
        <v>8</v>
      </c>
      <c r="AB482">
        <v>4</v>
      </c>
      <c r="AC482">
        <v>2</v>
      </c>
      <c r="AD482">
        <v>1</v>
      </c>
      <c r="AE482">
        <v>1</v>
      </c>
      <c r="AF482">
        <v>0</v>
      </c>
      <c r="AG482">
        <v>0</v>
      </c>
      <c r="AH482">
        <v>3</v>
      </c>
      <c r="AI482">
        <v>0</v>
      </c>
      <c r="AJ482">
        <v>1</v>
      </c>
      <c r="AK482">
        <v>16</v>
      </c>
      <c r="AL482">
        <v>16</v>
      </c>
      <c r="AM482">
        <v>2</v>
      </c>
      <c r="AN482">
        <v>4</v>
      </c>
      <c r="AO482">
        <v>14</v>
      </c>
      <c r="AP482">
        <v>12</v>
      </c>
      <c r="AQ482">
        <v>14</v>
      </c>
      <c r="AR482">
        <v>23</v>
      </c>
      <c r="AS482">
        <v>45</v>
      </c>
      <c r="AT482">
        <v>55</v>
      </c>
      <c r="AU482">
        <v>1.57</v>
      </c>
      <c r="AV482">
        <v>1.74</v>
      </c>
      <c r="AW482">
        <v>2.15</v>
      </c>
      <c r="AX482">
        <v>46</v>
      </c>
      <c r="AY482">
        <v>59</v>
      </c>
      <c r="AZ482">
        <v>32</v>
      </c>
      <c r="BA482">
        <v>13</v>
      </c>
      <c r="BB482">
        <v>13</v>
      </c>
      <c r="BC482">
        <v>13</v>
      </c>
      <c r="BD482">
        <v>66</v>
      </c>
      <c r="BE482">
        <v>40</v>
      </c>
      <c r="BF482">
        <v>66</v>
      </c>
      <c r="BG482">
        <v>9.1300000000000008</v>
      </c>
      <c r="BH482">
        <v>5</v>
      </c>
      <c r="BI482">
        <v>2.5</v>
      </c>
      <c r="BJ482">
        <v>3.2</v>
      </c>
      <c r="BK482">
        <v>2.8</v>
      </c>
      <c r="BL482">
        <f>(1/Table1[[#This Row],[odds_ft_home_team_win]]+1/Table1[[#This Row],[odds_ft_draw]]+1/Table1[[#This Row],[odds_ft_away_team_win]]-1)/3</f>
        <v>2.3214285714285705E-2</v>
      </c>
      <c r="BM482">
        <v>1.33</v>
      </c>
      <c r="BN482">
        <v>2.0499999999999998</v>
      </c>
      <c r="BO482">
        <v>3.65</v>
      </c>
      <c r="BP482">
        <v>7</v>
      </c>
      <c r="BQ482">
        <v>1.8</v>
      </c>
      <c r="BR482">
        <v>1.95</v>
      </c>
      <c r="BS482" t="s">
        <v>82</v>
      </c>
      <c r="BT482">
        <f>VLOOKUP(Table1[[#This Row],[Reference]],metron,8,FALSE)</f>
        <v>1.464160929441638</v>
      </c>
      <c r="BU482">
        <f>VLOOKUP(Table1[[#This Row],[Reference]],metron,9,FALSE)</f>
        <v>1.2477119808919459</v>
      </c>
      <c r="BV482">
        <f>VLOOKUP(Table1[[#This Row],[Reference]],metron,10,FALSE)</f>
        <v>2.4900895140664963</v>
      </c>
      <c r="BW482">
        <f>VLOOKUP(Table1[[#This Row],[Reference]],metron,11,FALSE)</f>
        <v>1.330562659846547</v>
      </c>
      <c r="BX482">
        <f>VLOOKUP(Table1[[#This Row],[Reference]],metron,12,FALSE)</f>
        <v>1.1595268542199491</v>
      </c>
      <c r="BY482" s="6">
        <f>VLOOKUP(Table1[[#This Row],[Reference]],metron,13,FALSE)</f>
        <v>0.59053607588191415</v>
      </c>
      <c r="BZ482" s="6">
        <f>VLOOKUP(Table1[[#This Row],[Reference]],metron,14,FALSE)</f>
        <v>0.50069274219332838</v>
      </c>
      <c r="CA482" s="6">
        <f>VLOOKUP(Table1[[#This Row],[Reference]],metron,15,FALSE)</f>
        <v>11.79715236686391</v>
      </c>
      <c r="CB482" s="6">
        <f>VLOOKUP(Table1[[#This Row],[Reference]],metron,16,FALSE)</f>
        <v>10.317122781065089</v>
      </c>
      <c r="CC482" s="6">
        <f>VLOOKUP(Table1[[#This Row],[Reference]],metron,17,FALSE)</f>
        <v>5.0637025966747622</v>
      </c>
      <c r="CD482" s="6">
        <f>VLOOKUP(Table1[[#This Row],[Reference]],metron,18,FALSE)</f>
        <v>4.4674014571268454</v>
      </c>
      <c r="CE482" s="6">
        <f>VLOOKUP(Table1[[#This Row],[Reference]],metron,19,FALSE)</f>
        <v>6.7334497701891483</v>
      </c>
      <c r="CF482" s="6">
        <f>VLOOKUP(Table1[[#This Row],[Reference]],metron,20,FALSE)</f>
        <v>5.849721323938244</v>
      </c>
      <c r="CG482" s="6">
        <f>VLOOKUP(Table1[[#This Row],[Reference]],metron,21,FALSE)</f>
        <v>12.89644194756554</v>
      </c>
      <c r="CH482" s="6">
        <f>VLOOKUP(Table1[[#This Row],[Reference]],metron,22,FALSE)</f>
        <v>13.3434456928839</v>
      </c>
      <c r="CI482" s="6">
        <f>VLOOKUP(Table1[[#This Row],[Reference]],metron,23,FALSE)</f>
        <v>1.6144382124117971</v>
      </c>
      <c r="CJ482" s="6">
        <f>VLOOKUP(Table1[[#This Row],[Reference]],metron,24,FALSE)</f>
        <v>1.9032024606477289</v>
      </c>
      <c r="CK482" s="6">
        <f>VLOOKUP(Table1[[#This Row],[Reference]],metron,25,FALSE)</f>
        <v>9.372172969060974E-2</v>
      </c>
      <c r="CL482" s="6">
        <f>VLOOKUP(Table1[[#This Row],[Reference]],metron,26,FALSE)</f>
        <v>0.11669983716301791</v>
      </c>
    </row>
    <row r="483" spans="1:90" hidden="1" x14ac:dyDescent="0.45">
      <c r="A483" t="s">
        <v>1346</v>
      </c>
      <c r="B483">
        <v>1604185200</v>
      </c>
      <c r="C483" s="23" t="s">
        <v>930</v>
      </c>
      <c r="D483" t="s">
        <v>65</v>
      </c>
      <c r="E483" t="s">
        <v>66</v>
      </c>
      <c r="F483" t="s">
        <v>97</v>
      </c>
      <c r="G483" t="s">
        <v>102</v>
      </c>
      <c r="H483" t="s">
        <v>108</v>
      </c>
      <c r="I483">
        <f>MROUND(Table1[[#This Row],[ProbH]]*100,2)/100</f>
        <v>0.44</v>
      </c>
      <c r="J483">
        <f>1/Table1[[#This Row],[odds_ft_home_team_win]]-Table1[[#This Row],[Margin]]</f>
        <v>0.43269448213478062</v>
      </c>
      <c r="K483">
        <f>1/Table1[[#This Row],[odds_ft_draw]]-Table1[[#This Row],[Margin]]</f>
        <v>0.27665649027589323</v>
      </c>
      <c r="L483">
        <f>1/Table1[[#This Row],[odds_ft_away_team_win]]-Table1[[#This Row],[Margin]]</f>
        <v>0.29064902758932609</v>
      </c>
      <c r="M483">
        <v>16</v>
      </c>
      <c r="N483">
        <v>1</v>
      </c>
      <c r="O483">
        <v>1.1299999999999999</v>
      </c>
      <c r="P483">
        <v>1.21</v>
      </c>
      <c r="Q483">
        <v>1.33</v>
      </c>
      <c r="R483" t="str" cm="1">
        <f t="array" ref="R4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Z483">
        <v>39</v>
      </c>
      <c r="AA483">
        <v>6</v>
      </c>
      <c r="AB483">
        <v>5</v>
      </c>
      <c r="AC483">
        <v>1</v>
      </c>
      <c r="AD483">
        <v>0</v>
      </c>
      <c r="AE483">
        <v>2</v>
      </c>
      <c r="AF483">
        <v>0</v>
      </c>
      <c r="AG483">
        <v>1</v>
      </c>
      <c r="AH483">
        <v>0</v>
      </c>
      <c r="AI483">
        <v>0</v>
      </c>
      <c r="AJ483">
        <v>2</v>
      </c>
      <c r="AK483">
        <v>21</v>
      </c>
      <c r="AL483">
        <v>7</v>
      </c>
      <c r="AM483">
        <v>4</v>
      </c>
      <c r="AN483">
        <v>4</v>
      </c>
      <c r="AO483">
        <v>17</v>
      </c>
      <c r="AP483">
        <v>3</v>
      </c>
      <c r="AQ483">
        <v>13</v>
      </c>
      <c r="AR483">
        <v>22</v>
      </c>
      <c r="AS483">
        <v>65</v>
      </c>
      <c r="AT483">
        <v>35</v>
      </c>
      <c r="AU483">
        <v>2.0699999999999998</v>
      </c>
      <c r="AV483">
        <v>0.96</v>
      </c>
      <c r="AW483">
        <v>2.17</v>
      </c>
      <c r="AX483">
        <v>47</v>
      </c>
      <c r="AY483">
        <v>47</v>
      </c>
      <c r="AZ483">
        <v>40</v>
      </c>
      <c r="BA483">
        <v>19</v>
      </c>
      <c r="BB483">
        <v>13</v>
      </c>
      <c r="BC483">
        <v>32</v>
      </c>
      <c r="BD483">
        <v>66</v>
      </c>
      <c r="BE483">
        <v>34</v>
      </c>
      <c r="BF483">
        <v>75</v>
      </c>
      <c r="BG483">
        <v>9.4600000000000009</v>
      </c>
      <c r="BH483">
        <v>5.74</v>
      </c>
      <c r="BI483">
        <v>2.2000000000000002</v>
      </c>
      <c r="BJ483">
        <v>3.35</v>
      </c>
      <c r="BK483">
        <v>3.2</v>
      </c>
      <c r="BL483">
        <f>(1/Table1[[#This Row],[odds_ft_home_team_win]]+1/Table1[[#This Row],[odds_ft_draw]]+1/Table1[[#This Row],[odds_ft_away_team_win]]-1)/3</f>
        <v>2.1850972410673908E-2</v>
      </c>
      <c r="BM483">
        <v>1.28</v>
      </c>
      <c r="BN483">
        <v>1.91</v>
      </c>
      <c r="BO483">
        <v>3.3</v>
      </c>
      <c r="BP483">
        <v>6.25</v>
      </c>
      <c r="BQ483">
        <v>1.74</v>
      </c>
      <c r="BR483">
        <v>2.0499999999999998</v>
      </c>
      <c r="BS483" t="s">
        <v>136</v>
      </c>
      <c r="BT483">
        <f>VLOOKUP(Table1[[#This Row],[Reference]],metron,8,FALSE)</f>
        <v>1.6395459745305552</v>
      </c>
      <c r="BU483">
        <f>VLOOKUP(Table1[[#This Row],[Reference]],metron,9,FALSE)</f>
        <v>1.0758429359324786</v>
      </c>
      <c r="BV483">
        <f>VLOOKUP(Table1[[#This Row],[Reference]],metron,10,FALSE)</f>
        <v>2.4807646356033461</v>
      </c>
      <c r="BW483">
        <f>VLOOKUP(Table1[[#This Row],[Reference]],metron,11,FALSE)</f>
        <v>1.4140979689366791</v>
      </c>
      <c r="BX483">
        <f>VLOOKUP(Table1[[#This Row],[Reference]],metron,12,FALSE)</f>
        <v>1.0666666666666671</v>
      </c>
      <c r="BY483" s="6">
        <f>VLOOKUP(Table1[[#This Row],[Reference]],metron,13,FALSE)</f>
        <v>0.62712066905615294</v>
      </c>
      <c r="BZ483" s="6">
        <f>VLOOKUP(Table1[[#This Row],[Reference]],metron,14,FALSE)</f>
        <v>0.46009557945041818</v>
      </c>
      <c r="CA483" s="6">
        <f>VLOOKUP(Table1[[#This Row],[Reference]],metron,15,FALSE)</f>
        <v>12.56969280146722</v>
      </c>
      <c r="CB483" s="6">
        <f>VLOOKUP(Table1[[#This Row],[Reference]],metron,16,FALSE)</f>
        <v>9.8695552498853729</v>
      </c>
      <c r="CC483" s="6">
        <f>VLOOKUP(Table1[[#This Row],[Reference]],metron,17,FALSE)</f>
        <v>5.2754256787850897</v>
      </c>
      <c r="CD483" s="6">
        <f>VLOOKUP(Table1[[#This Row],[Reference]],metron,18,FALSE)</f>
        <v>4.1279337321675103</v>
      </c>
      <c r="CE483" s="6">
        <f>VLOOKUP(Table1[[#This Row],[Reference]],metron,19,FALSE)</f>
        <v>7.2942671226821298</v>
      </c>
      <c r="CF483" s="6">
        <f>VLOOKUP(Table1[[#This Row],[Reference]],metron,20,FALSE)</f>
        <v>5.7416215177178627</v>
      </c>
      <c r="CG483" s="6">
        <f>VLOOKUP(Table1[[#This Row],[Reference]],metron,21,FALSE)</f>
        <v>12.897246007868549</v>
      </c>
      <c r="CH483" s="6">
        <f>VLOOKUP(Table1[[#This Row],[Reference]],metron,22,FALSE)</f>
        <v>13.507058551261281</v>
      </c>
      <c r="CI483" s="6">
        <f>VLOOKUP(Table1[[#This Row],[Reference]],metron,23,FALSE)</f>
        <v>1.576522702104098</v>
      </c>
      <c r="CJ483" s="6">
        <f>VLOOKUP(Table1[[#This Row],[Reference]],metron,24,FALSE)</f>
        <v>1.917165005537099</v>
      </c>
      <c r="CK483" s="6">
        <f>VLOOKUP(Table1[[#This Row],[Reference]],metron,25,FALSE)</f>
        <v>8.4385382059800659E-2</v>
      </c>
      <c r="CL483" s="6">
        <f>VLOOKUP(Table1[[#This Row],[Reference]],metron,26,FALSE)</f>
        <v>0.1233665559246955</v>
      </c>
    </row>
    <row r="484" spans="1:90" hidden="1" x14ac:dyDescent="0.45">
      <c r="A484" t="s">
        <v>1346</v>
      </c>
      <c r="B484">
        <v>1604192400</v>
      </c>
      <c r="C484" s="23" t="s">
        <v>931</v>
      </c>
      <c r="D484" t="s">
        <v>65</v>
      </c>
      <c r="E484" t="s">
        <v>66</v>
      </c>
      <c r="F484" t="s">
        <v>96</v>
      </c>
      <c r="G484" t="s">
        <v>90</v>
      </c>
      <c r="H484" t="s">
        <v>158</v>
      </c>
      <c r="I484">
        <f>MROUND(Table1[[#This Row],[ProbH]]*100,2)/100</f>
        <v>0.4</v>
      </c>
      <c r="J484">
        <f>1/Table1[[#This Row],[odds_ft_home_team_win]]-Table1[[#This Row],[Margin]]</f>
        <v>0.39360447981137636</v>
      </c>
      <c r="K484">
        <f>1/Table1[[#This Row],[odds_ft_draw]]-Table1[[#This Row],[Margin]]</f>
        <v>0.28463012083701739</v>
      </c>
      <c r="L484">
        <f>1/Table1[[#This Row],[odds_ft_away_team_win]]-Table1[[#This Row],[Margin]]</f>
        <v>0.32176539935160625</v>
      </c>
      <c r="M484">
        <v>16</v>
      </c>
      <c r="N484">
        <v>2.25</v>
      </c>
      <c r="O484">
        <v>1.43</v>
      </c>
      <c r="P484">
        <v>1.65</v>
      </c>
      <c r="Q484">
        <v>1.35</v>
      </c>
      <c r="R484" s="9" t="str" cm="1">
        <f t="array" ref="R4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84">
        <v>2</v>
      </c>
      <c r="T484">
        <v>2</v>
      </c>
      <c r="U484">
        <v>4</v>
      </c>
      <c r="V484">
        <v>3</v>
      </c>
      <c r="W484">
        <v>1</v>
      </c>
      <c r="X484">
        <v>2</v>
      </c>
      <c r="Y484" t="s">
        <v>932</v>
      </c>
      <c r="Z484" t="s">
        <v>933</v>
      </c>
      <c r="AA484">
        <v>6</v>
      </c>
      <c r="AB484">
        <v>5</v>
      </c>
      <c r="AC484">
        <v>4</v>
      </c>
      <c r="AD484">
        <v>1</v>
      </c>
      <c r="AE484">
        <v>1</v>
      </c>
      <c r="AF484">
        <v>0</v>
      </c>
      <c r="AG484">
        <v>4</v>
      </c>
      <c r="AH484">
        <v>1</v>
      </c>
      <c r="AI484">
        <v>1</v>
      </c>
      <c r="AJ484">
        <v>0</v>
      </c>
      <c r="AK484">
        <v>18</v>
      </c>
      <c r="AL484">
        <v>13</v>
      </c>
      <c r="AM484">
        <v>5</v>
      </c>
      <c r="AN484">
        <v>4</v>
      </c>
      <c r="AO484">
        <v>13</v>
      </c>
      <c r="AP484">
        <v>9</v>
      </c>
      <c r="AQ484">
        <v>13</v>
      </c>
      <c r="AR484">
        <v>11</v>
      </c>
      <c r="AS484">
        <v>51</v>
      </c>
      <c r="AT484">
        <v>49</v>
      </c>
      <c r="AU484">
        <v>1.82</v>
      </c>
      <c r="AV484">
        <v>1.29</v>
      </c>
      <c r="AW484">
        <v>2.37</v>
      </c>
      <c r="AX484">
        <v>46</v>
      </c>
      <c r="AY484">
        <v>73</v>
      </c>
      <c r="AZ484">
        <v>40</v>
      </c>
      <c r="BA484">
        <v>20</v>
      </c>
      <c r="BB484">
        <v>13</v>
      </c>
      <c r="BC484">
        <v>7</v>
      </c>
      <c r="BD484">
        <v>59</v>
      </c>
      <c r="BE484">
        <v>53</v>
      </c>
      <c r="BF484">
        <v>86</v>
      </c>
      <c r="BG484">
        <v>11.99</v>
      </c>
      <c r="BH484">
        <v>5.34</v>
      </c>
      <c r="BI484">
        <v>2.4</v>
      </c>
      <c r="BJ484">
        <v>3.25</v>
      </c>
      <c r="BK484">
        <v>2.9</v>
      </c>
      <c r="BL484">
        <f>(1/Table1[[#This Row],[odds_ft_home_team_win]]+1/Table1[[#This Row],[odds_ft_draw]]+1/Table1[[#This Row],[odds_ft_away_team_win]]-1)/3</f>
        <v>2.306218685529034E-2</v>
      </c>
      <c r="BM484">
        <v>1.31</v>
      </c>
      <c r="BN484">
        <v>2</v>
      </c>
      <c r="BO484">
        <v>3.5</v>
      </c>
      <c r="BP484">
        <v>6.75</v>
      </c>
      <c r="BQ484">
        <v>1.74</v>
      </c>
      <c r="BR484">
        <v>2</v>
      </c>
      <c r="BS484" t="s">
        <v>99</v>
      </c>
      <c r="BT484">
        <f>VLOOKUP(Table1[[#This Row],[Reference]],metron,8,FALSE)</f>
        <v>1.5181603563290151</v>
      </c>
      <c r="BU484">
        <f>VLOOKUP(Table1[[#This Row],[Reference]],metron,9,FALSE)</f>
        <v>1.1952730370775513</v>
      </c>
      <c r="BV484">
        <f>VLOOKUP(Table1[[#This Row],[Reference]],metron,10,FALSE)</f>
        <v>2.4956155335383219</v>
      </c>
      <c r="BW484">
        <f>VLOOKUP(Table1[[#This Row],[Reference]],metron,11,FALSE)</f>
        <v>1.344038264434575</v>
      </c>
      <c r="BX484">
        <f>VLOOKUP(Table1[[#This Row],[Reference]],metron,12,FALSE)</f>
        <v>1.1515772691037469</v>
      </c>
      <c r="BY484" s="6">
        <f>VLOOKUP(Table1[[#This Row],[Reference]],metron,13,FALSE)</f>
        <v>0.59936225942375587</v>
      </c>
      <c r="BZ484" s="6">
        <f>VLOOKUP(Table1[[#This Row],[Reference]],metron,14,FALSE)</f>
        <v>0.50723152260562576</v>
      </c>
      <c r="CA484" s="6">
        <f>VLOOKUP(Table1[[#This Row],[Reference]],metron,15,FALSE)</f>
        <v>11.99278846153846</v>
      </c>
      <c r="CB484" s="6">
        <f>VLOOKUP(Table1[[#This Row],[Reference]],metron,16,FALSE)</f>
        <v>10.0277534965035</v>
      </c>
      <c r="CC484" s="6">
        <f>VLOOKUP(Table1[[#This Row],[Reference]],metron,17,FALSE)</f>
        <v>5.2857459543338514</v>
      </c>
      <c r="CD484" s="6">
        <f>VLOOKUP(Table1[[#This Row],[Reference]],metron,18,FALSE)</f>
        <v>4.4067834183107957</v>
      </c>
      <c r="CE484" s="6">
        <f>VLOOKUP(Table1[[#This Row],[Reference]],metron,19,FALSE)</f>
        <v>6.7070425072046085</v>
      </c>
      <c r="CF484" s="6">
        <f>VLOOKUP(Table1[[#This Row],[Reference]],metron,20,FALSE)</f>
        <v>5.6209700781927046</v>
      </c>
      <c r="CG484" s="6">
        <f>VLOOKUP(Table1[[#This Row],[Reference]],metron,21,FALSE)</f>
        <v>13.04463690872752</v>
      </c>
      <c r="CH484" s="6">
        <f>VLOOKUP(Table1[[#This Row],[Reference]],metron,22,FALSE)</f>
        <v>13.49811236953142</v>
      </c>
      <c r="CI484" s="6">
        <f>VLOOKUP(Table1[[#This Row],[Reference]],metron,23,FALSE)</f>
        <v>1.5836526181353769</v>
      </c>
      <c r="CJ484" s="6">
        <f>VLOOKUP(Table1[[#This Row],[Reference]],metron,24,FALSE)</f>
        <v>1.8744146445295871</v>
      </c>
      <c r="CK484" s="6">
        <f>VLOOKUP(Table1[[#This Row],[Reference]],metron,25,FALSE)</f>
        <v>8.5994040017028525E-2</v>
      </c>
      <c r="CL484" s="6">
        <f>VLOOKUP(Table1[[#This Row],[Reference]],metron,26,FALSE)</f>
        <v>0.13452532992762881</v>
      </c>
    </row>
    <row r="485" spans="1:90" hidden="1" x14ac:dyDescent="0.45">
      <c r="A485" t="s">
        <v>1346</v>
      </c>
      <c r="B485">
        <v>1604199960</v>
      </c>
      <c r="C485" s="23" t="s">
        <v>934</v>
      </c>
      <c r="D485" t="s">
        <v>65</v>
      </c>
      <c r="E485" t="s">
        <v>66</v>
      </c>
      <c r="F485" t="s">
        <v>101</v>
      </c>
      <c r="G485" t="s">
        <v>112</v>
      </c>
      <c r="H485" t="s">
        <v>98</v>
      </c>
      <c r="I485">
        <f>MROUND(Table1[[#This Row],[ProbH]]*100,2)/100</f>
        <v>0.32</v>
      </c>
      <c r="J485">
        <f>1/Table1[[#This Row],[odds_ft_home_team_win]]-Table1[[#This Row],[Margin]]</f>
        <v>0.32717794833323716</v>
      </c>
      <c r="K485">
        <f>1/Table1[[#This Row],[odds_ft_draw]]-Table1[[#This Row],[Margin]]</f>
        <v>0.26514320887914289</v>
      </c>
      <c r="L485">
        <f>1/Table1[[#This Row],[odds_ft_away_team_win]]-Table1[[#This Row],[Margin]]</f>
        <v>0.40767884278762001</v>
      </c>
      <c r="M485">
        <v>16</v>
      </c>
      <c r="N485">
        <v>1.71</v>
      </c>
      <c r="O485">
        <v>1.63</v>
      </c>
      <c r="P485">
        <v>1.79</v>
      </c>
      <c r="Q485">
        <v>1.77</v>
      </c>
      <c r="R485" t="str" cm="1">
        <f t="array" ref="R4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58</v>
      </c>
      <c r="AA485">
        <v>11</v>
      </c>
      <c r="AB485">
        <v>5</v>
      </c>
      <c r="AC485">
        <v>3</v>
      </c>
      <c r="AD485">
        <v>0</v>
      </c>
      <c r="AE485">
        <v>1</v>
      </c>
      <c r="AF485">
        <v>0</v>
      </c>
      <c r="AG485">
        <v>0</v>
      </c>
      <c r="AH485">
        <v>3</v>
      </c>
      <c r="AI485">
        <v>1</v>
      </c>
      <c r="AJ485">
        <v>0</v>
      </c>
      <c r="AK485">
        <v>19</v>
      </c>
      <c r="AL485">
        <v>14</v>
      </c>
      <c r="AM485">
        <v>5</v>
      </c>
      <c r="AN485">
        <v>4</v>
      </c>
      <c r="AO485">
        <v>14</v>
      </c>
      <c r="AP485">
        <v>10</v>
      </c>
      <c r="AQ485">
        <v>14</v>
      </c>
      <c r="AR485">
        <v>14</v>
      </c>
      <c r="AS485">
        <v>48</v>
      </c>
      <c r="AT485">
        <v>52</v>
      </c>
      <c r="AU485">
        <v>1.98</v>
      </c>
      <c r="AV485">
        <v>1.51</v>
      </c>
      <c r="AW485">
        <v>2.75</v>
      </c>
      <c r="AX485">
        <v>68</v>
      </c>
      <c r="AY485">
        <v>88</v>
      </c>
      <c r="AZ485">
        <v>48</v>
      </c>
      <c r="BA485">
        <v>34</v>
      </c>
      <c r="BB485">
        <v>7</v>
      </c>
      <c r="BC485">
        <v>34</v>
      </c>
      <c r="BD485">
        <v>73</v>
      </c>
      <c r="BE485">
        <v>62</v>
      </c>
      <c r="BF485">
        <v>94</v>
      </c>
      <c r="BG485">
        <v>14.02</v>
      </c>
      <c r="BH485">
        <v>4.04</v>
      </c>
      <c r="BI485">
        <v>2.6</v>
      </c>
      <c r="BJ485">
        <v>3.1</v>
      </c>
      <c r="BK485">
        <v>2.15</v>
      </c>
      <c r="BL485">
        <f>(1/Table1[[#This Row],[odds_ft_home_team_win]]+1/Table1[[#This Row],[odds_ft_draw]]+1/Table1[[#This Row],[odds_ft_away_team_win]]-1)/3</f>
        <v>5.7437436282147404E-2</v>
      </c>
      <c r="BM485">
        <v>1.28</v>
      </c>
      <c r="BN485">
        <v>1.86</v>
      </c>
      <c r="BO485">
        <v>3.2</v>
      </c>
      <c r="BP485">
        <v>5.5</v>
      </c>
      <c r="BQ485">
        <v>1.62</v>
      </c>
      <c r="BR485">
        <v>2.25</v>
      </c>
      <c r="BS485" t="s">
        <v>713</v>
      </c>
      <c r="BT485">
        <f>VLOOKUP(Table1[[#This Row],[Reference]],metron,8,FALSE)</f>
        <v>1.274681051426811</v>
      </c>
      <c r="BU485">
        <f>VLOOKUP(Table1[[#This Row],[Reference]],metron,9,FALSE)</f>
        <v>1.4392482240810365</v>
      </c>
      <c r="BV485">
        <f>VLOOKUP(Table1[[#This Row],[Reference]],metron,10,FALSE)</f>
        <v>2.5313454284174597</v>
      </c>
      <c r="BW485">
        <f>VLOOKUP(Table1[[#This Row],[Reference]],metron,11,FALSE)</f>
        <v>1.210167055864918</v>
      </c>
      <c r="BX485">
        <f>VLOOKUP(Table1[[#This Row],[Reference]],metron,12,FALSE)</f>
        <v>1.3211783725525419</v>
      </c>
      <c r="BY485" s="6">
        <f>VLOOKUP(Table1[[#This Row],[Reference]],metron,13,FALSE)</f>
        <v>0.53135669362084459</v>
      </c>
      <c r="BZ485" s="6">
        <f>VLOOKUP(Table1[[#This Row],[Reference]],metron,14,FALSE)</f>
        <v>0.55633423180592989</v>
      </c>
      <c r="CA485" s="6">
        <f>VLOOKUP(Table1[[#This Row],[Reference]],metron,15,FALSE)</f>
        <v>11.21109010712035</v>
      </c>
      <c r="CB485" s="6">
        <f>VLOOKUP(Table1[[#This Row],[Reference]],metron,16,FALSE)</f>
        <v>11.01700787401575</v>
      </c>
      <c r="CC485" s="6">
        <f>VLOOKUP(Table1[[#This Row],[Reference]],metron,17,FALSE)</f>
        <v>4.6792332268370611</v>
      </c>
      <c r="CD485" s="6">
        <f>VLOOKUP(Table1[[#This Row],[Reference]],metron,18,FALSE)</f>
        <v>4.7080804854679013</v>
      </c>
      <c r="CE485" s="6">
        <f>VLOOKUP(Table1[[#This Row],[Reference]],metron,19,FALSE)</f>
        <v>6.5318568802832893</v>
      </c>
      <c r="CF485" s="6">
        <f>VLOOKUP(Table1[[#This Row],[Reference]],metron,20,FALSE)</f>
        <v>6.3089273885478487</v>
      </c>
      <c r="CG485" s="6">
        <f>VLOOKUP(Table1[[#This Row],[Reference]],metron,21,FALSE)</f>
        <v>12.72547770700637</v>
      </c>
      <c r="CH485" s="6">
        <f>VLOOKUP(Table1[[#This Row],[Reference]],metron,22,FALSE)</f>
        <v>13.06847133757962</v>
      </c>
      <c r="CI485" s="6">
        <f>VLOOKUP(Table1[[#This Row],[Reference]],metron,23,FALSE)</f>
        <v>1.6902356902356901</v>
      </c>
      <c r="CJ485" s="6">
        <f>VLOOKUP(Table1[[#This Row],[Reference]],metron,24,FALSE)</f>
        <v>1.8050198959289869</v>
      </c>
      <c r="CK485" s="6">
        <f>VLOOKUP(Table1[[#This Row],[Reference]],metron,25,FALSE)</f>
        <v>0.105907560453015</v>
      </c>
      <c r="CL485" s="6">
        <f>VLOOKUP(Table1[[#This Row],[Reference]],metron,26,FALSE)</f>
        <v>0.1141720232629324</v>
      </c>
    </row>
    <row r="486" spans="1:90" hidden="1" x14ac:dyDescent="0.45">
      <c r="A486" t="s">
        <v>1346</v>
      </c>
      <c r="B486">
        <v>1604273400</v>
      </c>
      <c r="C486" s="23" t="s">
        <v>935</v>
      </c>
      <c r="D486" t="s">
        <v>65</v>
      </c>
      <c r="E486" t="s">
        <v>66</v>
      </c>
      <c r="F486" t="s">
        <v>68</v>
      </c>
      <c r="G486" t="s">
        <v>107</v>
      </c>
      <c r="H486" t="s">
        <v>69</v>
      </c>
      <c r="I486">
        <f>MROUND(Table1[[#This Row],[ProbH]]*100,2)/100</f>
        <v>0.34</v>
      </c>
      <c r="J486">
        <f>1/Table1[[#This Row],[odds_ft_home_team_win]]-Table1[[#This Row],[Margin]]</f>
        <v>0.3402503293807641</v>
      </c>
      <c r="K486">
        <f>1/Table1[[#This Row],[odds_ft_draw]]-Table1[[#This Row],[Margin]]</f>
        <v>0.26646903820816858</v>
      </c>
      <c r="L486">
        <f>1/Table1[[#This Row],[odds_ft_away_team_win]]-Table1[[#This Row],[Margin]]</f>
        <v>0.39328063241106714</v>
      </c>
      <c r="M486">
        <v>16</v>
      </c>
      <c r="N486">
        <v>2.13</v>
      </c>
      <c r="O486">
        <v>1.71</v>
      </c>
      <c r="P486">
        <v>2.37</v>
      </c>
      <c r="Q486">
        <v>1.47</v>
      </c>
      <c r="R486" t="str" cm="1">
        <f t="array" ref="R4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6">
        <v>3</v>
      </c>
      <c r="T486">
        <v>1</v>
      </c>
      <c r="U486">
        <v>4</v>
      </c>
      <c r="V486">
        <v>1</v>
      </c>
      <c r="W486">
        <v>1</v>
      </c>
      <c r="X486">
        <v>0</v>
      </c>
      <c r="Y486" t="s">
        <v>936</v>
      </c>
      <c r="Z486">
        <v>89</v>
      </c>
      <c r="AA486">
        <v>6</v>
      </c>
      <c r="AB486">
        <v>8</v>
      </c>
      <c r="AC486">
        <v>2</v>
      </c>
      <c r="AD486">
        <v>0</v>
      </c>
      <c r="AE486">
        <v>3</v>
      </c>
      <c r="AF486">
        <v>0</v>
      </c>
      <c r="AG486">
        <v>1</v>
      </c>
      <c r="AH486">
        <v>1</v>
      </c>
      <c r="AI486">
        <v>1</v>
      </c>
      <c r="AJ486">
        <v>2</v>
      </c>
      <c r="AK486">
        <v>10</v>
      </c>
      <c r="AL486">
        <v>11</v>
      </c>
      <c r="AM486">
        <v>6</v>
      </c>
      <c r="AN486">
        <v>3</v>
      </c>
      <c r="AO486">
        <v>4</v>
      </c>
      <c r="AP486">
        <v>8</v>
      </c>
      <c r="AQ486">
        <v>9</v>
      </c>
      <c r="AR486">
        <v>13</v>
      </c>
      <c r="AS486">
        <v>43</v>
      </c>
      <c r="AT486">
        <v>57</v>
      </c>
      <c r="AU486">
        <v>1.31</v>
      </c>
      <c r="AV486">
        <v>1.21</v>
      </c>
      <c r="AW486">
        <v>2.65</v>
      </c>
      <c r="AX486">
        <v>53</v>
      </c>
      <c r="AY486">
        <v>81</v>
      </c>
      <c r="AZ486">
        <v>46</v>
      </c>
      <c r="BA486">
        <v>39</v>
      </c>
      <c r="BB486">
        <v>7</v>
      </c>
      <c r="BC486">
        <v>40</v>
      </c>
      <c r="BD486">
        <v>66</v>
      </c>
      <c r="BE486">
        <v>47</v>
      </c>
      <c r="BF486">
        <v>81</v>
      </c>
      <c r="BG486">
        <v>8.5399999999999991</v>
      </c>
      <c r="BH486">
        <v>4.29</v>
      </c>
      <c r="BI486">
        <v>2.75</v>
      </c>
      <c r="BJ486">
        <v>3.45</v>
      </c>
      <c r="BK486">
        <v>2.4</v>
      </c>
      <c r="BL486">
        <f>(1/Table1[[#This Row],[odds_ft_home_team_win]]+1/Table1[[#This Row],[odds_ft_draw]]+1/Table1[[#This Row],[odds_ft_away_team_win]]-1)/3</f>
        <v>2.3386034255599524E-2</v>
      </c>
      <c r="BM486">
        <v>1.24</v>
      </c>
      <c r="BN486">
        <v>1.77</v>
      </c>
      <c r="BO486">
        <v>2.9</v>
      </c>
      <c r="BP486">
        <v>5.5</v>
      </c>
      <c r="BQ486">
        <v>1.62</v>
      </c>
      <c r="BR486">
        <v>2.2000000000000002</v>
      </c>
      <c r="BS486" t="s">
        <v>116</v>
      </c>
      <c r="BT486">
        <f>VLOOKUP(Table1[[#This Row],[Reference]],metron,8,FALSE)</f>
        <v>1.3382439854569812</v>
      </c>
      <c r="BU486">
        <f>VLOOKUP(Table1[[#This Row],[Reference]],metron,9,FALSE)</f>
        <v>1.3740319615582339</v>
      </c>
      <c r="BV486">
        <f>VLOOKUP(Table1[[#This Row],[Reference]],metron,10,FALSE)</f>
        <v>2.5229727551184897</v>
      </c>
      <c r="BW486">
        <f>VLOOKUP(Table1[[#This Row],[Reference]],metron,11,FALSE)</f>
        <v>1.228921489601805</v>
      </c>
      <c r="BX486">
        <f>VLOOKUP(Table1[[#This Row],[Reference]],metron,12,FALSE)</f>
        <v>1.2940512655166849</v>
      </c>
      <c r="BY486" s="6">
        <f>VLOOKUP(Table1[[#This Row],[Reference]],metron,13,FALSE)</f>
        <v>0.53240890035472432</v>
      </c>
      <c r="BZ486" s="6">
        <f>VLOOKUP(Table1[[#This Row],[Reference]],metron,14,FALSE)</f>
        <v>0.56514027732989358</v>
      </c>
      <c r="CA486" s="6">
        <f>VLOOKUP(Table1[[#This Row],[Reference]],metron,15,FALSE)</f>
        <v>11.417888124439131</v>
      </c>
      <c r="CB486" s="6">
        <f>VLOOKUP(Table1[[#This Row],[Reference]],metron,16,FALSE)</f>
        <v>10.76308704756207</v>
      </c>
      <c r="CC486" s="6">
        <f>VLOOKUP(Table1[[#This Row],[Reference]],metron,17,FALSE)</f>
        <v>4.8317672021824798</v>
      </c>
      <c r="CD486" s="6">
        <f>VLOOKUP(Table1[[#This Row],[Reference]],metron,18,FALSE)</f>
        <v>4.6698999696877843</v>
      </c>
      <c r="CE486" s="6">
        <f>VLOOKUP(Table1[[#This Row],[Reference]],metron,19,FALSE)</f>
        <v>6.5861209222566508</v>
      </c>
      <c r="CF486" s="6">
        <f>VLOOKUP(Table1[[#This Row],[Reference]],metron,20,FALSE)</f>
        <v>6.093187077874286</v>
      </c>
      <c r="CG486" s="6">
        <f>VLOOKUP(Table1[[#This Row],[Reference]],metron,21,FALSE)</f>
        <v>12.685679611650491</v>
      </c>
      <c r="CH486" s="6">
        <f>VLOOKUP(Table1[[#This Row],[Reference]],metron,22,FALSE)</f>
        <v>13.02639563106796</v>
      </c>
      <c r="CI486" s="6">
        <f>VLOOKUP(Table1[[#This Row],[Reference]],metron,23,FALSE)</f>
        <v>1.6481211768132831</v>
      </c>
      <c r="CJ486" s="6">
        <f>VLOOKUP(Table1[[#This Row],[Reference]],metron,24,FALSE)</f>
        <v>1.8572676958928049</v>
      </c>
      <c r="CK486" s="6">
        <f>VLOOKUP(Table1[[#This Row],[Reference]],metron,25,FALSE)</f>
        <v>9.641712787649287E-2</v>
      </c>
      <c r="CL486" s="6">
        <f>VLOOKUP(Table1[[#This Row],[Reference]],metron,26,FALSE)</f>
        <v>0.11302068161957469</v>
      </c>
    </row>
    <row r="487" spans="1:90" hidden="1" x14ac:dyDescent="0.45">
      <c r="A487" t="s">
        <v>1346</v>
      </c>
      <c r="B487">
        <v>1604372400</v>
      </c>
      <c r="C487" s="23" t="s">
        <v>937</v>
      </c>
      <c r="D487" t="s">
        <v>65</v>
      </c>
      <c r="E487" t="s">
        <v>66</v>
      </c>
      <c r="F487" t="s">
        <v>85</v>
      </c>
      <c r="G487" t="s">
        <v>73</v>
      </c>
      <c r="H487" t="s">
        <v>103</v>
      </c>
      <c r="I487">
        <f>MROUND(Table1[[#This Row],[ProbH]]*100,2)/100</f>
        <v>0.46</v>
      </c>
      <c r="J487">
        <f>1/Table1[[#This Row],[odds_ft_home_team_win]]-Table1[[#This Row],[Margin]]</f>
        <v>0.46525927444148391</v>
      </c>
      <c r="K487">
        <f>1/Table1[[#This Row],[odds_ft_draw]]-Table1[[#This Row],[Margin]]</f>
        <v>0.26316868210698907</v>
      </c>
      <c r="L487">
        <f>1/Table1[[#This Row],[odds_ft_away_team_win]]-Table1[[#This Row],[Margin]]</f>
        <v>0.27157204345152691</v>
      </c>
      <c r="M487">
        <v>16</v>
      </c>
      <c r="N487">
        <v>2.71</v>
      </c>
      <c r="O487">
        <v>1</v>
      </c>
      <c r="P487">
        <v>2.29</v>
      </c>
      <c r="Q487">
        <v>0.8</v>
      </c>
      <c r="R487" t="str" cm="1">
        <f t="array" ref="R4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7">
        <v>2</v>
      </c>
      <c r="T487">
        <v>1</v>
      </c>
      <c r="U487">
        <v>3</v>
      </c>
      <c r="V487">
        <v>1</v>
      </c>
      <c r="W487">
        <v>0</v>
      </c>
      <c r="X487">
        <v>1</v>
      </c>
      <c r="Y487" t="s">
        <v>938</v>
      </c>
      <c r="Z487">
        <v>41</v>
      </c>
      <c r="AA487">
        <v>1</v>
      </c>
      <c r="AB487">
        <v>6</v>
      </c>
      <c r="AC487">
        <v>2</v>
      </c>
      <c r="AD487">
        <v>0</v>
      </c>
      <c r="AE487">
        <v>5</v>
      </c>
      <c r="AF487">
        <v>0</v>
      </c>
      <c r="AG487">
        <v>2</v>
      </c>
      <c r="AH487">
        <v>0</v>
      </c>
      <c r="AI487">
        <v>3</v>
      </c>
      <c r="AJ487">
        <v>2</v>
      </c>
      <c r="AK487">
        <v>11</v>
      </c>
      <c r="AL487">
        <v>24</v>
      </c>
      <c r="AM487">
        <v>4</v>
      </c>
      <c r="AN487">
        <v>7</v>
      </c>
      <c r="AO487">
        <v>7</v>
      </c>
      <c r="AP487">
        <v>17</v>
      </c>
      <c r="AQ487">
        <v>10</v>
      </c>
      <c r="AR487">
        <v>15</v>
      </c>
      <c r="AS487">
        <v>61</v>
      </c>
      <c r="AT487">
        <v>39</v>
      </c>
      <c r="AU487">
        <v>1.33</v>
      </c>
      <c r="AV487">
        <v>2.42</v>
      </c>
      <c r="AW487">
        <v>2.73</v>
      </c>
      <c r="AX487">
        <v>67</v>
      </c>
      <c r="AY487">
        <v>93</v>
      </c>
      <c r="AZ487">
        <v>54</v>
      </c>
      <c r="BA487">
        <v>20</v>
      </c>
      <c r="BB487">
        <v>7</v>
      </c>
      <c r="BC487">
        <v>34</v>
      </c>
      <c r="BD487">
        <v>80</v>
      </c>
      <c r="BE487">
        <v>40</v>
      </c>
      <c r="BF487">
        <v>87</v>
      </c>
      <c r="BG487">
        <v>8.52</v>
      </c>
      <c r="BH487">
        <v>2.67</v>
      </c>
      <c r="BI487">
        <v>2.0499999999999998</v>
      </c>
      <c r="BJ487">
        <v>3.5</v>
      </c>
      <c r="BK487">
        <v>3.4</v>
      </c>
      <c r="BL487">
        <f>(1/Table1[[#This Row],[odds_ft_home_team_win]]+1/Table1[[#This Row],[odds_ft_draw]]+1/Table1[[#This Row],[odds_ft_away_team_win]]-1)/3</f>
        <v>2.2545603607296627E-2</v>
      </c>
      <c r="BM487">
        <v>1.2</v>
      </c>
      <c r="BN487">
        <v>1.59</v>
      </c>
      <c r="BO487">
        <v>2.65</v>
      </c>
      <c r="BP487">
        <v>4.75</v>
      </c>
      <c r="BQ487">
        <v>1.56</v>
      </c>
      <c r="BR487">
        <v>2.35</v>
      </c>
      <c r="BS487" t="s">
        <v>128</v>
      </c>
      <c r="BT487">
        <f>VLOOKUP(Table1[[#This Row],[Reference]],metron,8,FALSE)</f>
        <v>1.6955772349985931</v>
      </c>
      <c r="BU487">
        <f>VLOOKUP(Table1[[#This Row],[Reference]],metron,9,FALSE)</f>
        <v>1.0239029519551039</v>
      </c>
      <c r="BV487">
        <f>VLOOKUP(Table1[[#This Row],[Reference]],metron,10,FALSE)</f>
        <v>2.5405629139072849</v>
      </c>
      <c r="BW487">
        <f>VLOOKUP(Table1[[#This Row],[Reference]],metron,11,FALSE)</f>
        <v>1.4888836329233679</v>
      </c>
      <c r="BX487">
        <f>VLOOKUP(Table1[[#This Row],[Reference]],metron,12,FALSE)</f>
        <v>1.0516792809839171</v>
      </c>
      <c r="BY487" s="6">
        <f>VLOOKUP(Table1[[#This Row],[Reference]],metron,13,FALSE)</f>
        <v>0.64581362346263005</v>
      </c>
      <c r="BZ487" s="6">
        <f>VLOOKUP(Table1[[#This Row],[Reference]],metron,14,FALSE)</f>
        <v>0.45364238410596031</v>
      </c>
      <c r="CA487" s="6">
        <f>VLOOKUP(Table1[[#This Row],[Reference]],metron,15,FALSE)</f>
        <v>12.686892177589851</v>
      </c>
      <c r="CB487" s="6">
        <f>VLOOKUP(Table1[[#This Row],[Reference]],metron,16,FALSE)</f>
        <v>9.8059196617336148</v>
      </c>
      <c r="CC487" s="6">
        <f>VLOOKUP(Table1[[#This Row],[Reference]],metron,17,FALSE)</f>
        <v>5.3198121263877027</v>
      </c>
      <c r="CD487" s="6">
        <f>VLOOKUP(Table1[[#This Row],[Reference]],metron,18,FALSE)</f>
        <v>4.0954312553373189</v>
      </c>
      <c r="CE487" s="6">
        <f>VLOOKUP(Table1[[#This Row],[Reference]],metron,19,FALSE)</f>
        <v>7.3670800512021479</v>
      </c>
      <c r="CF487" s="6">
        <f>VLOOKUP(Table1[[#This Row],[Reference]],metron,20,FALSE)</f>
        <v>5.710488406396296</v>
      </c>
      <c r="CG487" s="6">
        <f>VLOOKUP(Table1[[#This Row],[Reference]],metron,21,FALSE)</f>
        <v>13.0488908033599</v>
      </c>
      <c r="CH487" s="6">
        <f>VLOOKUP(Table1[[#This Row],[Reference]],metron,22,FALSE)</f>
        <v>13.714839543398661</v>
      </c>
      <c r="CI487" s="6">
        <f>VLOOKUP(Table1[[#This Row],[Reference]],metron,23,FALSE)</f>
        <v>1.567523459812322</v>
      </c>
      <c r="CJ487" s="6">
        <f>VLOOKUP(Table1[[#This Row],[Reference]],metron,24,FALSE)</f>
        <v>1.951040391676867</v>
      </c>
      <c r="CK487" s="6">
        <f>VLOOKUP(Table1[[#This Row],[Reference]],metron,25,FALSE)</f>
        <v>8.3027335781313744E-2</v>
      </c>
      <c r="CL487" s="6">
        <f>VLOOKUP(Table1[[#This Row],[Reference]],metron,26,FALSE)</f>
        <v>0.13117095063239501</v>
      </c>
    </row>
    <row r="488" spans="1:90" hidden="1" x14ac:dyDescent="0.45">
      <c r="A488" t="s">
        <v>1346</v>
      </c>
      <c r="B488">
        <v>1604712600</v>
      </c>
      <c r="C488" s="23" t="s">
        <v>939</v>
      </c>
      <c r="D488" t="s">
        <v>65</v>
      </c>
      <c r="E488" t="s">
        <v>66</v>
      </c>
      <c r="F488" t="s">
        <v>102</v>
      </c>
      <c r="G488" t="s">
        <v>91</v>
      </c>
      <c r="H488" t="s">
        <v>69</v>
      </c>
      <c r="I488">
        <f>MROUND(Table1[[#This Row],[ProbH]]*100,2)/100</f>
        <v>0.56000000000000005</v>
      </c>
      <c r="J488">
        <f>1/Table1[[#This Row],[odds_ft_home_team_win]]-Table1[[#This Row],[Margin]]</f>
        <v>0.55052992984027471</v>
      </c>
      <c r="K488">
        <f>1/Table1[[#This Row],[odds_ft_draw]]-Table1[[#This Row],[Margin]]</f>
        <v>0.23555754590237352</v>
      </c>
      <c r="L488">
        <f>1/Table1[[#This Row],[odds_ft_away_team_win]]-Table1[[#This Row],[Margin]]</f>
        <v>0.21391252425735188</v>
      </c>
      <c r="M488">
        <v>17</v>
      </c>
      <c r="N488">
        <v>0.71</v>
      </c>
      <c r="O488">
        <v>0.43</v>
      </c>
      <c r="P488">
        <v>1.5</v>
      </c>
      <c r="Q488">
        <v>0.35</v>
      </c>
      <c r="R488" t="str" cm="1">
        <f t="array" ref="R4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26</v>
      </c>
      <c r="AA488">
        <v>6</v>
      </c>
      <c r="AB488">
        <v>4</v>
      </c>
      <c r="AC488">
        <v>3</v>
      </c>
      <c r="AD488">
        <v>0</v>
      </c>
      <c r="AE488">
        <v>0</v>
      </c>
      <c r="AF488">
        <v>0</v>
      </c>
      <c r="AG488">
        <v>1</v>
      </c>
      <c r="AH488">
        <v>2</v>
      </c>
      <c r="AI488">
        <v>0</v>
      </c>
      <c r="AJ488">
        <v>0</v>
      </c>
      <c r="AK488">
        <v>7</v>
      </c>
      <c r="AL488">
        <v>10</v>
      </c>
      <c r="AM488">
        <v>3</v>
      </c>
      <c r="AN488">
        <v>0</v>
      </c>
      <c r="AO488">
        <v>4</v>
      </c>
      <c r="AP488">
        <v>10</v>
      </c>
      <c r="AQ488">
        <v>17</v>
      </c>
      <c r="AR488">
        <v>9</v>
      </c>
      <c r="AS488">
        <v>43</v>
      </c>
      <c r="AT488">
        <v>57</v>
      </c>
      <c r="AU488">
        <v>0.93</v>
      </c>
      <c r="AV488">
        <v>1.01</v>
      </c>
      <c r="AW488">
        <v>3.36</v>
      </c>
      <c r="AX488">
        <v>64</v>
      </c>
      <c r="AY488">
        <v>93</v>
      </c>
      <c r="AZ488">
        <v>72</v>
      </c>
      <c r="BA488">
        <v>36</v>
      </c>
      <c r="BB488">
        <v>29</v>
      </c>
      <c r="BC488">
        <v>50</v>
      </c>
      <c r="BD488">
        <v>64</v>
      </c>
      <c r="BE488">
        <v>71</v>
      </c>
      <c r="BF488">
        <v>93</v>
      </c>
      <c r="BG488">
        <v>9.86</v>
      </c>
      <c r="BH488">
        <v>4.71</v>
      </c>
      <c r="BI488">
        <v>1.74</v>
      </c>
      <c r="BJ488">
        <v>3.85</v>
      </c>
      <c r="BK488">
        <v>4.2</v>
      </c>
      <c r="BL488">
        <f>(1/Table1[[#This Row],[odds_ft_home_team_win]]+1/Table1[[#This Row],[odds_ft_draw]]+1/Table1[[#This Row],[odds_ft_away_team_win]]-1)/3</f>
        <v>2.418271383788621E-2</v>
      </c>
      <c r="BM488">
        <v>1.2</v>
      </c>
      <c r="BN488">
        <v>1.65</v>
      </c>
      <c r="BO488">
        <v>2.65</v>
      </c>
      <c r="BP488">
        <v>4.7</v>
      </c>
      <c r="BQ488">
        <v>1.61</v>
      </c>
      <c r="BR488">
        <v>2.25</v>
      </c>
      <c r="BS488" t="s">
        <v>124</v>
      </c>
      <c r="BT488">
        <f>VLOOKUP(Table1[[#This Row],[Reference]],metron,8,FALSE)</f>
        <v>1.9673156855724254</v>
      </c>
      <c r="BU488">
        <f>VLOOKUP(Table1[[#This Row],[Reference]],metron,9,FALSE)</f>
        <v>0.77729484582409181</v>
      </c>
      <c r="BV488">
        <f>VLOOKUP(Table1[[#This Row],[Reference]],metron,10,FALSE)</f>
        <v>2.6892488954344627</v>
      </c>
      <c r="BW488">
        <f>VLOOKUP(Table1[[#This Row],[Reference]],metron,11,FALSE)</f>
        <v>1.7546812539448771</v>
      </c>
      <c r="BX488">
        <f>VLOOKUP(Table1[[#This Row],[Reference]],metron,12,FALSE)</f>
        <v>0.93456764148958549</v>
      </c>
      <c r="BY488" s="6">
        <f>VLOOKUP(Table1[[#This Row],[Reference]],metron,13,FALSE)</f>
        <v>0.77824531874605507</v>
      </c>
      <c r="BZ488" s="6">
        <f>VLOOKUP(Table1[[#This Row],[Reference]],metron,14,FALSE)</f>
        <v>0.41237113402061848</v>
      </c>
      <c r="CA488" s="6">
        <f>VLOOKUP(Table1[[#This Row],[Reference]],metron,15,FALSE)</f>
        <v>13.77153558052435</v>
      </c>
      <c r="CB488" s="6">
        <f>VLOOKUP(Table1[[#This Row],[Reference]],metron,16,FALSE)</f>
        <v>9.0445692883895124</v>
      </c>
      <c r="CC488" s="6">
        <f>VLOOKUP(Table1[[#This Row],[Reference]],metron,17,FALSE)</f>
        <v>6.0821292775665396</v>
      </c>
      <c r="CD488" s="6">
        <f>VLOOKUP(Table1[[#This Row],[Reference]],metron,18,FALSE)</f>
        <v>3.8201520912547529</v>
      </c>
      <c r="CE488" s="6">
        <f>VLOOKUP(Table1[[#This Row],[Reference]],metron,19,FALSE)</f>
        <v>7.6894063029578108</v>
      </c>
      <c r="CF488" s="6">
        <f>VLOOKUP(Table1[[#This Row],[Reference]],metron,20,FALSE)</f>
        <v>5.224417197134759</v>
      </c>
      <c r="CG488" s="6">
        <f>VLOOKUP(Table1[[#This Row],[Reference]],metron,21,FALSE)</f>
        <v>12.297605473204101</v>
      </c>
      <c r="CH488" s="6">
        <f>VLOOKUP(Table1[[#This Row],[Reference]],metron,22,FALSE)</f>
        <v>13.310908399847969</v>
      </c>
      <c r="CI488" s="6">
        <f>VLOOKUP(Table1[[#This Row],[Reference]],metron,23,FALSE)</f>
        <v>1.3713126843657819</v>
      </c>
      <c r="CJ488" s="6">
        <f>VLOOKUP(Table1[[#This Row],[Reference]],metron,24,FALSE)</f>
        <v>1.9516961651917399</v>
      </c>
      <c r="CK488" s="6">
        <f>VLOOKUP(Table1[[#This Row],[Reference]],metron,25,FALSE)</f>
        <v>6.6002949852507375E-2</v>
      </c>
      <c r="CL488" s="6">
        <f>VLOOKUP(Table1[[#This Row],[Reference]],metron,26,FALSE)</f>
        <v>0.1297935103244838</v>
      </c>
    </row>
    <row r="489" spans="1:90" hidden="1" x14ac:dyDescent="0.45">
      <c r="A489" t="s">
        <v>1346</v>
      </c>
      <c r="B489">
        <v>1604719800</v>
      </c>
      <c r="C489" s="23" t="s">
        <v>940</v>
      </c>
      <c r="D489" t="s">
        <v>65</v>
      </c>
      <c r="E489" t="s">
        <v>66</v>
      </c>
      <c r="F489" t="s">
        <v>78</v>
      </c>
      <c r="G489" t="s">
        <v>68</v>
      </c>
      <c r="H489" t="s">
        <v>103</v>
      </c>
      <c r="I489">
        <f>MROUND(Table1[[#This Row],[ProbH]]*100,2)/100</f>
        <v>0.3</v>
      </c>
      <c r="J489">
        <f>1/Table1[[#This Row],[odds_ft_home_team_win]]-Table1[[#This Row],[Margin]]</f>
        <v>0.29883272957276752</v>
      </c>
      <c r="K489">
        <f>1/Table1[[#This Row],[odds_ft_draw]]-Table1[[#This Row],[Margin]]</f>
        <v>0.27036973147030074</v>
      </c>
      <c r="L489">
        <f>1/Table1[[#This Row],[odds_ft_away_team_win]]-Table1[[#This Row],[Margin]]</f>
        <v>0.43079753895693174</v>
      </c>
      <c r="M489">
        <v>17</v>
      </c>
      <c r="N489">
        <v>1.5</v>
      </c>
      <c r="O489">
        <v>1.57</v>
      </c>
      <c r="P489">
        <v>1.41</v>
      </c>
      <c r="Q489">
        <v>1.63</v>
      </c>
      <c r="R489" t="str" cm="1">
        <f t="array" ref="R4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0</v>
      </c>
      <c r="Y489">
        <v>9</v>
      </c>
      <c r="Z489">
        <v>86</v>
      </c>
      <c r="AA489">
        <v>4</v>
      </c>
      <c r="AB489">
        <v>4</v>
      </c>
      <c r="AC489">
        <v>2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15</v>
      </c>
      <c r="AL489">
        <v>11</v>
      </c>
      <c r="AM489">
        <v>4</v>
      </c>
      <c r="AN489">
        <v>4</v>
      </c>
      <c r="AO489">
        <v>11</v>
      </c>
      <c r="AP489">
        <v>7</v>
      </c>
      <c r="AQ489">
        <v>16</v>
      </c>
      <c r="AR489">
        <v>14</v>
      </c>
      <c r="AS489">
        <v>45</v>
      </c>
      <c r="AT489">
        <v>55</v>
      </c>
      <c r="AU489">
        <v>1.52</v>
      </c>
      <c r="AV489">
        <v>1.28</v>
      </c>
      <c r="AW489">
        <v>2.27</v>
      </c>
      <c r="AX489">
        <v>56</v>
      </c>
      <c r="AY489">
        <v>62</v>
      </c>
      <c r="AZ489">
        <v>36</v>
      </c>
      <c r="BA489">
        <v>22</v>
      </c>
      <c r="BB489">
        <v>22</v>
      </c>
      <c r="BC489">
        <v>22</v>
      </c>
      <c r="BD489">
        <v>55</v>
      </c>
      <c r="BE489">
        <v>34</v>
      </c>
      <c r="BF489">
        <v>75</v>
      </c>
      <c r="BG489">
        <v>10.81</v>
      </c>
      <c r="BH489">
        <v>3.96</v>
      </c>
      <c r="BI489">
        <v>3.1</v>
      </c>
      <c r="BJ489">
        <v>3.4</v>
      </c>
      <c r="BK489">
        <v>2.2000000000000002</v>
      </c>
      <c r="BL489">
        <f>(1/Table1[[#This Row],[odds_ft_home_team_win]]+1/Table1[[#This Row],[odds_ft_draw]]+1/Table1[[#This Row],[odds_ft_away_team_win]]-1)/3</f>
        <v>2.3747915588522812E-2</v>
      </c>
      <c r="BM489">
        <v>1.24</v>
      </c>
      <c r="BN489">
        <v>1.77</v>
      </c>
      <c r="BO489">
        <v>2.9</v>
      </c>
      <c r="BP489">
        <v>5.5</v>
      </c>
      <c r="BQ489">
        <v>1.62</v>
      </c>
      <c r="BR489">
        <v>2.2000000000000002</v>
      </c>
      <c r="BS489" t="s">
        <v>82</v>
      </c>
      <c r="BT489">
        <f>VLOOKUP(Table1[[#This Row],[Reference]],metron,8,FALSE)</f>
        <v>1.2142445227270171</v>
      </c>
      <c r="BU489">
        <f>VLOOKUP(Table1[[#This Row],[Reference]],metron,9,FALSE)</f>
        <v>1.4993969533036628</v>
      </c>
      <c r="BV489">
        <f>VLOOKUP(Table1[[#This Row],[Reference]],metron,10,FALSE)</f>
        <v>2.5726407816919519</v>
      </c>
      <c r="BW489">
        <f>VLOOKUP(Table1[[#This Row],[Reference]],metron,11,FALSE)</f>
        <v>1.1805091283106199</v>
      </c>
      <c r="BX489">
        <f>VLOOKUP(Table1[[#This Row],[Reference]],metron,12,FALSE)</f>
        <v>1.3921316533813319</v>
      </c>
      <c r="BY489" s="6">
        <f>VLOOKUP(Table1[[#This Row],[Reference]],metron,13,FALSE)</f>
        <v>0.5209673269873939</v>
      </c>
      <c r="BZ489" s="6">
        <f>VLOOKUP(Table1[[#This Row],[Reference]],metron,14,FALSE)</f>
        <v>0.61847182917417032</v>
      </c>
      <c r="CA489" s="6">
        <f>VLOOKUP(Table1[[#This Row],[Reference]],metron,15,FALSE)</f>
        <v>11.149200710479571</v>
      </c>
      <c r="CB489" s="6">
        <f>VLOOKUP(Table1[[#This Row],[Reference]],metron,16,FALSE)</f>
        <v>11.444049733570161</v>
      </c>
      <c r="CC489" s="6">
        <f>VLOOKUP(Table1[[#This Row],[Reference]],metron,17,FALSE)</f>
        <v>4.5257270693512304</v>
      </c>
      <c r="CD489" s="6">
        <f>VLOOKUP(Table1[[#This Row],[Reference]],metron,18,FALSE)</f>
        <v>4.8465324384787474</v>
      </c>
      <c r="CE489" s="6">
        <f>VLOOKUP(Table1[[#This Row],[Reference]],metron,19,FALSE)</f>
        <v>6.6234736411283404</v>
      </c>
      <c r="CF489" s="6">
        <f>VLOOKUP(Table1[[#This Row],[Reference]],metron,20,FALSE)</f>
        <v>6.5975172950914134</v>
      </c>
      <c r="CG489" s="6">
        <f>VLOOKUP(Table1[[#This Row],[Reference]],metron,21,FALSE)</f>
        <v>12.90081154192967</v>
      </c>
      <c r="CH489" s="6">
        <f>VLOOKUP(Table1[[#This Row],[Reference]],metron,22,FALSE)</f>
        <v>13.00360685302074</v>
      </c>
      <c r="CI489" s="6">
        <f>VLOOKUP(Table1[[#This Row],[Reference]],metron,23,FALSE)</f>
        <v>1.7502145922746779</v>
      </c>
      <c r="CJ489" s="6">
        <f>VLOOKUP(Table1[[#This Row],[Reference]],metron,24,FALSE)</f>
        <v>1.831402831402831</v>
      </c>
      <c r="CK489" s="6">
        <f>VLOOKUP(Table1[[#This Row],[Reference]],metron,25,FALSE)</f>
        <v>9.6525096525096526E-2</v>
      </c>
      <c r="CL489" s="6">
        <f>VLOOKUP(Table1[[#This Row],[Reference]],metron,26,FALSE)</f>
        <v>0.1244101244101244</v>
      </c>
    </row>
    <row r="490" spans="1:90" hidden="1" x14ac:dyDescent="0.45">
      <c r="A490" t="s">
        <v>1346</v>
      </c>
      <c r="B490">
        <v>1604790000</v>
      </c>
      <c r="C490" s="23" t="s">
        <v>941</v>
      </c>
      <c r="D490" t="s">
        <v>65</v>
      </c>
      <c r="E490" t="s">
        <v>66</v>
      </c>
      <c r="F490" t="s">
        <v>90</v>
      </c>
      <c r="G490" t="s">
        <v>101</v>
      </c>
      <c r="H490" t="s">
        <v>130</v>
      </c>
      <c r="I490">
        <f>MROUND(Table1[[#This Row],[ProbH]]*100,2)/100</f>
        <v>0.34</v>
      </c>
      <c r="J490">
        <f>1/Table1[[#This Row],[odds_ft_home_team_win]]-Table1[[#This Row],[Margin]]</f>
        <v>0.3301869392094956</v>
      </c>
      <c r="K490">
        <f>1/Table1[[#This Row],[odds_ft_draw]]-Table1[[#This Row],[Margin]]</f>
        <v>0.28234004925734252</v>
      </c>
      <c r="L490">
        <f>1/Table1[[#This Row],[odds_ft_away_team_win]]-Table1[[#This Row],[Margin]]</f>
        <v>0.38747301153316188</v>
      </c>
      <c r="M490">
        <v>17</v>
      </c>
      <c r="N490">
        <v>1.5</v>
      </c>
      <c r="O490">
        <v>1.75</v>
      </c>
      <c r="P490">
        <v>1.6</v>
      </c>
      <c r="Q490">
        <v>1.39</v>
      </c>
      <c r="R490" t="str" cm="1">
        <f t="array" ref="R4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0">
        <v>3</v>
      </c>
      <c r="T490">
        <v>1</v>
      </c>
      <c r="U490">
        <v>4</v>
      </c>
      <c r="V490">
        <v>1</v>
      </c>
      <c r="W490">
        <v>0</v>
      </c>
      <c r="X490">
        <v>1</v>
      </c>
      <c r="Y490" t="s">
        <v>942</v>
      </c>
      <c r="Z490">
        <v>36</v>
      </c>
      <c r="AA490">
        <v>2</v>
      </c>
      <c r="AB490">
        <v>2</v>
      </c>
      <c r="AC490">
        <v>1</v>
      </c>
      <c r="AD490">
        <v>0</v>
      </c>
      <c r="AE490">
        <v>2</v>
      </c>
      <c r="AF490">
        <v>0</v>
      </c>
      <c r="AG490">
        <v>0</v>
      </c>
      <c r="AH490">
        <v>1</v>
      </c>
      <c r="AI490">
        <v>0</v>
      </c>
      <c r="AJ490">
        <v>2</v>
      </c>
      <c r="AK490">
        <v>9</v>
      </c>
      <c r="AL490">
        <v>8</v>
      </c>
      <c r="AM490">
        <v>4</v>
      </c>
      <c r="AN490">
        <v>3</v>
      </c>
      <c r="AO490">
        <v>5</v>
      </c>
      <c r="AP490">
        <v>5</v>
      </c>
      <c r="AQ490">
        <v>18</v>
      </c>
      <c r="AR490">
        <v>11</v>
      </c>
      <c r="AS490">
        <v>67</v>
      </c>
      <c r="AT490">
        <v>33</v>
      </c>
      <c r="AU490">
        <v>1.29</v>
      </c>
      <c r="AV490">
        <v>1</v>
      </c>
      <c r="AW490">
        <v>2.3199999999999998</v>
      </c>
      <c r="AX490">
        <v>69</v>
      </c>
      <c r="AY490">
        <v>76</v>
      </c>
      <c r="AZ490">
        <v>51</v>
      </c>
      <c r="BA490">
        <v>13</v>
      </c>
      <c r="BB490">
        <v>7</v>
      </c>
      <c r="BC490">
        <v>38</v>
      </c>
      <c r="BD490">
        <v>63</v>
      </c>
      <c r="BE490">
        <v>25</v>
      </c>
      <c r="BF490">
        <v>76</v>
      </c>
      <c r="BG490">
        <v>7.63</v>
      </c>
      <c r="BH490">
        <v>4.13</v>
      </c>
      <c r="BI490">
        <v>2.85</v>
      </c>
      <c r="BJ490">
        <v>3.3</v>
      </c>
      <c r="BK490">
        <v>2.4500000000000002</v>
      </c>
      <c r="BL490">
        <f>(1/Table1[[#This Row],[odds_ft_home_team_win]]+1/Table1[[#This Row],[odds_ft_draw]]+1/Table1[[#This Row],[odds_ft_away_team_win]]-1)/3</f>
        <v>2.0690253772960521E-2</v>
      </c>
      <c r="BM490">
        <v>1.25</v>
      </c>
      <c r="BN490">
        <v>1.83</v>
      </c>
      <c r="BO490">
        <v>3.05</v>
      </c>
      <c r="BP490">
        <v>5.75</v>
      </c>
      <c r="BQ490">
        <v>1.67</v>
      </c>
      <c r="BR490">
        <v>2.15</v>
      </c>
      <c r="BS490" t="s">
        <v>94</v>
      </c>
      <c r="BT490">
        <f>VLOOKUP(Table1[[#This Row],[Reference]],metron,8,FALSE)</f>
        <v>1.3382439854569812</v>
      </c>
      <c r="BU490">
        <f>VLOOKUP(Table1[[#This Row],[Reference]],metron,9,FALSE)</f>
        <v>1.3740319615582339</v>
      </c>
      <c r="BV490">
        <f>VLOOKUP(Table1[[#This Row],[Reference]],metron,10,FALSE)</f>
        <v>2.5229727551184897</v>
      </c>
      <c r="BW490">
        <f>VLOOKUP(Table1[[#This Row],[Reference]],metron,11,FALSE)</f>
        <v>1.228921489601805</v>
      </c>
      <c r="BX490">
        <f>VLOOKUP(Table1[[#This Row],[Reference]],metron,12,FALSE)</f>
        <v>1.2940512655166849</v>
      </c>
      <c r="BY490" s="6">
        <f>VLOOKUP(Table1[[#This Row],[Reference]],metron,13,FALSE)</f>
        <v>0.53240890035472432</v>
      </c>
      <c r="BZ490" s="6">
        <f>VLOOKUP(Table1[[#This Row],[Reference]],metron,14,FALSE)</f>
        <v>0.56514027732989358</v>
      </c>
      <c r="CA490" s="6">
        <f>VLOOKUP(Table1[[#This Row],[Reference]],metron,15,FALSE)</f>
        <v>11.417888124439131</v>
      </c>
      <c r="CB490" s="6">
        <f>VLOOKUP(Table1[[#This Row],[Reference]],metron,16,FALSE)</f>
        <v>10.76308704756207</v>
      </c>
      <c r="CC490" s="6">
        <f>VLOOKUP(Table1[[#This Row],[Reference]],metron,17,FALSE)</f>
        <v>4.8317672021824798</v>
      </c>
      <c r="CD490" s="6">
        <f>VLOOKUP(Table1[[#This Row],[Reference]],metron,18,FALSE)</f>
        <v>4.6698999696877843</v>
      </c>
      <c r="CE490" s="6">
        <f>VLOOKUP(Table1[[#This Row],[Reference]],metron,19,FALSE)</f>
        <v>6.5861209222566508</v>
      </c>
      <c r="CF490" s="6">
        <f>VLOOKUP(Table1[[#This Row],[Reference]],metron,20,FALSE)</f>
        <v>6.093187077874286</v>
      </c>
      <c r="CG490" s="6">
        <f>VLOOKUP(Table1[[#This Row],[Reference]],metron,21,FALSE)</f>
        <v>12.685679611650491</v>
      </c>
      <c r="CH490" s="6">
        <f>VLOOKUP(Table1[[#This Row],[Reference]],metron,22,FALSE)</f>
        <v>13.02639563106796</v>
      </c>
      <c r="CI490" s="6">
        <f>VLOOKUP(Table1[[#This Row],[Reference]],metron,23,FALSE)</f>
        <v>1.6481211768132831</v>
      </c>
      <c r="CJ490" s="6">
        <f>VLOOKUP(Table1[[#This Row],[Reference]],metron,24,FALSE)</f>
        <v>1.8572676958928049</v>
      </c>
      <c r="CK490" s="6">
        <f>VLOOKUP(Table1[[#This Row],[Reference]],metron,25,FALSE)</f>
        <v>9.641712787649287E-2</v>
      </c>
      <c r="CL490" s="6">
        <f>VLOOKUP(Table1[[#This Row],[Reference]],metron,26,FALSE)</f>
        <v>0.11302068161957469</v>
      </c>
    </row>
    <row r="491" spans="1:90" hidden="1" x14ac:dyDescent="0.45">
      <c r="A491" t="s">
        <v>1346</v>
      </c>
      <c r="B491">
        <v>1604790000</v>
      </c>
      <c r="C491" s="23" t="s">
        <v>941</v>
      </c>
      <c r="D491" t="s">
        <v>65</v>
      </c>
      <c r="E491" t="s">
        <v>66</v>
      </c>
      <c r="F491" t="s">
        <v>84</v>
      </c>
      <c r="G491" t="s">
        <v>72</v>
      </c>
      <c r="H491" t="s">
        <v>92</v>
      </c>
      <c r="I491">
        <f>MROUND(Table1[[#This Row],[ProbH]]*100,2)/100</f>
        <v>0.32</v>
      </c>
      <c r="J491">
        <f>1/Table1[[#This Row],[odds_ft_home_team_win]]-Table1[[#This Row],[Margin]]</f>
        <v>0.31720775250672539</v>
      </c>
      <c r="K491">
        <f>1/Table1[[#This Row],[odds_ft_draw]]-Table1[[#This Row],[Margin]]</f>
        <v>0.28488016629982882</v>
      </c>
      <c r="L491">
        <f>1/Table1[[#This Row],[odds_ft_away_team_win]]-Table1[[#This Row],[Margin]]</f>
        <v>0.39791208119344584</v>
      </c>
      <c r="M491">
        <v>17</v>
      </c>
      <c r="N491">
        <v>1.5</v>
      </c>
      <c r="O491">
        <v>1.1399999999999999</v>
      </c>
      <c r="P491">
        <v>1.43</v>
      </c>
      <c r="Q491">
        <v>0.72</v>
      </c>
      <c r="R491" t="str" cm="1">
        <f t="array" ref="R4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Z491" t="s">
        <v>650</v>
      </c>
      <c r="AA491">
        <v>2</v>
      </c>
      <c r="AB491">
        <v>4</v>
      </c>
      <c r="AC491">
        <v>3</v>
      </c>
      <c r="AD491">
        <v>0</v>
      </c>
      <c r="AE491">
        <v>2</v>
      </c>
      <c r="AF491">
        <v>0</v>
      </c>
      <c r="AG491">
        <v>2</v>
      </c>
      <c r="AH491">
        <v>1</v>
      </c>
      <c r="AI491">
        <v>0</v>
      </c>
      <c r="AJ491">
        <v>2</v>
      </c>
      <c r="AK491">
        <v>9</v>
      </c>
      <c r="AL491">
        <v>12</v>
      </c>
      <c r="AM491">
        <v>3</v>
      </c>
      <c r="AN491">
        <v>4</v>
      </c>
      <c r="AO491">
        <v>6</v>
      </c>
      <c r="AP491">
        <v>8</v>
      </c>
      <c r="AQ491">
        <v>16</v>
      </c>
      <c r="AR491">
        <v>10</v>
      </c>
      <c r="AS491">
        <v>46</v>
      </c>
      <c r="AT491">
        <v>54</v>
      </c>
      <c r="AU491">
        <v>1.03</v>
      </c>
      <c r="AV491">
        <v>1.27</v>
      </c>
      <c r="AW491">
        <v>2.1800000000000002</v>
      </c>
      <c r="AX491">
        <v>53</v>
      </c>
      <c r="AY491">
        <v>60</v>
      </c>
      <c r="AZ491">
        <v>34</v>
      </c>
      <c r="BA491">
        <v>13</v>
      </c>
      <c r="BB491">
        <v>7</v>
      </c>
      <c r="BC491">
        <v>19</v>
      </c>
      <c r="BD491">
        <v>60</v>
      </c>
      <c r="BE491">
        <v>41</v>
      </c>
      <c r="BF491">
        <v>75</v>
      </c>
      <c r="BG491">
        <v>8.67</v>
      </c>
      <c r="BH491">
        <v>6.09</v>
      </c>
      <c r="BI491">
        <v>2.9</v>
      </c>
      <c r="BJ491">
        <v>3.2</v>
      </c>
      <c r="BK491">
        <v>2.35</v>
      </c>
      <c r="BL491">
        <f>(1/Table1[[#This Row],[odds_ft_home_team_win]]+1/Table1[[#This Row],[odds_ft_draw]]+1/Table1[[#This Row],[odds_ft_away_team_win]]-1)/3</f>
        <v>2.7619833700171181E-2</v>
      </c>
      <c r="BM491">
        <v>1.41</v>
      </c>
      <c r="BN491">
        <v>2.25</v>
      </c>
      <c r="BO491">
        <v>4.25</v>
      </c>
      <c r="BP491">
        <v>8.5</v>
      </c>
      <c r="BQ491">
        <v>1.95</v>
      </c>
      <c r="BR491">
        <v>1.8</v>
      </c>
      <c r="BS491" t="s">
        <v>88</v>
      </c>
      <c r="BT491">
        <f>VLOOKUP(Table1[[#This Row],[Reference]],metron,8,FALSE)</f>
        <v>1.274681051426811</v>
      </c>
      <c r="BU491">
        <f>VLOOKUP(Table1[[#This Row],[Reference]],metron,9,FALSE)</f>
        <v>1.4392482240810365</v>
      </c>
      <c r="BV491">
        <f>VLOOKUP(Table1[[#This Row],[Reference]],metron,10,FALSE)</f>
        <v>2.5313454284174597</v>
      </c>
      <c r="BW491">
        <f>VLOOKUP(Table1[[#This Row],[Reference]],metron,11,FALSE)</f>
        <v>1.210167055864918</v>
      </c>
      <c r="BX491">
        <f>VLOOKUP(Table1[[#This Row],[Reference]],metron,12,FALSE)</f>
        <v>1.3211783725525419</v>
      </c>
      <c r="BY491" s="6">
        <f>VLOOKUP(Table1[[#This Row],[Reference]],metron,13,FALSE)</f>
        <v>0.53135669362084459</v>
      </c>
      <c r="BZ491" s="6">
        <f>VLOOKUP(Table1[[#This Row],[Reference]],metron,14,FALSE)</f>
        <v>0.55633423180592989</v>
      </c>
      <c r="CA491" s="6">
        <f>VLOOKUP(Table1[[#This Row],[Reference]],metron,15,FALSE)</f>
        <v>11.21109010712035</v>
      </c>
      <c r="CB491" s="6">
        <f>VLOOKUP(Table1[[#This Row],[Reference]],metron,16,FALSE)</f>
        <v>11.01700787401575</v>
      </c>
      <c r="CC491" s="6">
        <f>VLOOKUP(Table1[[#This Row],[Reference]],metron,17,FALSE)</f>
        <v>4.6792332268370611</v>
      </c>
      <c r="CD491" s="6">
        <f>VLOOKUP(Table1[[#This Row],[Reference]],metron,18,FALSE)</f>
        <v>4.7080804854679013</v>
      </c>
      <c r="CE491" s="6">
        <f>VLOOKUP(Table1[[#This Row],[Reference]],metron,19,FALSE)</f>
        <v>6.5318568802832893</v>
      </c>
      <c r="CF491" s="6">
        <f>VLOOKUP(Table1[[#This Row],[Reference]],metron,20,FALSE)</f>
        <v>6.3089273885478487</v>
      </c>
      <c r="CG491" s="6">
        <f>VLOOKUP(Table1[[#This Row],[Reference]],metron,21,FALSE)</f>
        <v>12.72547770700637</v>
      </c>
      <c r="CH491" s="6">
        <f>VLOOKUP(Table1[[#This Row],[Reference]],metron,22,FALSE)</f>
        <v>13.06847133757962</v>
      </c>
      <c r="CI491" s="6">
        <f>VLOOKUP(Table1[[#This Row],[Reference]],metron,23,FALSE)</f>
        <v>1.6902356902356901</v>
      </c>
      <c r="CJ491" s="6">
        <f>VLOOKUP(Table1[[#This Row],[Reference]],metron,24,FALSE)</f>
        <v>1.8050198959289869</v>
      </c>
      <c r="CK491" s="6">
        <f>VLOOKUP(Table1[[#This Row],[Reference]],metron,25,FALSE)</f>
        <v>0.105907560453015</v>
      </c>
      <c r="CL491" s="6">
        <f>VLOOKUP(Table1[[#This Row],[Reference]],metron,26,FALSE)</f>
        <v>0.1141720232629324</v>
      </c>
    </row>
    <row r="492" spans="1:90" hidden="1" x14ac:dyDescent="0.45">
      <c r="A492" t="s">
        <v>1346</v>
      </c>
      <c r="B492">
        <v>1604797200</v>
      </c>
      <c r="C492" s="23" t="s">
        <v>943</v>
      </c>
      <c r="D492" t="s">
        <v>65</v>
      </c>
      <c r="E492" t="s">
        <v>66</v>
      </c>
      <c r="F492" t="s">
        <v>107</v>
      </c>
      <c r="G492" t="s">
        <v>97</v>
      </c>
      <c r="H492" t="s">
        <v>80</v>
      </c>
      <c r="I492">
        <f>MROUND(Table1[[#This Row],[ProbH]]*100,2)/100</f>
        <v>0.68</v>
      </c>
      <c r="J492">
        <f>1/Table1[[#This Row],[odds_ft_home_team_win]]-Table1[[#This Row],[Margin]]</f>
        <v>0.6701811523343455</v>
      </c>
      <c r="K492">
        <f>1/Table1[[#This Row],[odds_ft_draw]]-Table1[[#This Row],[Margin]]</f>
        <v>0.21165604592191509</v>
      </c>
      <c r="L492">
        <f>1/Table1[[#This Row],[odds_ft_away_team_win]]-Table1[[#This Row],[Margin]]</f>
        <v>0.11816280174373942</v>
      </c>
      <c r="M492">
        <v>17</v>
      </c>
      <c r="N492">
        <v>1.88</v>
      </c>
      <c r="O492">
        <v>0.75</v>
      </c>
      <c r="P492">
        <v>1.53</v>
      </c>
      <c r="Q492">
        <v>1.06</v>
      </c>
      <c r="R492" t="str" cm="1">
        <f t="array" ref="R4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2">
        <v>1</v>
      </c>
      <c r="T492">
        <v>1</v>
      </c>
      <c r="U492">
        <v>2</v>
      </c>
      <c r="V492">
        <v>1</v>
      </c>
      <c r="W492">
        <v>1</v>
      </c>
      <c r="X492">
        <v>0</v>
      </c>
      <c r="Y492">
        <v>40</v>
      </c>
      <c r="Z492" t="s">
        <v>308</v>
      </c>
      <c r="AA492">
        <v>8</v>
      </c>
      <c r="AB492">
        <v>4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14</v>
      </c>
      <c r="AL492">
        <v>8</v>
      </c>
      <c r="AM492">
        <v>5</v>
      </c>
      <c r="AN492">
        <v>6</v>
      </c>
      <c r="AO492">
        <v>9</v>
      </c>
      <c r="AP492">
        <v>2</v>
      </c>
      <c r="AQ492">
        <v>8</v>
      </c>
      <c r="AR492">
        <v>16</v>
      </c>
      <c r="AS492">
        <v>53</v>
      </c>
      <c r="AT492">
        <v>47</v>
      </c>
      <c r="AU492">
        <v>1.42</v>
      </c>
      <c r="AV492">
        <v>1.18</v>
      </c>
      <c r="AW492">
        <v>2.44</v>
      </c>
      <c r="AX492">
        <v>63</v>
      </c>
      <c r="AY492">
        <v>82</v>
      </c>
      <c r="AZ492">
        <v>44</v>
      </c>
      <c r="BA492">
        <v>19</v>
      </c>
      <c r="BB492">
        <v>7</v>
      </c>
      <c r="BC492">
        <v>32</v>
      </c>
      <c r="BD492">
        <v>51</v>
      </c>
      <c r="BE492">
        <v>57</v>
      </c>
      <c r="BF492">
        <v>75</v>
      </c>
      <c r="BG492">
        <v>9.3800000000000008</v>
      </c>
      <c r="BH492">
        <v>5.01</v>
      </c>
      <c r="BI492">
        <v>1.42</v>
      </c>
      <c r="BJ492">
        <v>4.07</v>
      </c>
      <c r="BK492">
        <v>6.57</v>
      </c>
      <c r="BL492">
        <f>(1/Table1[[#This Row],[odds_ft_home_team_win]]+1/Table1[[#This Row],[odds_ft_draw]]+1/Table1[[#This Row],[odds_ft_away_team_win]]-1)/3</f>
        <v>3.4044199778330585E-2</v>
      </c>
      <c r="BM492">
        <v>1.34</v>
      </c>
      <c r="BN492">
        <v>2.06</v>
      </c>
      <c r="BO492">
        <v>3.3</v>
      </c>
      <c r="BP492">
        <v>6.25</v>
      </c>
      <c r="BQ492">
        <v>2.0499999999999998</v>
      </c>
      <c r="BR492">
        <v>1.74</v>
      </c>
      <c r="BS492" t="s">
        <v>161</v>
      </c>
      <c r="BT492">
        <f>VLOOKUP(Table1[[#This Row],[Reference]],metron,8,FALSE)</f>
        <v>2.2809240428978073</v>
      </c>
      <c r="BU492">
        <f>VLOOKUP(Table1[[#This Row],[Reference]],metron,9,FALSE)</f>
        <v>0.51285766971545521</v>
      </c>
      <c r="BV492">
        <f>VLOOKUP(Table1[[#This Row],[Reference]],metron,10,FALSE)</f>
        <v>2.9107565011820329</v>
      </c>
      <c r="BW492">
        <f>VLOOKUP(Table1[[#This Row],[Reference]],metron,11,FALSE)</f>
        <v>2.1359338061465718</v>
      </c>
      <c r="BX492">
        <f>VLOOKUP(Table1[[#This Row],[Reference]],metron,12,FALSE)</f>
        <v>0.77482269503546097</v>
      </c>
      <c r="BY492" s="6">
        <f>VLOOKUP(Table1[[#This Row],[Reference]],metron,13,FALSE)</f>
        <v>0.93380614657210403</v>
      </c>
      <c r="BZ492" s="6">
        <f>VLOOKUP(Table1[[#This Row],[Reference]],metron,14,FALSE)</f>
        <v>0.33747044917257679</v>
      </c>
      <c r="CA492" s="6">
        <f>VLOOKUP(Table1[[#This Row],[Reference]],metron,15,FALSE)</f>
        <v>15.783723522853959</v>
      </c>
      <c r="CB492" s="6">
        <f>VLOOKUP(Table1[[#This Row],[Reference]],metron,16,FALSE)</f>
        <v>8.5830546265328866</v>
      </c>
      <c r="CC492" s="6">
        <f>VLOOKUP(Table1[[#This Row],[Reference]],metron,17,FALSE)</f>
        <v>6.7338618346545864</v>
      </c>
      <c r="CD492" s="6">
        <f>VLOOKUP(Table1[[#This Row],[Reference]],metron,18,FALSE)</f>
        <v>3.2842582106455271</v>
      </c>
      <c r="CE492" s="6">
        <f>VLOOKUP(Table1[[#This Row],[Reference]],metron,19,FALSE)</f>
        <v>9.049861688199373</v>
      </c>
      <c r="CF492" s="6">
        <f>VLOOKUP(Table1[[#This Row],[Reference]],metron,20,FALSE)</f>
        <v>5.2987964158873595</v>
      </c>
      <c r="CG492" s="6">
        <f>VLOOKUP(Table1[[#This Row],[Reference]],metron,21,FALSE)</f>
        <v>12.362500000000001</v>
      </c>
      <c r="CH492" s="6">
        <f>VLOOKUP(Table1[[#This Row],[Reference]],metron,22,FALSE)</f>
        <v>13.904545454545451</v>
      </c>
      <c r="CI492" s="6">
        <f>VLOOKUP(Table1[[#This Row],[Reference]],metron,23,FALSE)</f>
        <v>1.353005464480874</v>
      </c>
      <c r="CJ492" s="6">
        <f>VLOOKUP(Table1[[#This Row],[Reference]],metron,24,FALSE)</f>
        <v>2.0185792349726781</v>
      </c>
      <c r="CK492" s="6">
        <f>VLOOKUP(Table1[[#This Row],[Reference]],metron,25,FALSE)</f>
        <v>6.6666666666666666E-2</v>
      </c>
      <c r="CL492" s="6">
        <f>VLOOKUP(Table1[[#This Row],[Reference]],metron,26,FALSE)</f>
        <v>0.1213114754098361</v>
      </c>
    </row>
    <row r="493" spans="1:90" hidden="1" x14ac:dyDescent="0.45">
      <c r="A493" t="s">
        <v>1346</v>
      </c>
      <c r="B493">
        <v>1604804400</v>
      </c>
      <c r="C493" s="23" t="s">
        <v>944</v>
      </c>
      <c r="D493" t="s">
        <v>65</v>
      </c>
      <c r="E493" t="s">
        <v>66</v>
      </c>
      <c r="F493" t="s">
        <v>112</v>
      </c>
      <c r="G493" t="s">
        <v>96</v>
      </c>
      <c r="H493" t="s">
        <v>122</v>
      </c>
      <c r="I493">
        <f>MROUND(Table1[[#This Row],[ProbH]]*100,2)/100</f>
        <v>0.56000000000000005</v>
      </c>
      <c r="J493">
        <f>1/Table1[[#This Row],[odds_ft_home_team_win]]-Table1[[#This Row],[Margin]]</f>
        <v>0.55671287886391241</v>
      </c>
      <c r="K493">
        <f>1/Table1[[#This Row],[odds_ft_draw]]-Table1[[#This Row],[Margin]]</f>
        <v>0.24354843456597761</v>
      </c>
      <c r="L493">
        <f>1/Table1[[#This Row],[odds_ft_away_team_win]]-Table1[[#This Row],[Margin]]</f>
        <v>0.1997386865701101</v>
      </c>
      <c r="M493">
        <v>17</v>
      </c>
      <c r="N493">
        <v>2.29</v>
      </c>
      <c r="O493">
        <v>1.43</v>
      </c>
      <c r="P493">
        <v>2.1800000000000002</v>
      </c>
      <c r="Q493">
        <v>1.25</v>
      </c>
      <c r="R493" t="str" cm="1">
        <f t="array" ref="R4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93">
        <v>1</v>
      </c>
      <c r="T493">
        <v>2</v>
      </c>
      <c r="U493">
        <v>3</v>
      </c>
      <c r="V493">
        <v>0</v>
      </c>
      <c r="W493">
        <v>0</v>
      </c>
      <c r="X493">
        <v>0</v>
      </c>
      <c r="Y493">
        <v>53</v>
      </c>
      <c r="Z493" t="s">
        <v>945</v>
      </c>
      <c r="AA493">
        <v>5</v>
      </c>
      <c r="AB493">
        <v>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10</v>
      </c>
      <c r="AL493">
        <v>13</v>
      </c>
      <c r="AM493">
        <v>5</v>
      </c>
      <c r="AN493">
        <v>3</v>
      </c>
      <c r="AO493">
        <v>5</v>
      </c>
      <c r="AP493">
        <v>10</v>
      </c>
      <c r="AQ493">
        <v>9</v>
      </c>
      <c r="AR493">
        <v>11</v>
      </c>
      <c r="AS493">
        <v>54</v>
      </c>
      <c r="AT493">
        <v>46</v>
      </c>
      <c r="AU493">
        <v>1.49</v>
      </c>
      <c r="AV493">
        <v>1.4</v>
      </c>
      <c r="AW493">
        <v>2.2200000000000002</v>
      </c>
      <c r="AX493">
        <v>43</v>
      </c>
      <c r="AY493">
        <v>79</v>
      </c>
      <c r="AZ493">
        <v>36</v>
      </c>
      <c r="BA493">
        <v>14</v>
      </c>
      <c r="BB493">
        <v>7</v>
      </c>
      <c r="BC493">
        <v>22</v>
      </c>
      <c r="BD493">
        <v>64</v>
      </c>
      <c r="BE493">
        <v>50</v>
      </c>
      <c r="BF493">
        <v>79</v>
      </c>
      <c r="BG493">
        <v>12</v>
      </c>
      <c r="BH493">
        <v>5.29</v>
      </c>
      <c r="BI493">
        <v>1.69</v>
      </c>
      <c r="BJ493">
        <v>3.59</v>
      </c>
      <c r="BK493">
        <v>4.26</v>
      </c>
      <c r="BL493">
        <f>(1/Table1[[#This Row],[odds_ft_home_team_win]]+1/Table1[[#This Row],[odds_ft_draw]]+1/Table1[[#This Row],[odds_ft_away_team_win]]-1)/3</f>
        <v>3.5003097467448598E-2</v>
      </c>
      <c r="BM493">
        <v>1.26</v>
      </c>
      <c r="BN493">
        <v>1.73</v>
      </c>
      <c r="BO493">
        <v>3</v>
      </c>
      <c r="BP493">
        <v>4.8499999999999996</v>
      </c>
      <c r="BQ493">
        <v>1.69</v>
      </c>
      <c r="BR493">
        <v>2.1</v>
      </c>
      <c r="BS493" t="s">
        <v>116</v>
      </c>
      <c r="BT493">
        <f>VLOOKUP(Table1[[#This Row],[Reference]],metron,8,FALSE)</f>
        <v>1.9673156855724254</v>
      </c>
      <c r="BU493">
        <f>VLOOKUP(Table1[[#This Row],[Reference]],metron,9,FALSE)</f>
        <v>0.77729484582409181</v>
      </c>
      <c r="BV493">
        <f>VLOOKUP(Table1[[#This Row],[Reference]],metron,10,FALSE)</f>
        <v>2.6892488954344627</v>
      </c>
      <c r="BW493">
        <f>VLOOKUP(Table1[[#This Row],[Reference]],metron,11,FALSE)</f>
        <v>1.7546812539448771</v>
      </c>
      <c r="BX493">
        <f>VLOOKUP(Table1[[#This Row],[Reference]],metron,12,FALSE)</f>
        <v>0.93456764148958549</v>
      </c>
      <c r="BY493" s="6">
        <f>VLOOKUP(Table1[[#This Row],[Reference]],metron,13,FALSE)</f>
        <v>0.77824531874605507</v>
      </c>
      <c r="BZ493" s="6">
        <f>VLOOKUP(Table1[[#This Row],[Reference]],metron,14,FALSE)</f>
        <v>0.41237113402061848</v>
      </c>
      <c r="CA493" s="6">
        <f>VLOOKUP(Table1[[#This Row],[Reference]],metron,15,FALSE)</f>
        <v>13.77153558052435</v>
      </c>
      <c r="CB493" s="6">
        <f>VLOOKUP(Table1[[#This Row],[Reference]],metron,16,FALSE)</f>
        <v>9.0445692883895124</v>
      </c>
      <c r="CC493" s="6">
        <f>VLOOKUP(Table1[[#This Row],[Reference]],metron,17,FALSE)</f>
        <v>6.0821292775665396</v>
      </c>
      <c r="CD493" s="6">
        <f>VLOOKUP(Table1[[#This Row],[Reference]],metron,18,FALSE)</f>
        <v>3.8201520912547529</v>
      </c>
      <c r="CE493" s="6">
        <f>VLOOKUP(Table1[[#This Row],[Reference]],metron,19,FALSE)</f>
        <v>7.6894063029578108</v>
      </c>
      <c r="CF493" s="6">
        <f>VLOOKUP(Table1[[#This Row],[Reference]],metron,20,FALSE)</f>
        <v>5.224417197134759</v>
      </c>
      <c r="CG493" s="6">
        <f>VLOOKUP(Table1[[#This Row],[Reference]],metron,21,FALSE)</f>
        <v>12.297605473204101</v>
      </c>
      <c r="CH493" s="6">
        <f>VLOOKUP(Table1[[#This Row],[Reference]],metron,22,FALSE)</f>
        <v>13.310908399847969</v>
      </c>
      <c r="CI493" s="6">
        <f>VLOOKUP(Table1[[#This Row],[Reference]],metron,23,FALSE)</f>
        <v>1.3713126843657819</v>
      </c>
      <c r="CJ493" s="6">
        <f>VLOOKUP(Table1[[#This Row],[Reference]],metron,24,FALSE)</f>
        <v>1.9516961651917399</v>
      </c>
      <c r="CK493" s="6">
        <f>VLOOKUP(Table1[[#This Row],[Reference]],metron,25,FALSE)</f>
        <v>6.6002949852507375E-2</v>
      </c>
      <c r="CL493" s="6">
        <f>VLOOKUP(Table1[[#This Row],[Reference]],metron,26,FALSE)</f>
        <v>0.1297935103244838</v>
      </c>
    </row>
    <row r="494" spans="1:90" hidden="1" x14ac:dyDescent="0.45">
      <c r="A494" t="s">
        <v>1346</v>
      </c>
      <c r="B494">
        <v>1604858400</v>
      </c>
      <c r="C494" s="23" t="s">
        <v>946</v>
      </c>
      <c r="D494" t="s">
        <v>65</v>
      </c>
      <c r="E494" t="s">
        <v>66</v>
      </c>
      <c r="F494" t="s">
        <v>79</v>
      </c>
      <c r="G494" t="s">
        <v>85</v>
      </c>
      <c r="H494" t="s">
        <v>114</v>
      </c>
      <c r="I494">
        <f>MROUND(Table1[[#This Row],[ProbH]]*100,2)/100</f>
        <v>0.3</v>
      </c>
      <c r="J494">
        <f>1/Table1[[#This Row],[odds_ft_home_team_win]]-Table1[[#This Row],[Margin]]</f>
        <v>0.29234667262836278</v>
      </c>
      <c r="K494">
        <f>1/Table1[[#This Row],[odds_ft_draw]]-Table1[[#This Row],[Margin]]</f>
        <v>0.25657649601311577</v>
      </c>
      <c r="L494">
        <f>1/Table1[[#This Row],[odds_ft_away_team_win]]-Table1[[#This Row],[Margin]]</f>
        <v>0.4510768313585215</v>
      </c>
      <c r="M494">
        <v>17</v>
      </c>
      <c r="N494">
        <v>2.14</v>
      </c>
      <c r="O494">
        <v>2.13</v>
      </c>
      <c r="P494">
        <v>2</v>
      </c>
      <c r="Q494">
        <v>1.5</v>
      </c>
      <c r="R494" t="str" cm="1">
        <f t="array" ref="R4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4">
        <v>2</v>
      </c>
      <c r="T494">
        <v>2</v>
      </c>
      <c r="U494">
        <v>4</v>
      </c>
      <c r="V494">
        <v>2</v>
      </c>
      <c r="W494">
        <v>1</v>
      </c>
      <c r="X494">
        <v>1</v>
      </c>
      <c r="Y494" t="s">
        <v>947</v>
      </c>
      <c r="Z494" t="s">
        <v>948</v>
      </c>
      <c r="AA494">
        <v>8</v>
      </c>
      <c r="AB494">
        <v>5</v>
      </c>
      <c r="AC494">
        <v>1</v>
      </c>
      <c r="AD494">
        <v>0</v>
      </c>
      <c r="AE494">
        <v>2</v>
      </c>
      <c r="AF494">
        <v>1</v>
      </c>
      <c r="AG494">
        <v>1</v>
      </c>
      <c r="AH494">
        <v>0</v>
      </c>
      <c r="AI494">
        <v>1</v>
      </c>
      <c r="AJ494">
        <v>2</v>
      </c>
      <c r="AK494">
        <v>11</v>
      </c>
      <c r="AL494">
        <v>9</v>
      </c>
      <c r="AM494">
        <v>5</v>
      </c>
      <c r="AN494">
        <v>3</v>
      </c>
      <c r="AO494">
        <v>6</v>
      </c>
      <c r="AP494">
        <v>6</v>
      </c>
      <c r="AQ494">
        <v>14</v>
      </c>
      <c r="AR494">
        <v>9</v>
      </c>
      <c r="AS494">
        <v>53</v>
      </c>
      <c r="AT494">
        <v>47</v>
      </c>
      <c r="AU494">
        <v>1.44</v>
      </c>
      <c r="AV494">
        <v>1.01</v>
      </c>
      <c r="AW494">
        <v>2.2999999999999998</v>
      </c>
      <c r="AX494">
        <v>34</v>
      </c>
      <c r="AY494">
        <v>67</v>
      </c>
      <c r="AZ494">
        <v>34</v>
      </c>
      <c r="BA494">
        <v>21</v>
      </c>
      <c r="BB494">
        <v>21</v>
      </c>
      <c r="BC494">
        <v>22</v>
      </c>
      <c r="BD494">
        <v>61</v>
      </c>
      <c r="BE494">
        <v>34</v>
      </c>
      <c r="BF494">
        <v>81</v>
      </c>
      <c r="BG494">
        <v>7.71</v>
      </c>
      <c r="BH494">
        <v>4.13</v>
      </c>
      <c r="BI494">
        <v>3.15</v>
      </c>
      <c r="BJ494">
        <v>3.55</v>
      </c>
      <c r="BK494">
        <v>2.1</v>
      </c>
      <c r="BL494">
        <f>(1/Table1[[#This Row],[odds_ft_home_team_win]]+1/Table1[[#This Row],[odds_ft_draw]]+1/Table1[[#This Row],[odds_ft_away_team_win]]-1)/3</f>
        <v>2.5113644831954662E-2</v>
      </c>
      <c r="BM494">
        <v>1.1499999999999999</v>
      </c>
      <c r="BN494">
        <v>1.53</v>
      </c>
      <c r="BO494">
        <v>2.35</v>
      </c>
      <c r="BP494">
        <v>4</v>
      </c>
      <c r="BQ494">
        <v>1.47</v>
      </c>
      <c r="BR494">
        <v>2.6</v>
      </c>
      <c r="BS494" t="s">
        <v>140</v>
      </c>
      <c r="BT494">
        <f>VLOOKUP(Table1[[#This Row],[Reference]],metron,8,FALSE)</f>
        <v>1.2142445227270171</v>
      </c>
      <c r="BU494">
        <f>VLOOKUP(Table1[[#This Row],[Reference]],metron,9,FALSE)</f>
        <v>1.4993969533036628</v>
      </c>
      <c r="BV494">
        <f>VLOOKUP(Table1[[#This Row],[Reference]],metron,10,FALSE)</f>
        <v>2.5726407816919519</v>
      </c>
      <c r="BW494">
        <f>VLOOKUP(Table1[[#This Row],[Reference]],metron,11,FALSE)</f>
        <v>1.1805091283106199</v>
      </c>
      <c r="BX494">
        <f>VLOOKUP(Table1[[#This Row],[Reference]],metron,12,FALSE)</f>
        <v>1.3921316533813319</v>
      </c>
      <c r="BY494" s="6">
        <f>VLOOKUP(Table1[[#This Row],[Reference]],metron,13,FALSE)</f>
        <v>0.5209673269873939</v>
      </c>
      <c r="BZ494" s="6">
        <f>VLOOKUP(Table1[[#This Row],[Reference]],metron,14,FALSE)</f>
        <v>0.61847182917417032</v>
      </c>
      <c r="CA494" s="6">
        <f>VLOOKUP(Table1[[#This Row],[Reference]],metron,15,FALSE)</f>
        <v>11.149200710479571</v>
      </c>
      <c r="CB494" s="6">
        <f>VLOOKUP(Table1[[#This Row],[Reference]],metron,16,FALSE)</f>
        <v>11.444049733570161</v>
      </c>
      <c r="CC494" s="6">
        <f>VLOOKUP(Table1[[#This Row],[Reference]],metron,17,FALSE)</f>
        <v>4.5257270693512304</v>
      </c>
      <c r="CD494" s="6">
        <f>VLOOKUP(Table1[[#This Row],[Reference]],metron,18,FALSE)</f>
        <v>4.8465324384787474</v>
      </c>
      <c r="CE494" s="6">
        <f>VLOOKUP(Table1[[#This Row],[Reference]],metron,19,FALSE)</f>
        <v>6.6234736411283404</v>
      </c>
      <c r="CF494" s="6">
        <f>VLOOKUP(Table1[[#This Row],[Reference]],metron,20,FALSE)</f>
        <v>6.5975172950914134</v>
      </c>
      <c r="CG494" s="6">
        <f>VLOOKUP(Table1[[#This Row],[Reference]],metron,21,FALSE)</f>
        <v>12.90081154192967</v>
      </c>
      <c r="CH494" s="6">
        <f>VLOOKUP(Table1[[#This Row],[Reference]],metron,22,FALSE)</f>
        <v>13.00360685302074</v>
      </c>
      <c r="CI494" s="6">
        <f>VLOOKUP(Table1[[#This Row],[Reference]],metron,23,FALSE)</f>
        <v>1.7502145922746779</v>
      </c>
      <c r="CJ494" s="6">
        <f>VLOOKUP(Table1[[#This Row],[Reference]],metron,24,FALSE)</f>
        <v>1.831402831402831</v>
      </c>
      <c r="CK494" s="6">
        <f>VLOOKUP(Table1[[#This Row],[Reference]],metron,25,FALSE)</f>
        <v>9.6525096525096526E-2</v>
      </c>
      <c r="CL494" s="6">
        <f>VLOOKUP(Table1[[#This Row],[Reference]],metron,26,FALSE)</f>
        <v>0.1244101244101244</v>
      </c>
    </row>
    <row r="495" spans="1:90" hidden="1" x14ac:dyDescent="0.45">
      <c r="A495" t="s">
        <v>1346</v>
      </c>
      <c r="B495">
        <v>1604883960</v>
      </c>
      <c r="C495" s="23" t="s">
        <v>949</v>
      </c>
      <c r="D495" t="s">
        <v>65</v>
      </c>
      <c r="E495" t="s">
        <v>66</v>
      </c>
      <c r="F495" t="s">
        <v>73</v>
      </c>
      <c r="G495" t="s">
        <v>113</v>
      </c>
      <c r="H495" t="s">
        <v>158</v>
      </c>
      <c r="I495">
        <f>MROUND(Table1[[#This Row],[ProbH]]*100,2)/100</f>
        <v>0.62</v>
      </c>
      <c r="J495">
        <f>1/Table1[[#This Row],[odds_ft_home_team_win]]-Table1[[#This Row],[Margin]]</f>
        <v>0.61813584079960526</v>
      </c>
      <c r="K495">
        <f>1/Table1[[#This Row],[odds_ft_draw]]-Table1[[#This Row],[Margin]]</f>
        <v>0.21463989098536576</v>
      </c>
      <c r="L495">
        <f>1/Table1[[#This Row],[odds_ft_away_team_win]]-Table1[[#This Row],[Margin]]</f>
        <v>0.16722426821502898</v>
      </c>
      <c r="M495">
        <v>17</v>
      </c>
      <c r="N495">
        <v>2</v>
      </c>
      <c r="O495">
        <v>0.63</v>
      </c>
      <c r="P495">
        <v>2.09</v>
      </c>
      <c r="Q495">
        <v>0.65</v>
      </c>
      <c r="R495" t="str" cm="1">
        <f t="array" ref="R4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5">
        <v>4</v>
      </c>
      <c r="T495">
        <v>0</v>
      </c>
      <c r="U495">
        <v>4</v>
      </c>
      <c r="V495">
        <v>0</v>
      </c>
      <c r="W495">
        <v>0</v>
      </c>
      <c r="X495">
        <v>0</v>
      </c>
      <c r="Y495" t="s">
        <v>950</v>
      </c>
      <c r="AA495">
        <v>12</v>
      </c>
      <c r="AB495">
        <v>3</v>
      </c>
      <c r="AC495">
        <v>1</v>
      </c>
      <c r="AD495">
        <v>0</v>
      </c>
      <c r="AE495">
        <v>2</v>
      </c>
      <c r="AF495">
        <v>1</v>
      </c>
      <c r="AG495">
        <v>0</v>
      </c>
      <c r="AH495">
        <v>1</v>
      </c>
      <c r="AI495">
        <v>1</v>
      </c>
      <c r="AJ495">
        <v>2</v>
      </c>
      <c r="AK495">
        <v>15</v>
      </c>
      <c r="AL495">
        <v>8</v>
      </c>
      <c r="AM495">
        <v>5</v>
      </c>
      <c r="AN495">
        <v>4</v>
      </c>
      <c r="AO495">
        <v>10</v>
      </c>
      <c r="AP495">
        <v>4</v>
      </c>
      <c r="AQ495">
        <v>12</v>
      </c>
      <c r="AR495">
        <v>12</v>
      </c>
      <c r="AS495">
        <v>60</v>
      </c>
      <c r="AT495">
        <v>40</v>
      </c>
      <c r="AU495">
        <v>1.85</v>
      </c>
      <c r="AV495">
        <v>1.05</v>
      </c>
      <c r="AW495">
        <v>2.76</v>
      </c>
      <c r="AX495">
        <v>66</v>
      </c>
      <c r="AY495">
        <v>87</v>
      </c>
      <c r="AZ495">
        <v>53</v>
      </c>
      <c r="BA495">
        <v>19</v>
      </c>
      <c r="BB495">
        <v>13</v>
      </c>
      <c r="BC495">
        <v>48</v>
      </c>
      <c r="BD495">
        <v>68</v>
      </c>
      <c r="BE495">
        <v>39</v>
      </c>
      <c r="BF495">
        <v>60</v>
      </c>
      <c r="BG495">
        <v>10.45</v>
      </c>
      <c r="BH495">
        <v>3.95</v>
      </c>
      <c r="BI495">
        <v>1.56</v>
      </c>
      <c r="BJ495">
        <v>4.21</v>
      </c>
      <c r="BK495">
        <v>5.26</v>
      </c>
      <c r="BL495">
        <f>(1/Table1[[#This Row],[odds_ft_home_team_win]]+1/Table1[[#This Row],[odds_ft_draw]]+1/Table1[[#This Row],[odds_ft_away_team_win]]-1)/3</f>
        <v>2.2889800226035668E-2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 t="s">
        <v>142</v>
      </c>
      <c r="BT495">
        <f>VLOOKUP(Table1[[#This Row],[Reference]],metron,8,FALSE)</f>
        <v>2.1234388909289978</v>
      </c>
      <c r="BU495">
        <f>VLOOKUP(Table1[[#This Row],[Reference]],metron,9,FALSE)</f>
        <v>0.63925141338926716</v>
      </c>
      <c r="BV495">
        <f>VLOOKUP(Table1[[#This Row],[Reference]],metron,10,FALSE)</f>
        <v>2.7366666666666664</v>
      </c>
      <c r="BW495">
        <f>VLOOKUP(Table1[[#This Row],[Reference]],metron,11,FALSE)</f>
        <v>1.8681481481481479</v>
      </c>
      <c r="BX495">
        <f>VLOOKUP(Table1[[#This Row],[Reference]],metron,12,FALSE)</f>
        <v>0.86851851851851847</v>
      </c>
      <c r="BY495" s="6">
        <f>VLOOKUP(Table1[[#This Row],[Reference]],metron,13,FALSE)</f>
        <v>0.81333333333333335</v>
      </c>
      <c r="BZ495" s="6">
        <f>VLOOKUP(Table1[[#This Row],[Reference]],metron,14,FALSE)</f>
        <v>0.38925925925925919</v>
      </c>
      <c r="CA495" s="6">
        <f>VLOOKUP(Table1[[#This Row],[Reference]],metron,15,FALSE)</f>
        <v>14.53422724064926</v>
      </c>
      <c r="CB495" s="6">
        <f>VLOOKUP(Table1[[#This Row],[Reference]],metron,16,FALSE)</f>
        <v>8.7882851093860275</v>
      </c>
      <c r="CC495" s="6">
        <f>VLOOKUP(Table1[[#This Row],[Reference]],metron,17,FALSE)</f>
        <v>6.3007953723788868</v>
      </c>
      <c r="CD495" s="6">
        <f>VLOOKUP(Table1[[#This Row],[Reference]],metron,18,FALSE)</f>
        <v>3.681851048445409</v>
      </c>
      <c r="CE495" s="6">
        <f>VLOOKUP(Table1[[#This Row],[Reference]],metron,19,FALSE)</f>
        <v>8.2334318682703724</v>
      </c>
      <c r="CF495" s="6">
        <f>VLOOKUP(Table1[[#This Row],[Reference]],metron,20,FALSE)</f>
        <v>5.106434060940618</v>
      </c>
      <c r="CG495" s="6">
        <f>VLOOKUP(Table1[[#This Row],[Reference]],metron,21,FALSE)</f>
        <v>12.32150615496017</v>
      </c>
      <c r="CH495" s="6">
        <f>VLOOKUP(Table1[[#This Row],[Reference]],metron,22,FALSE)</f>
        <v>13.337436640115859</v>
      </c>
      <c r="CI495" s="6">
        <f>VLOOKUP(Table1[[#This Row],[Reference]],metron,23,FALSE)</f>
        <v>1.346101231190151</v>
      </c>
      <c r="CJ495" s="6">
        <f>VLOOKUP(Table1[[#This Row],[Reference]],metron,24,FALSE)</f>
        <v>1.995212038303694</v>
      </c>
      <c r="CK495" s="6">
        <f>VLOOKUP(Table1[[#This Row],[Reference]],metron,25,FALSE)</f>
        <v>6.1559507523939808E-2</v>
      </c>
      <c r="CL495" s="6">
        <f>VLOOKUP(Table1[[#This Row],[Reference]],metron,26,FALSE)</f>
        <v>0.13201094391244869</v>
      </c>
    </row>
    <row r="496" spans="1:90" hidden="1" x14ac:dyDescent="0.45">
      <c r="A496" t="s">
        <v>1346</v>
      </c>
      <c r="B496">
        <v>1604891160</v>
      </c>
      <c r="C496" s="23" t="s">
        <v>951</v>
      </c>
      <c r="D496" t="s">
        <v>65</v>
      </c>
      <c r="E496" t="s">
        <v>66</v>
      </c>
      <c r="F496" t="s">
        <v>67</v>
      </c>
      <c r="G496" t="s">
        <v>106</v>
      </c>
      <c r="H496" t="s">
        <v>98</v>
      </c>
      <c r="I496">
        <f>MROUND(Table1[[#This Row],[ProbH]]*100,2)/100</f>
        <v>0.5</v>
      </c>
      <c r="J496">
        <f>1/Table1[[#This Row],[odds_ft_home_team_win]]-Table1[[#This Row],[Margin]]</f>
        <v>0.49972507112290521</v>
      </c>
      <c r="K496">
        <f>1/Table1[[#This Row],[odds_ft_draw]]-Table1[[#This Row],[Margin]]</f>
        <v>0.25013746443854745</v>
      </c>
      <c r="L496">
        <f>1/Table1[[#This Row],[odds_ft_away_team_win]]-Table1[[#This Row],[Margin]]</f>
        <v>0.25013746443854745</v>
      </c>
      <c r="M496">
        <v>17</v>
      </c>
      <c r="N496">
        <v>1.43</v>
      </c>
      <c r="O496">
        <v>0</v>
      </c>
      <c r="P496">
        <v>1.82</v>
      </c>
      <c r="Q496">
        <v>0.47</v>
      </c>
      <c r="R496" t="str" cm="1">
        <f t="array" ref="R4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6">
        <v>2</v>
      </c>
      <c r="T496">
        <v>2</v>
      </c>
      <c r="U496">
        <v>4</v>
      </c>
      <c r="V496">
        <v>1</v>
      </c>
      <c r="W496">
        <v>1</v>
      </c>
      <c r="X496">
        <v>0</v>
      </c>
      <c r="Y496" t="s">
        <v>952</v>
      </c>
      <c r="Z496" t="s">
        <v>953</v>
      </c>
      <c r="AA496">
        <v>3</v>
      </c>
      <c r="AB496">
        <v>4</v>
      </c>
      <c r="AC496">
        <v>1</v>
      </c>
      <c r="AD496">
        <v>0</v>
      </c>
      <c r="AE496">
        <v>3</v>
      </c>
      <c r="AF496">
        <v>0</v>
      </c>
      <c r="AG496">
        <v>0</v>
      </c>
      <c r="AH496">
        <v>1</v>
      </c>
      <c r="AI496">
        <v>2</v>
      </c>
      <c r="AJ496">
        <v>1</v>
      </c>
      <c r="AK496">
        <v>13</v>
      </c>
      <c r="AL496">
        <v>13</v>
      </c>
      <c r="AM496">
        <v>8</v>
      </c>
      <c r="AN496">
        <v>5</v>
      </c>
      <c r="AO496">
        <v>5</v>
      </c>
      <c r="AP496">
        <v>8</v>
      </c>
      <c r="AQ496">
        <v>14</v>
      </c>
      <c r="AR496">
        <v>17</v>
      </c>
      <c r="AS496">
        <v>33</v>
      </c>
      <c r="AT496">
        <v>67</v>
      </c>
      <c r="AU496">
        <v>1.54</v>
      </c>
      <c r="AV496">
        <v>1.45</v>
      </c>
      <c r="AW496">
        <v>2.79</v>
      </c>
      <c r="AX496">
        <v>43</v>
      </c>
      <c r="AY496">
        <v>79</v>
      </c>
      <c r="AZ496">
        <v>50</v>
      </c>
      <c r="BA496">
        <v>29</v>
      </c>
      <c r="BB496">
        <v>22</v>
      </c>
      <c r="BC496">
        <v>22</v>
      </c>
      <c r="BD496">
        <v>86</v>
      </c>
      <c r="BE496">
        <v>57</v>
      </c>
      <c r="BF496">
        <v>64</v>
      </c>
      <c r="BG496">
        <v>7.57</v>
      </c>
      <c r="BH496">
        <v>4.72</v>
      </c>
      <c r="BI496">
        <v>1.91</v>
      </c>
      <c r="BJ496">
        <v>3.65</v>
      </c>
      <c r="BK496">
        <v>3.65</v>
      </c>
      <c r="BL496">
        <f>(1/Table1[[#This Row],[odds_ft_home_team_win]]+1/Table1[[#This Row],[odds_ft_draw]]+1/Table1[[#This Row],[odds_ft_away_team_win]]-1)/3</f>
        <v>2.383513830117856E-2</v>
      </c>
      <c r="BM496">
        <v>1.24</v>
      </c>
      <c r="BN496">
        <v>1.77</v>
      </c>
      <c r="BO496">
        <v>2.95</v>
      </c>
      <c r="BP496">
        <v>5.5</v>
      </c>
      <c r="BQ496">
        <v>1.67</v>
      </c>
      <c r="BR496">
        <v>2.15</v>
      </c>
      <c r="BS496" t="s">
        <v>70</v>
      </c>
      <c r="BT496">
        <f>VLOOKUP(Table1[[#This Row],[Reference]],metron,8,FALSE)</f>
        <v>1.8001937313313046</v>
      </c>
      <c r="BU496">
        <f>VLOOKUP(Table1[[#This Row],[Reference]],metron,9,FALSE)</f>
        <v>0.9268512077832276</v>
      </c>
      <c r="BV496">
        <f>VLOOKUP(Table1[[#This Row],[Reference]],metron,10,FALSE)</f>
        <v>2.5202079886551649</v>
      </c>
      <c r="BW496">
        <f>VLOOKUP(Table1[[#This Row],[Reference]],metron,11,FALSE)</f>
        <v>1.5342708579532029</v>
      </c>
      <c r="BX496">
        <f>VLOOKUP(Table1[[#This Row],[Reference]],metron,12,FALSE)</f>
        <v>0.98593713070196176</v>
      </c>
      <c r="BY496" s="6">
        <f>VLOOKUP(Table1[[#This Row],[Reference]],metron,13,FALSE)</f>
        <v>0.67513590167809023</v>
      </c>
      <c r="BZ496" s="6">
        <f>VLOOKUP(Table1[[#This Row],[Reference]],metron,14,FALSE)</f>
        <v>0.4286727337194185</v>
      </c>
      <c r="CA496" s="6">
        <f>VLOOKUP(Table1[[#This Row],[Reference]],metron,15,FALSE)</f>
        <v>12.98669114272602</v>
      </c>
      <c r="CB496" s="6">
        <f>VLOOKUP(Table1[[#This Row],[Reference]],metron,16,FALSE)</f>
        <v>9.4167049105094076</v>
      </c>
      <c r="CC496" s="6">
        <f>VLOOKUP(Table1[[#This Row],[Reference]],metron,17,FALSE)</f>
        <v>5.6645716945996272</v>
      </c>
      <c r="CD496" s="6">
        <f>VLOOKUP(Table1[[#This Row],[Reference]],metron,18,FALSE)</f>
        <v>4.0242085661080074</v>
      </c>
      <c r="CE496" s="6">
        <f>VLOOKUP(Table1[[#This Row],[Reference]],metron,19,FALSE)</f>
        <v>7.3221194481263927</v>
      </c>
      <c r="CF496" s="6">
        <f>VLOOKUP(Table1[[#This Row],[Reference]],metron,20,FALSE)</f>
        <v>5.3924963444014002</v>
      </c>
      <c r="CG496" s="6">
        <f>VLOOKUP(Table1[[#This Row],[Reference]],metron,21,FALSE)</f>
        <v>12.508162313432839</v>
      </c>
      <c r="CH496" s="6">
        <f>VLOOKUP(Table1[[#This Row],[Reference]],metron,22,FALSE)</f>
        <v>13.36963619402985</v>
      </c>
      <c r="CI496" s="6">
        <f>VLOOKUP(Table1[[#This Row],[Reference]],metron,23,FALSE)</f>
        <v>1.4438014689517029</v>
      </c>
      <c r="CJ496" s="6">
        <f>VLOOKUP(Table1[[#This Row],[Reference]],metron,24,FALSE)</f>
        <v>1.9410193634542621</v>
      </c>
      <c r="CK496" s="6">
        <f>VLOOKUP(Table1[[#This Row],[Reference]],metron,25,FALSE)</f>
        <v>8.4130870242599604E-2</v>
      </c>
      <c r="CL496" s="6">
        <f>VLOOKUP(Table1[[#This Row],[Reference]],metron,26,FALSE)</f>
        <v>0.1275317160026708</v>
      </c>
    </row>
    <row r="497" spans="1:90" hidden="1" x14ac:dyDescent="0.45">
      <c r="A497" t="s">
        <v>1255</v>
      </c>
      <c r="B497">
        <v>1606006800</v>
      </c>
      <c r="C497" s="1" t="s">
        <v>954</v>
      </c>
      <c r="D497" t="s">
        <v>65</v>
      </c>
      <c r="E497" t="s">
        <v>66</v>
      </c>
      <c r="F497" t="s">
        <v>73</v>
      </c>
      <c r="G497" t="s">
        <v>84</v>
      </c>
      <c r="H497" t="s">
        <v>69</v>
      </c>
      <c r="I497">
        <f>MROUND(Table1[[#This Row],[ProbH]]*100,2)/100</f>
        <v>0.44</v>
      </c>
      <c r="J497">
        <f>1/Table1[[#This Row],[odds_ft_home_team_win]]-Table1[[#This Row],[Margin]]</f>
        <v>0.43104104298134149</v>
      </c>
      <c r="K497">
        <f>1/Table1[[#This Row],[odds_ft_draw]]-Table1[[#This Row],[Margin]]</f>
        <v>0.29395590589620441</v>
      </c>
      <c r="L497">
        <f>1/Table1[[#This Row],[odds_ft_away_team_win]]-Table1[[#This Row],[Margin]]</f>
        <v>0.2750030511224541</v>
      </c>
      <c r="M497" t="s">
        <v>66</v>
      </c>
      <c r="N497">
        <v>1.47</v>
      </c>
      <c r="O497">
        <v>1.47</v>
      </c>
      <c r="P497">
        <v>1.48</v>
      </c>
      <c r="Q497">
        <v>1.4</v>
      </c>
      <c r="R497" t="str" cm="1">
        <f t="array" ref="R4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97">
        <v>0</v>
      </c>
      <c r="T497">
        <v>3</v>
      </c>
      <c r="U497">
        <v>3</v>
      </c>
      <c r="V497">
        <v>1</v>
      </c>
      <c r="W497">
        <v>0</v>
      </c>
      <c r="X497">
        <v>1</v>
      </c>
      <c r="Z497" t="s">
        <v>955</v>
      </c>
      <c r="AA497">
        <v>7</v>
      </c>
      <c r="AB497">
        <v>6</v>
      </c>
      <c r="AC497">
        <v>0</v>
      </c>
      <c r="AD497">
        <v>0</v>
      </c>
      <c r="AE497">
        <v>2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12</v>
      </c>
      <c r="AL497">
        <v>14</v>
      </c>
      <c r="AM497">
        <v>5</v>
      </c>
      <c r="AN497">
        <v>4</v>
      </c>
      <c r="AO497">
        <v>7</v>
      </c>
      <c r="AP497">
        <v>10</v>
      </c>
      <c r="AQ497">
        <v>21</v>
      </c>
      <c r="AR497">
        <v>13</v>
      </c>
      <c r="AS497">
        <v>55</v>
      </c>
      <c r="AT497">
        <v>45</v>
      </c>
      <c r="AU497">
        <v>1.54</v>
      </c>
      <c r="AV497">
        <v>1.38</v>
      </c>
      <c r="AW497">
        <v>2.2400000000000002</v>
      </c>
      <c r="AX497">
        <v>53</v>
      </c>
      <c r="AY497">
        <v>74</v>
      </c>
      <c r="AZ497">
        <v>36</v>
      </c>
      <c r="BA497">
        <v>15</v>
      </c>
      <c r="BB497">
        <v>3</v>
      </c>
      <c r="BC497">
        <v>33</v>
      </c>
      <c r="BD497">
        <v>65</v>
      </c>
      <c r="BE497">
        <v>33</v>
      </c>
      <c r="BF497">
        <v>74</v>
      </c>
      <c r="BG497">
        <v>11.3</v>
      </c>
      <c r="BH497">
        <v>4.3</v>
      </c>
      <c r="BI497">
        <v>2.2000000000000002</v>
      </c>
      <c r="BJ497">
        <v>3.15</v>
      </c>
      <c r="BK497">
        <v>3.35</v>
      </c>
      <c r="BL497">
        <f>(1/Table1[[#This Row],[odds_ft_home_team_win]]+1/Table1[[#This Row],[odds_ft_draw]]+1/Table1[[#This Row],[odds_ft_away_team_win]]-1)/3</f>
        <v>2.3504411564113054E-2</v>
      </c>
      <c r="BM497">
        <v>1.34</v>
      </c>
      <c r="BN497">
        <v>2.1</v>
      </c>
      <c r="BO497">
        <v>3.7</v>
      </c>
      <c r="BP497">
        <v>7.25</v>
      </c>
      <c r="BQ497">
        <v>1.83</v>
      </c>
      <c r="BR497">
        <v>1.91</v>
      </c>
      <c r="BS497" t="s">
        <v>142</v>
      </c>
      <c r="BT497">
        <f>VLOOKUP(Table1[[#This Row],[Reference]],metron,8,FALSE)</f>
        <v>1.6395459745305552</v>
      </c>
      <c r="BU497">
        <f>VLOOKUP(Table1[[#This Row],[Reference]],metron,9,FALSE)</f>
        <v>1.0758429359324786</v>
      </c>
      <c r="BV497">
        <f>VLOOKUP(Table1[[#This Row],[Reference]],metron,10,FALSE)</f>
        <v>2.4807646356033461</v>
      </c>
      <c r="BW497">
        <f>VLOOKUP(Table1[[#This Row],[Reference]],metron,11,FALSE)</f>
        <v>1.4140979689366791</v>
      </c>
      <c r="BX497">
        <f>VLOOKUP(Table1[[#This Row],[Reference]],metron,12,FALSE)</f>
        <v>1.0666666666666671</v>
      </c>
      <c r="BY497" s="6">
        <f>VLOOKUP(Table1[[#This Row],[Reference]],metron,13,FALSE)</f>
        <v>0.62712066905615294</v>
      </c>
      <c r="BZ497" s="6">
        <f>VLOOKUP(Table1[[#This Row],[Reference]],metron,14,FALSE)</f>
        <v>0.46009557945041818</v>
      </c>
      <c r="CA497" s="6">
        <f>VLOOKUP(Table1[[#This Row],[Reference]],metron,15,FALSE)</f>
        <v>12.56969280146722</v>
      </c>
      <c r="CB497" s="6">
        <f>VLOOKUP(Table1[[#This Row],[Reference]],metron,16,FALSE)</f>
        <v>9.8695552498853729</v>
      </c>
      <c r="CC497" s="6">
        <f>VLOOKUP(Table1[[#This Row],[Reference]],metron,17,FALSE)</f>
        <v>5.2754256787850897</v>
      </c>
      <c r="CD497" s="6">
        <f>VLOOKUP(Table1[[#This Row],[Reference]],metron,18,FALSE)</f>
        <v>4.1279337321675103</v>
      </c>
      <c r="CE497" s="6">
        <f>VLOOKUP(Table1[[#This Row],[Reference]],metron,19,FALSE)</f>
        <v>7.2942671226821298</v>
      </c>
      <c r="CF497" s="6">
        <f>VLOOKUP(Table1[[#This Row],[Reference]],metron,20,FALSE)</f>
        <v>5.7416215177178627</v>
      </c>
      <c r="CG497" s="6">
        <f>VLOOKUP(Table1[[#This Row],[Reference]],metron,21,FALSE)</f>
        <v>12.897246007868549</v>
      </c>
      <c r="CH497" s="6">
        <f>VLOOKUP(Table1[[#This Row],[Reference]],metron,22,FALSE)</f>
        <v>13.507058551261281</v>
      </c>
      <c r="CI497" s="6">
        <f>VLOOKUP(Table1[[#This Row],[Reference]],metron,23,FALSE)</f>
        <v>1.576522702104098</v>
      </c>
      <c r="CJ497" s="6">
        <f>VLOOKUP(Table1[[#This Row],[Reference]],metron,24,FALSE)</f>
        <v>1.917165005537099</v>
      </c>
      <c r="CK497" s="6">
        <f>VLOOKUP(Table1[[#This Row],[Reference]],metron,25,FALSE)</f>
        <v>8.4385382059800659E-2</v>
      </c>
      <c r="CL497" s="6">
        <f>VLOOKUP(Table1[[#This Row],[Reference]],metron,26,FALSE)</f>
        <v>0.1233665559246955</v>
      </c>
    </row>
    <row r="498" spans="1:90" hidden="1" x14ac:dyDescent="0.45">
      <c r="A498" t="s">
        <v>1255</v>
      </c>
      <c r="B498">
        <v>1606014600</v>
      </c>
      <c r="C498" s="1" t="s">
        <v>956</v>
      </c>
      <c r="D498" t="s">
        <v>65</v>
      </c>
      <c r="E498" t="s">
        <v>66</v>
      </c>
      <c r="F498" t="s">
        <v>90</v>
      </c>
      <c r="G498" t="s">
        <v>72</v>
      </c>
      <c r="H498" t="s">
        <v>158</v>
      </c>
      <c r="I498">
        <f>MROUND(Table1[[#This Row],[ProbH]]*100,2)/100</f>
        <v>0.44</v>
      </c>
      <c r="J498">
        <f>1/Table1[[#This Row],[odds_ft_home_team_win]]-Table1[[#This Row],[Margin]]</f>
        <v>0.44097238940514982</v>
      </c>
      <c r="K498">
        <f>1/Table1[[#This Row],[odds_ft_draw]]-Table1[[#This Row],[Margin]]</f>
        <v>0.29331642779569983</v>
      </c>
      <c r="L498">
        <f>1/Table1[[#This Row],[odds_ft_away_team_win]]-Table1[[#This Row],[Margin]]</f>
        <v>0.26571118279915051</v>
      </c>
      <c r="M498" t="s">
        <v>66</v>
      </c>
      <c r="N498">
        <v>1.53</v>
      </c>
      <c r="O498">
        <v>1.41</v>
      </c>
      <c r="P498">
        <v>1.48</v>
      </c>
      <c r="Q498">
        <v>1</v>
      </c>
      <c r="R498" s="9" t="str" cm="1">
        <f t="array" ref="R4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54</v>
      </c>
      <c r="AA498">
        <v>13</v>
      </c>
      <c r="AB498">
        <v>2</v>
      </c>
      <c r="AC498">
        <v>2</v>
      </c>
      <c r="AD498">
        <v>0</v>
      </c>
      <c r="AE498">
        <v>5</v>
      </c>
      <c r="AF498">
        <v>0</v>
      </c>
      <c r="AG498">
        <v>1</v>
      </c>
      <c r="AH498">
        <v>1</v>
      </c>
      <c r="AI498">
        <v>0</v>
      </c>
      <c r="AJ498">
        <v>5</v>
      </c>
      <c r="AK498">
        <v>22</v>
      </c>
      <c r="AL498">
        <v>12</v>
      </c>
      <c r="AM498">
        <v>6</v>
      </c>
      <c r="AN498">
        <v>0</v>
      </c>
      <c r="AO498">
        <v>16</v>
      </c>
      <c r="AP498">
        <v>12</v>
      </c>
      <c r="AQ498">
        <v>14</v>
      </c>
      <c r="AR498">
        <v>14</v>
      </c>
      <c r="AS498">
        <v>58</v>
      </c>
      <c r="AT498">
        <v>42</v>
      </c>
      <c r="AU498">
        <v>2.23</v>
      </c>
      <c r="AV498">
        <v>0.97</v>
      </c>
      <c r="AW498">
        <v>2.15</v>
      </c>
      <c r="AX498">
        <v>44</v>
      </c>
      <c r="AY498">
        <v>65</v>
      </c>
      <c r="AZ498">
        <v>38</v>
      </c>
      <c r="BA498">
        <v>15</v>
      </c>
      <c r="BB498">
        <v>6</v>
      </c>
      <c r="BC498">
        <v>15</v>
      </c>
      <c r="BD498">
        <v>62</v>
      </c>
      <c r="BE498">
        <v>35</v>
      </c>
      <c r="BF498">
        <v>77</v>
      </c>
      <c r="BG498">
        <v>8.06</v>
      </c>
      <c r="BH498">
        <v>4.9400000000000004</v>
      </c>
      <c r="BI498">
        <v>2.15</v>
      </c>
      <c r="BJ498">
        <v>3.15</v>
      </c>
      <c r="BK498">
        <v>3.45</v>
      </c>
      <c r="BL498">
        <f>(1/Table1[[#This Row],[odds_ft_home_team_win]]+1/Table1[[#This Row],[odds_ft_draw]]+1/Table1[[#This Row],[odds_ft_away_team_win]]-1)/3</f>
        <v>2.414388966461763E-2</v>
      </c>
      <c r="BM498">
        <v>1.4</v>
      </c>
      <c r="BN498">
        <v>2.25</v>
      </c>
      <c r="BO498">
        <v>4.25</v>
      </c>
      <c r="BP498">
        <v>8.5</v>
      </c>
      <c r="BQ498">
        <v>1.95</v>
      </c>
      <c r="BR498">
        <v>1.8</v>
      </c>
      <c r="BS498" t="s">
        <v>94</v>
      </c>
      <c r="BT498">
        <f>VLOOKUP(Table1[[#This Row],[Reference]],metron,8,FALSE)</f>
        <v>1.6395459745305552</v>
      </c>
      <c r="BU498">
        <f>VLOOKUP(Table1[[#This Row],[Reference]],metron,9,FALSE)</f>
        <v>1.0758429359324786</v>
      </c>
      <c r="BV498">
        <f>VLOOKUP(Table1[[#This Row],[Reference]],metron,10,FALSE)</f>
        <v>2.4807646356033461</v>
      </c>
      <c r="BW498">
        <f>VLOOKUP(Table1[[#This Row],[Reference]],metron,11,FALSE)</f>
        <v>1.4140979689366791</v>
      </c>
      <c r="BX498">
        <f>VLOOKUP(Table1[[#This Row],[Reference]],metron,12,FALSE)</f>
        <v>1.0666666666666671</v>
      </c>
      <c r="BY498" s="6">
        <f>VLOOKUP(Table1[[#This Row],[Reference]],metron,13,FALSE)</f>
        <v>0.62712066905615294</v>
      </c>
      <c r="BZ498" s="6">
        <f>VLOOKUP(Table1[[#This Row],[Reference]],metron,14,FALSE)</f>
        <v>0.46009557945041818</v>
      </c>
      <c r="CA498" s="6">
        <f>VLOOKUP(Table1[[#This Row],[Reference]],metron,15,FALSE)</f>
        <v>12.56969280146722</v>
      </c>
      <c r="CB498" s="6">
        <f>VLOOKUP(Table1[[#This Row],[Reference]],metron,16,FALSE)</f>
        <v>9.8695552498853729</v>
      </c>
      <c r="CC498" s="6">
        <f>VLOOKUP(Table1[[#This Row],[Reference]],metron,17,FALSE)</f>
        <v>5.2754256787850897</v>
      </c>
      <c r="CD498" s="6">
        <f>VLOOKUP(Table1[[#This Row],[Reference]],metron,18,FALSE)</f>
        <v>4.1279337321675103</v>
      </c>
      <c r="CE498" s="6">
        <f>VLOOKUP(Table1[[#This Row],[Reference]],metron,19,FALSE)</f>
        <v>7.2942671226821298</v>
      </c>
      <c r="CF498" s="6">
        <f>VLOOKUP(Table1[[#This Row],[Reference]],metron,20,FALSE)</f>
        <v>5.7416215177178627</v>
      </c>
      <c r="CG498" s="6">
        <f>VLOOKUP(Table1[[#This Row],[Reference]],metron,21,FALSE)</f>
        <v>12.897246007868549</v>
      </c>
      <c r="CH498" s="6">
        <f>VLOOKUP(Table1[[#This Row],[Reference]],metron,22,FALSE)</f>
        <v>13.507058551261281</v>
      </c>
      <c r="CI498" s="6">
        <f>VLOOKUP(Table1[[#This Row],[Reference]],metron,23,FALSE)</f>
        <v>1.576522702104098</v>
      </c>
      <c r="CJ498" s="6">
        <f>VLOOKUP(Table1[[#This Row],[Reference]],metron,24,FALSE)</f>
        <v>1.917165005537099</v>
      </c>
      <c r="CK498" s="6">
        <f>VLOOKUP(Table1[[#This Row],[Reference]],metron,25,FALSE)</f>
        <v>8.4385382059800659E-2</v>
      </c>
      <c r="CL498" s="6">
        <f>VLOOKUP(Table1[[#This Row],[Reference]],metron,26,FALSE)</f>
        <v>0.1233665559246955</v>
      </c>
    </row>
    <row r="499" spans="1:90" hidden="1" x14ac:dyDescent="0.45">
      <c r="A499" t="s">
        <v>1255</v>
      </c>
      <c r="B499">
        <v>1606093200</v>
      </c>
      <c r="C499" s="1" t="s">
        <v>957</v>
      </c>
      <c r="D499" t="s">
        <v>65</v>
      </c>
      <c r="E499" t="s">
        <v>66</v>
      </c>
      <c r="F499" t="s">
        <v>107</v>
      </c>
      <c r="G499" t="s">
        <v>79</v>
      </c>
      <c r="H499" t="s">
        <v>130</v>
      </c>
      <c r="I499">
        <f>MROUND(Table1[[#This Row],[ProbH]]*100,2)/100</f>
        <v>0.62</v>
      </c>
      <c r="J499">
        <f>1/Table1[[#This Row],[odds_ft_home_team_win]]-Table1[[#This Row],[Margin]]</f>
        <v>0.62794146660045036</v>
      </c>
      <c r="K499">
        <f>1/Table1[[#This Row],[odds_ft_draw]]-Table1[[#This Row],[Margin]]</f>
        <v>0.21955467267148773</v>
      </c>
      <c r="L499">
        <f>1/Table1[[#This Row],[odds_ft_away_team_win]]-Table1[[#This Row],[Margin]]</f>
        <v>0.15250386072806188</v>
      </c>
      <c r="M499" t="s">
        <v>66</v>
      </c>
      <c r="N499">
        <v>1.65</v>
      </c>
      <c r="O499">
        <v>1.24</v>
      </c>
      <c r="P499">
        <v>1.5</v>
      </c>
      <c r="Q499">
        <v>1.24</v>
      </c>
      <c r="R499" t="str" cm="1">
        <f t="array" ref="R4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9">
        <v>2</v>
      </c>
      <c r="T499">
        <v>1</v>
      </c>
      <c r="U499">
        <v>3</v>
      </c>
      <c r="V499">
        <v>2</v>
      </c>
      <c r="W499">
        <v>2</v>
      </c>
      <c r="X499">
        <v>0</v>
      </c>
      <c r="Y499" t="s">
        <v>800</v>
      </c>
      <c r="Z499">
        <v>52</v>
      </c>
      <c r="AA499">
        <v>2</v>
      </c>
      <c r="AB499">
        <v>4</v>
      </c>
      <c r="AC499">
        <v>4</v>
      </c>
      <c r="AD499">
        <v>1</v>
      </c>
      <c r="AE499">
        <v>3</v>
      </c>
      <c r="AF499">
        <v>0</v>
      </c>
      <c r="AG499">
        <v>2</v>
      </c>
      <c r="AH499">
        <v>3</v>
      </c>
      <c r="AI499">
        <v>1</v>
      </c>
      <c r="AJ499">
        <v>2</v>
      </c>
      <c r="AK499">
        <v>11</v>
      </c>
      <c r="AL499">
        <v>6</v>
      </c>
      <c r="AM499">
        <v>8</v>
      </c>
      <c r="AN499">
        <v>3</v>
      </c>
      <c r="AO499">
        <v>3</v>
      </c>
      <c r="AP499">
        <v>3</v>
      </c>
      <c r="AQ499">
        <v>13</v>
      </c>
      <c r="AR499">
        <v>14</v>
      </c>
      <c r="AS499">
        <v>46</v>
      </c>
      <c r="AT499">
        <v>54</v>
      </c>
      <c r="AU499">
        <v>1.58</v>
      </c>
      <c r="AV499">
        <v>1.1399999999999999</v>
      </c>
      <c r="AW499">
        <v>2.77</v>
      </c>
      <c r="AX499">
        <v>62</v>
      </c>
      <c r="AY499">
        <v>85</v>
      </c>
      <c r="AZ499">
        <v>50</v>
      </c>
      <c r="BA499">
        <v>30</v>
      </c>
      <c r="BB499">
        <v>18</v>
      </c>
      <c r="BC499">
        <v>42</v>
      </c>
      <c r="BD499">
        <v>65</v>
      </c>
      <c r="BE499">
        <v>53</v>
      </c>
      <c r="BF499">
        <v>85</v>
      </c>
      <c r="BG499">
        <v>10.35</v>
      </c>
      <c r="BH499">
        <v>4.53</v>
      </c>
      <c r="BI499">
        <v>1.54</v>
      </c>
      <c r="BJ499">
        <v>4.1500000000000004</v>
      </c>
      <c r="BK499">
        <v>5.75</v>
      </c>
      <c r="BL499">
        <f>(1/Table1[[#This Row],[odds_ft_home_team_win]]+1/Table1[[#This Row],[odds_ft_draw]]+1/Table1[[#This Row],[odds_ft_away_team_win]]-1)/3</f>
        <v>2.1409182750198985E-2</v>
      </c>
      <c r="BM499">
        <v>1.2</v>
      </c>
      <c r="BN499">
        <v>1.67</v>
      </c>
      <c r="BO499">
        <v>2.65</v>
      </c>
      <c r="BP499">
        <v>4.75</v>
      </c>
      <c r="BQ499">
        <v>1.71</v>
      </c>
      <c r="BR499">
        <v>2.0499999999999998</v>
      </c>
      <c r="BS499" t="s">
        <v>161</v>
      </c>
      <c r="BT499">
        <f>VLOOKUP(Table1[[#This Row],[Reference]],metron,8,FALSE)</f>
        <v>2.1234388909289978</v>
      </c>
      <c r="BU499">
        <f>VLOOKUP(Table1[[#This Row],[Reference]],metron,9,FALSE)</f>
        <v>0.63925141338926716</v>
      </c>
      <c r="BV499">
        <f>VLOOKUP(Table1[[#This Row],[Reference]],metron,10,FALSE)</f>
        <v>2.7366666666666664</v>
      </c>
      <c r="BW499">
        <f>VLOOKUP(Table1[[#This Row],[Reference]],metron,11,FALSE)</f>
        <v>1.8681481481481479</v>
      </c>
      <c r="BX499">
        <f>VLOOKUP(Table1[[#This Row],[Reference]],metron,12,FALSE)</f>
        <v>0.86851851851851847</v>
      </c>
      <c r="BY499" s="6">
        <f>VLOOKUP(Table1[[#This Row],[Reference]],metron,13,FALSE)</f>
        <v>0.81333333333333335</v>
      </c>
      <c r="BZ499" s="6">
        <f>VLOOKUP(Table1[[#This Row],[Reference]],metron,14,FALSE)</f>
        <v>0.38925925925925919</v>
      </c>
      <c r="CA499" s="6">
        <f>VLOOKUP(Table1[[#This Row],[Reference]],metron,15,FALSE)</f>
        <v>14.53422724064926</v>
      </c>
      <c r="CB499" s="6">
        <f>VLOOKUP(Table1[[#This Row],[Reference]],metron,16,FALSE)</f>
        <v>8.7882851093860275</v>
      </c>
      <c r="CC499" s="6">
        <f>VLOOKUP(Table1[[#This Row],[Reference]],metron,17,FALSE)</f>
        <v>6.3007953723788868</v>
      </c>
      <c r="CD499" s="6">
        <f>VLOOKUP(Table1[[#This Row],[Reference]],metron,18,FALSE)</f>
        <v>3.681851048445409</v>
      </c>
      <c r="CE499" s="6">
        <f>VLOOKUP(Table1[[#This Row],[Reference]],metron,19,FALSE)</f>
        <v>8.2334318682703724</v>
      </c>
      <c r="CF499" s="6">
        <f>VLOOKUP(Table1[[#This Row],[Reference]],metron,20,FALSE)</f>
        <v>5.106434060940618</v>
      </c>
      <c r="CG499" s="6">
        <f>VLOOKUP(Table1[[#This Row],[Reference]],metron,21,FALSE)</f>
        <v>12.32150615496017</v>
      </c>
      <c r="CH499" s="6">
        <f>VLOOKUP(Table1[[#This Row],[Reference]],metron,22,FALSE)</f>
        <v>13.337436640115859</v>
      </c>
      <c r="CI499" s="6">
        <f>VLOOKUP(Table1[[#This Row],[Reference]],metron,23,FALSE)</f>
        <v>1.346101231190151</v>
      </c>
      <c r="CJ499" s="6">
        <f>VLOOKUP(Table1[[#This Row],[Reference]],metron,24,FALSE)</f>
        <v>1.995212038303694</v>
      </c>
      <c r="CK499" s="6">
        <f>VLOOKUP(Table1[[#This Row],[Reference]],metron,25,FALSE)</f>
        <v>6.1559507523939808E-2</v>
      </c>
      <c r="CL499" s="6">
        <f>VLOOKUP(Table1[[#This Row],[Reference]],metron,26,FALSE)</f>
        <v>0.13201094391244869</v>
      </c>
    </row>
    <row r="500" spans="1:90" hidden="1" x14ac:dyDescent="0.45">
      <c r="A500" t="s">
        <v>1255</v>
      </c>
      <c r="B500">
        <v>1606101000</v>
      </c>
      <c r="C500" s="1" t="s">
        <v>958</v>
      </c>
      <c r="D500" t="s">
        <v>65</v>
      </c>
      <c r="E500" t="s">
        <v>66</v>
      </c>
      <c r="F500" t="s">
        <v>101</v>
      </c>
      <c r="G500" t="s">
        <v>102</v>
      </c>
      <c r="H500" t="s">
        <v>122</v>
      </c>
      <c r="I500">
        <f>MROUND(Table1[[#This Row],[ProbH]]*100,2)/100</f>
        <v>0.64</v>
      </c>
      <c r="J500">
        <f>1/Table1[[#This Row],[odds_ft_home_team_win]]-Table1[[#This Row],[Margin]]</f>
        <v>0.64379084967320255</v>
      </c>
      <c r="K500">
        <f>1/Table1[[#This Row],[odds_ft_draw]]-Table1[[#This Row],[Margin]]</f>
        <v>0.21241830065359477</v>
      </c>
      <c r="L500">
        <f>1/Table1[[#This Row],[odds_ft_away_team_win]]-Table1[[#This Row],[Margin]]</f>
        <v>0.1437908496732026</v>
      </c>
      <c r="M500" t="s">
        <v>66</v>
      </c>
      <c r="N500">
        <v>1.71</v>
      </c>
      <c r="O500">
        <v>1.18</v>
      </c>
      <c r="P500">
        <v>1.59</v>
      </c>
      <c r="Q500">
        <v>1.41</v>
      </c>
      <c r="R500" t="str" cm="1">
        <f t="array" ref="R5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0">
        <v>2</v>
      </c>
      <c r="T500">
        <v>2</v>
      </c>
      <c r="U500">
        <v>4</v>
      </c>
      <c r="V500">
        <v>1</v>
      </c>
      <c r="W500">
        <v>1</v>
      </c>
      <c r="X500">
        <v>0</v>
      </c>
      <c r="Y500" t="s">
        <v>959</v>
      </c>
      <c r="Z500" t="s">
        <v>960</v>
      </c>
      <c r="AA500">
        <v>3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14</v>
      </c>
      <c r="AL500">
        <v>9</v>
      </c>
      <c r="AM500">
        <v>7</v>
      </c>
      <c r="AN500">
        <v>5</v>
      </c>
      <c r="AO500">
        <v>7</v>
      </c>
      <c r="AP500">
        <v>4</v>
      </c>
      <c r="AQ500">
        <v>15</v>
      </c>
      <c r="AR500">
        <v>9</v>
      </c>
      <c r="AS500">
        <v>56</v>
      </c>
      <c r="AT500">
        <v>44</v>
      </c>
      <c r="AU500">
        <v>1.73</v>
      </c>
      <c r="AV500">
        <v>1.06</v>
      </c>
      <c r="AW500">
        <v>2.76</v>
      </c>
      <c r="AX500">
        <v>68</v>
      </c>
      <c r="AY500">
        <v>74</v>
      </c>
      <c r="AZ500">
        <v>53</v>
      </c>
      <c r="BA500">
        <v>32</v>
      </c>
      <c r="BB500">
        <v>15</v>
      </c>
      <c r="BC500">
        <v>44</v>
      </c>
      <c r="BD500">
        <v>74</v>
      </c>
      <c r="BE500">
        <v>50</v>
      </c>
      <c r="BF500">
        <v>80</v>
      </c>
      <c r="BG500">
        <v>11.05</v>
      </c>
      <c r="BH500">
        <v>4.6399999999999997</v>
      </c>
      <c r="BI500">
        <v>1.5</v>
      </c>
      <c r="BJ500">
        <v>4.25</v>
      </c>
      <c r="BK500">
        <v>6</v>
      </c>
      <c r="BL500">
        <f>(1/Table1[[#This Row],[odds_ft_home_team_win]]+1/Table1[[#This Row],[odds_ft_draw]]+1/Table1[[#This Row],[odds_ft_away_team_win]]-1)/3</f>
        <v>2.2875816993464044E-2</v>
      </c>
      <c r="BM500">
        <v>1.19</v>
      </c>
      <c r="BN500">
        <v>1.62</v>
      </c>
      <c r="BO500">
        <v>2.6</v>
      </c>
      <c r="BP500">
        <v>4.5999999999999996</v>
      </c>
      <c r="BQ500">
        <v>1.71</v>
      </c>
      <c r="BR500">
        <v>2.0499999999999998</v>
      </c>
      <c r="BS500" t="s">
        <v>713</v>
      </c>
      <c r="BT500">
        <f>VLOOKUP(Table1[[#This Row],[Reference]],metron,8,FALSE)</f>
        <v>2.1745910991837163</v>
      </c>
      <c r="BU500">
        <f>VLOOKUP(Table1[[#This Row],[Reference]],metron,9,FALSE)</f>
        <v>0.59796358565236019</v>
      </c>
      <c r="BV500">
        <f>VLOOKUP(Table1[[#This Row],[Reference]],metron,10,FALSE)</f>
        <v>2.8343749999999996</v>
      </c>
      <c r="BW500">
        <f>VLOOKUP(Table1[[#This Row],[Reference]],metron,11,FALSE)</f>
        <v>1.980803571428571</v>
      </c>
      <c r="BX500">
        <f>VLOOKUP(Table1[[#This Row],[Reference]],metron,12,FALSE)</f>
        <v>0.85357142857142854</v>
      </c>
      <c r="BY500" s="6">
        <f>VLOOKUP(Table1[[#This Row],[Reference]],metron,13,FALSE)</f>
        <v>0.8683035714285714</v>
      </c>
      <c r="BZ500" s="6">
        <f>VLOOKUP(Table1[[#This Row],[Reference]],metron,14,FALSE)</f>
        <v>0.36607142857142849</v>
      </c>
      <c r="CA500" s="6">
        <f>VLOOKUP(Table1[[#This Row],[Reference]],metron,15,FALSE)</f>
        <v>15.03980099502488</v>
      </c>
      <c r="CB500" s="6">
        <f>VLOOKUP(Table1[[#This Row],[Reference]],metron,16,FALSE)</f>
        <v>8.6326699834162515</v>
      </c>
      <c r="CC500" s="6">
        <f>VLOOKUP(Table1[[#This Row],[Reference]],metron,17,FALSE)</f>
        <v>6.5189234650967203</v>
      </c>
      <c r="CD500" s="6">
        <f>VLOOKUP(Table1[[#This Row],[Reference]],metron,18,FALSE)</f>
        <v>3.4507989907485279</v>
      </c>
      <c r="CE500" s="6">
        <f>VLOOKUP(Table1[[#This Row],[Reference]],metron,19,FALSE)</f>
        <v>8.5208775299281605</v>
      </c>
      <c r="CF500" s="6">
        <f>VLOOKUP(Table1[[#This Row],[Reference]],metron,20,FALSE)</f>
        <v>5.181870992667724</v>
      </c>
      <c r="CG500" s="6">
        <f>VLOOKUP(Table1[[#This Row],[Reference]],metron,21,FALSE)</f>
        <v>12.48566610455312</v>
      </c>
      <c r="CH500" s="6">
        <f>VLOOKUP(Table1[[#This Row],[Reference]],metron,22,FALSE)</f>
        <v>13.573355817875211</v>
      </c>
      <c r="CI500" s="6">
        <f>VLOOKUP(Table1[[#This Row],[Reference]],metron,23,FALSE)</f>
        <v>1.395273023634882</v>
      </c>
      <c r="CJ500" s="6">
        <f>VLOOKUP(Table1[[#This Row],[Reference]],metron,24,FALSE)</f>
        <v>2.0586797066014668</v>
      </c>
      <c r="CK500" s="6">
        <f>VLOOKUP(Table1[[#This Row],[Reference]],metron,25,FALSE)</f>
        <v>6.8459657701711488E-2</v>
      </c>
      <c r="CL500" s="6">
        <f>VLOOKUP(Table1[[#This Row],[Reference]],metron,26,FALSE)</f>
        <v>0.12713936430317849</v>
      </c>
    </row>
    <row r="501" spans="1:90" hidden="1" x14ac:dyDescent="0.45">
      <c r="A501" t="s">
        <v>1255</v>
      </c>
      <c r="B501">
        <v>1606352400</v>
      </c>
      <c r="C501" s="1" t="s">
        <v>961</v>
      </c>
      <c r="D501" t="s">
        <v>65</v>
      </c>
      <c r="E501" t="s">
        <v>66</v>
      </c>
      <c r="F501" t="s">
        <v>102</v>
      </c>
      <c r="G501" t="s">
        <v>85</v>
      </c>
      <c r="H501" t="s">
        <v>215</v>
      </c>
      <c r="I501">
        <f>MROUND(Table1[[#This Row],[ProbH]]*100,2)/100</f>
        <v>0.2</v>
      </c>
      <c r="J501">
        <f>1/Table1[[#This Row],[odds_ft_home_team_win]]-Table1[[#This Row],[Margin]]</f>
        <v>0.20163420695650147</v>
      </c>
      <c r="K501">
        <f>1/Table1[[#This Row],[odds_ft_draw]]-Table1[[#This Row],[Margin]]</f>
        <v>0.23665536557316569</v>
      </c>
      <c r="L501">
        <f>1/Table1[[#This Row],[odds_ft_away_team_win]]-Table1[[#This Row],[Margin]]</f>
        <v>0.56171042747033284</v>
      </c>
      <c r="M501" t="s">
        <v>66</v>
      </c>
      <c r="N501">
        <v>1.17</v>
      </c>
      <c r="O501">
        <v>2.35</v>
      </c>
      <c r="P501">
        <v>1.41</v>
      </c>
      <c r="Q501">
        <v>1.9</v>
      </c>
      <c r="R501" t="str" cm="1">
        <f t="array" ref="R5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01">
        <v>2</v>
      </c>
      <c r="T501">
        <v>1</v>
      </c>
      <c r="U501">
        <v>3</v>
      </c>
      <c r="V501">
        <v>3</v>
      </c>
      <c r="W501">
        <v>2</v>
      </c>
      <c r="X501">
        <v>1</v>
      </c>
      <c r="Y501" t="s">
        <v>962</v>
      </c>
      <c r="Z501">
        <v>43</v>
      </c>
      <c r="AA501">
        <v>2</v>
      </c>
      <c r="AB501">
        <v>8</v>
      </c>
      <c r="AC501">
        <v>2</v>
      </c>
      <c r="AD501">
        <v>0</v>
      </c>
      <c r="AE501">
        <v>3</v>
      </c>
      <c r="AF501">
        <v>0</v>
      </c>
      <c r="AG501">
        <v>1</v>
      </c>
      <c r="AH501">
        <v>1</v>
      </c>
      <c r="AI501">
        <v>2</v>
      </c>
      <c r="AJ501">
        <v>1</v>
      </c>
      <c r="AK501">
        <v>6</v>
      </c>
      <c r="AL501">
        <v>9</v>
      </c>
      <c r="AM501">
        <v>2</v>
      </c>
      <c r="AN501">
        <v>6</v>
      </c>
      <c r="AO501">
        <v>4</v>
      </c>
      <c r="AP501">
        <v>3</v>
      </c>
      <c r="AQ501">
        <v>14</v>
      </c>
      <c r="AR501">
        <v>11</v>
      </c>
      <c r="AS501">
        <v>28</v>
      </c>
      <c r="AT501">
        <v>72</v>
      </c>
      <c r="AU501">
        <v>0.85</v>
      </c>
      <c r="AV501">
        <v>1.61</v>
      </c>
      <c r="AW501">
        <v>2.62</v>
      </c>
      <c r="AX501">
        <v>55</v>
      </c>
      <c r="AY501">
        <v>69</v>
      </c>
      <c r="AZ501">
        <v>49</v>
      </c>
      <c r="BA501">
        <v>29</v>
      </c>
      <c r="BB501">
        <v>20</v>
      </c>
      <c r="BC501">
        <v>31</v>
      </c>
      <c r="BD501">
        <v>72</v>
      </c>
      <c r="BE501">
        <v>43</v>
      </c>
      <c r="BF501">
        <v>75</v>
      </c>
      <c r="BG501">
        <v>8.4700000000000006</v>
      </c>
      <c r="BH501">
        <v>4.0999999999999996</v>
      </c>
      <c r="BI501">
        <v>4.45</v>
      </c>
      <c r="BJ501">
        <v>3.85</v>
      </c>
      <c r="BK501">
        <v>1.71</v>
      </c>
      <c r="BL501">
        <f>(1/Table1[[#This Row],[odds_ft_home_team_win]]+1/Table1[[#This Row],[odds_ft_draw]]+1/Table1[[#This Row],[odds_ft_away_team_win]]-1)/3</f>
        <v>2.3084894167094028E-2</v>
      </c>
      <c r="BM501">
        <v>1.25</v>
      </c>
      <c r="BN501">
        <v>1.8</v>
      </c>
      <c r="BO501">
        <v>3</v>
      </c>
      <c r="BP501">
        <v>5.75</v>
      </c>
      <c r="BQ501">
        <v>1.74</v>
      </c>
      <c r="BR501">
        <v>2.0499999999999998</v>
      </c>
      <c r="BS501" t="s">
        <v>124</v>
      </c>
      <c r="BT501">
        <f>VLOOKUP(Table1[[#This Row],[Reference]],metron,8,FALSE)</f>
        <v>0.89040268062788797</v>
      </c>
      <c r="BU501">
        <f>VLOOKUP(Table1[[#This Row],[Reference]],metron,9,FALSE)</f>
        <v>1.8482406971105219</v>
      </c>
      <c r="BV501">
        <f>VLOOKUP(Table1[[#This Row],[Reference]],metron,10,FALSE)</f>
        <v>2.7065095398428731</v>
      </c>
      <c r="BW501">
        <f>VLOOKUP(Table1[[#This Row],[Reference]],metron,11,FALSE)</f>
        <v>1.0101010101010099</v>
      </c>
      <c r="BX501">
        <f>VLOOKUP(Table1[[#This Row],[Reference]],metron,12,FALSE)</f>
        <v>1.696408529741863</v>
      </c>
      <c r="BY501" s="6">
        <f>VLOOKUP(Table1[[#This Row],[Reference]],metron,13,FALSE)</f>
        <v>0.44044943820224719</v>
      </c>
      <c r="BZ501" s="6">
        <f>VLOOKUP(Table1[[#This Row],[Reference]],metron,14,FALSE)</f>
        <v>0.74606741573033708</v>
      </c>
      <c r="CA501" s="6">
        <f>VLOOKUP(Table1[[#This Row],[Reference]],metron,15,FALSE)</f>
        <v>10.265072765072761</v>
      </c>
      <c r="CB501" s="6">
        <f>VLOOKUP(Table1[[#This Row],[Reference]],metron,16,FALSE)</f>
        <v>13.023908523908521</v>
      </c>
      <c r="CC501" s="6">
        <f>VLOOKUP(Table1[[#This Row],[Reference]],metron,17,FALSE)</f>
        <v>4.0483193277310923</v>
      </c>
      <c r="CD501" s="6">
        <f>VLOOKUP(Table1[[#This Row],[Reference]],metron,18,FALSE)</f>
        <v>5.60609243697479</v>
      </c>
      <c r="CE501" s="6">
        <f>VLOOKUP(Table1[[#This Row],[Reference]],metron,19,FALSE)</f>
        <v>6.2167534373416684</v>
      </c>
      <c r="CF501" s="6">
        <f>VLOOKUP(Table1[[#This Row],[Reference]],metron,20,FALSE)</f>
        <v>7.4178160869337306</v>
      </c>
      <c r="CG501" s="6">
        <f>VLOOKUP(Table1[[#This Row],[Reference]],metron,21,FALSE)</f>
        <v>13.223628691983119</v>
      </c>
      <c r="CH501" s="6">
        <f>VLOOKUP(Table1[[#This Row],[Reference]],metron,22,FALSE)</f>
        <v>12.78586497890295</v>
      </c>
      <c r="CI501" s="6">
        <f>VLOOKUP(Table1[[#This Row],[Reference]],metron,23,FALSE)</f>
        <v>1.8442211055276381</v>
      </c>
      <c r="CJ501" s="6">
        <f>VLOOKUP(Table1[[#This Row],[Reference]],metron,24,FALSE)</f>
        <v>1.7989949748743721</v>
      </c>
      <c r="CK501" s="6">
        <f>VLOOKUP(Table1[[#This Row],[Reference]],metron,25,FALSE)</f>
        <v>0.12060301507537689</v>
      </c>
      <c r="CL501" s="6">
        <f>VLOOKUP(Table1[[#This Row],[Reference]],metron,26,FALSE)</f>
        <v>0.11658291457286429</v>
      </c>
    </row>
    <row r="502" spans="1:90" hidden="1" x14ac:dyDescent="0.45">
      <c r="A502" t="s">
        <v>1255</v>
      </c>
      <c r="B502">
        <v>1606359960</v>
      </c>
      <c r="C502" s="1" t="s">
        <v>963</v>
      </c>
      <c r="D502" t="s">
        <v>65</v>
      </c>
      <c r="E502" t="s">
        <v>66</v>
      </c>
      <c r="F502" t="s">
        <v>90</v>
      </c>
      <c r="G502" t="s">
        <v>68</v>
      </c>
      <c r="H502" t="s">
        <v>80</v>
      </c>
      <c r="I502">
        <f>MROUND(Table1[[#This Row],[ProbH]]*100,2)/100</f>
        <v>0.4</v>
      </c>
      <c r="J502">
        <f>1/Table1[[#This Row],[odds_ft_home_team_win]]-Table1[[#This Row],[Margin]]</f>
        <v>0.40009005966452782</v>
      </c>
      <c r="K502">
        <f>1/Table1[[#This Row],[odds_ft_draw]]-Table1[[#This Row],[Margin]]</f>
        <v>0.29201846223122824</v>
      </c>
      <c r="L502">
        <f>1/Table1[[#This Row],[odds_ft_away_team_win]]-Table1[[#This Row],[Margin]]</f>
        <v>0.30789147810424411</v>
      </c>
      <c r="M502" t="s">
        <v>66</v>
      </c>
      <c r="N502">
        <v>1.61</v>
      </c>
      <c r="O502">
        <v>1.88</v>
      </c>
      <c r="P502">
        <v>1.48</v>
      </c>
      <c r="Q502">
        <v>2</v>
      </c>
      <c r="R502" t="str" cm="1">
        <f t="array" ref="R5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81</v>
      </c>
      <c r="AA502">
        <v>5</v>
      </c>
      <c r="AB502">
        <v>3</v>
      </c>
      <c r="AC502">
        <v>1</v>
      </c>
      <c r="AD502">
        <v>0</v>
      </c>
      <c r="AE502">
        <v>3</v>
      </c>
      <c r="AF502">
        <v>0</v>
      </c>
      <c r="AG502">
        <v>0</v>
      </c>
      <c r="AH502">
        <v>1</v>
      </c>
      <c r="AI502">
        <v>1</v>
      </c>
      <c r="AJ502">
        <v>2</v>
      </c>
      <c r="AK502">
        <v>8</v>
      </c>
      <c r="AL502">
        <v>9</v>
      </c>
      <c r="AM502">
        <v>3</v>
      </c>
      <c r="AN502">
        <v>6</v>
      </c>
      <c r="AO502">
        <v>5</v>
      </c>
      <c r="AP502">
        <v>3</v>
      </c>
      <c r="AQ502">
        <v>12</v>
      </c>
      <c r="AR502">
        <v>15</v>
      </c>
      <c r="AS502">
        <v>48</v>
      </c>
      <c r="AT502">
        <v>52</v>
      </c>
      <c r="AU502">
        <v>1.05</v>
      </c>
      <c r="AV502">
        <v>1.3</v>
      </c>
      <c r="AW502">
        <v>2.62</v>
      </c>
      <c r="AX502">
        <v>60</v>
      </c>
      <c r="AY502">
        <v>72</v>
      </c>
      <c r="AZ502">
        <v>52</v>
      </c>
      <c r="BA502">
        <v>38</v>
      </c>
      <c r="BB502">
        <v>12</v>
      </c>
      <c r="BC502">
        <v>29</v>
      </c>
      <c r="BD502">
        <v>63</v>
      </c>
      <c r="BE502">
        <v>40</v>
      </c>
      <c r="BF502">
        <v>77</v>
      </c>
      <c r="BG502">
        <v>9.26</v>
      </c>
      <c r="BH502">
        <v>3.82</v>
      </c>
      <c r="BI502">
        <v>2.35</v>
      </c>
      <c r="BJ502">
        <v>3.15</v>
      </c>
      <c r="BK502">
        <v>3</v>
      </c>
      <c r="BL502">
        <f>(1/Table1[[#This Row],[odds_ft_home_team_win]]+1/Table1[[#This Row],[odds_ft_draw]]+1/Table1[[#This Row],[odds_ft_away_team_win]]-1)/3</f>
        <v>2.5441855229089223E-2</v>
      </c>
      <c r="BM502">
        <v>1.35</v>
      </c>
      <c r="BN502">
        <v>2.1</v>
      </c>
      <c r="BO502">
        <v>3.8</v>
      </c>
      <c r="BP502">
        <v>7.5</v>
      </c>
      <c r="BQ502">
        <v>1.83</v>
      </c>
      <c r="BR502">
        <v>1.91</v>
      </c>
      <c r="BS502" t="s">
        <v>94</v>
      </c>
      <c r="BT502">
        <f>VLOOKUP(Table1[[#This Row],[Reference]],metron,8,FALSE)</f>
        <v>1.5181603563290151</v>
      </c>
      <c r="BU502">
        <f>VLOOKUP(Table1[[#This Row],[Reference]],metron,9,FALSE)</f>
        <v>1.1952730370775513</v>
      </c>
      <c r="BV502">
        <f>VLOOKUP(Table1[[#This Row],[Reference]],metron,10,FALSE)</f>
        <v>2.4956155335383219</v>
      </c>
      <c r="BW502">
        <f>VLOOKUP(Table1[[#This Row],[Reference]],metron,11,FALSE)</f>
        <v>1.344038264434575</v>
      </c>
      <c r="BX502">
        <f>VLOOKUP(Table1[[#This Row],[Reference]],metron,12,FALSE)</f>
        <v>1.1515772691037469</v>
      </c>
      <c r="BY502" s="6">
        <f>VLOOKUP(Table1[[#This Row],[Reference]],metron,13,FALSE)</f>
        <v>0.59936225942375587</v>
      </c>
      <c r="BZ502" s="6">
        <f>VLOOKUP(Table1[[#This Row],[Reference]],metron,14,FALSE)</f>
        <v>0.50723152260562576</v>
      </c>
      <c r="CA502" s="6">
        <f>VLOOKUP(Table1[[#This Row],[Reference]],metron,15,FALSE)</f>
        <v>11.99278846153846</v>
      </c>
      <c r="CB502" s="6">
        <f>VLOOKUP(Table1[[#This Row],[Reference]],metron,16,FALSE)</f>
        <v>10.0277534965035</v>
      </c>
      <c r="CC502" s="6">
        <f>VLOOKUP(Table1[[#This Row],[Reference]],metron,17,FALSE)</f>
        <v>5.2857459543338514</v>
      </c>
      <c r="CD502" s="6">
        <f>VLOOKUP(Table1[[#This Row],[Reference]],metron,18,FALSE)</f>
        <v>4.4067834183107957</v>
      </c>
      <c r="CE502" s="6">
        <f>VLOOKUP(Table1[[#This Row],[Reference]],metron,19,FALSE)</f>
        <v>6.7070425072046085</v>
      </c>
      <c r="CF502" s="6">
        <f>VLOOKUP(Table1[[#This Row],[Reference]],metron,20,FALSE)</f>
        <v>5.6209700781927046</v>
      </c>
      <c r="CG502" s="6">
        <f>VLOOKUP(Table1[[#This Row],[Reference]],metron,21,FALSE)</f>
        <v>13.04463690872752</v>
      </c>
      <c r="CH502" s="6">
        <f>VLOOKUP(Table1[[#This Row],[Reference]],metron,22,FALSE)</f>
        <v>13.49811236953142</v>
      </c>
      <c r="CI502" s="6">
        <f>VLOOKUP(Table1[[#This Row],[Reference]],metron,23,FALSE)</f>
        <v>1.5836526181353769</v>
      </c>
      <c r="CJ502" s="6">
        <f>VLOOKUP(Table1[[#This Row],[Reference]],metron,24,FALSE)</f>
        <v>1.8744146445295871</v>
      </c>
      <c r="CK502" s="6">
        <f>VLOOKUP(Table1[[#This Row],[Reference]],metron,25,FALSE)</f>
        <v>8.5994040017028525E-2</v>
      </c>
      <c r="CL502" s="6">
        <f>VLOOKUP(Table1[[#This Row],[Reference]],metron,26,FALSE)</f>
        <v>0.13452532992762881</v>
      </c>
    </row>
    <row r="503" spans="1:90" hidden="1" x14ac:dyDescent="0.45">
      <c r="A503" t="s">
        <v>1255</v>
      </c>
      <c r="B503">
        <v>1606438800</v>
      </c>
      <c r="C503" s="1" t="s">
        <v>964</v>
      </c>
      <c r="D503" t="s">
        <v>65</v>
      </c>
      <c r="E503" t="s">
        <v>66</v>
      </c>
      <c r="F503" t="s">
        <v>107</v>
      </c>
      <c r="G503" t="s">
        <v>112</v>
      </c>
      <c r="H503" t="s">
        <v>114</v>
      </c>
      <c r="I503">
        <f>MROUND(Table1[[#This Row],[ProbH]]*100,2)/100</f>
        <v>0.4</v>
      </c>
      <c r="J503">
        <f>1/Table1[[#This Row],[odds_ft_home_team_win]]-Table1[[#This Row],[Margin]]</f>
        <v>0.39417989417989419</v>
      </c>
      <c r="K503">
        <f>1/Table1[[#This Row],[odds_ft_draw]]-Table1[[#This Row],[Margin]]</f>
        <v>0.29497354497354494</v>
      </c>
      <c r="L503">
        <f>1/Table1[[#This Row],[odds_ft_away_team_win]]-Table1[[#This Row],[Margin]]</f>
        <v>0.31084656084656082</v>
      </c>
      <c r="M503" t="s">
        <v>66</v>
      </c>
      <c r="N503">
        <v>1.72</v>
      </c>
      <c r="O503">
        <v>1.71</v>
      </c>
      <c r="P503">
        <v>1.5</v>
      </c>
      <c r="Q503">
        <v>1.98</v>
      </c>
      <c r="R503" t="str" cm="1">
        <f t="array" ref="R5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3">
        <v>1</v>
      </c>
      <c r="T503">
        <v>3</v>
      </c>
      <c r="U503">
        <v>4</v>
      </c>
      <c r="V503">
        <v>1</v>
      </c>
      <c r="W503">
        <v>0</v>
      </c>
      <c r="X503">
        <v>1</v>
      </c>
      <c r="Y503">
        <v>46</v>
      </c>
      <c r="Z503" t="s">
        <v>965</v>
      </c>
      <c r="AA503">
        <v>8</v>
      </c>
      <c r="AB503">
        <v>6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10</v>
      </c>
      <c r="AL503">
        <v>6</v>
      </c>
      <c r="AM503">
        <v>6</v>
      </c>
      <c r="AN503">
        <v>5</v>
      </c>
      <c r="AO503">
        <v>4</v>
      </c>
      <c r="AP503">
        <v>1</v>
      </c>
      <c r="AQ503">
        <v>10</v>
      </c>
      <c r="AR503">
        <v>13</v>
      </c>
      <c r="AS503">
        <v>71</v>
      </c>
      <c r="AT503">
        <v>29</v>
      </c>
      <c r="AU503">
        <v>1.1100000000000001</v>
      </c>
      <c r="AV503">
        <v>0.77</v>
      </c>
      <c r="AW503">
        <v>2.4300000000000002</v>
      </c>
      <c r="AX503">
        <v>48</v>
      </c>
      <c r="AY503">
        <v>83</v>
      </c>
      <c r="AZ503">
        <v>40</v>
      </c>
      <c r="BA503">
        <v>18</v>
      </c>
      <c r="BB503">
        <v>9</v>
      </c>
      <c r="BC503">
        <v>20</v>
      </c>
      <c r="BD503">
        <v>58</v>
      </c>
      <c r="BE503">
        <v>49</v>
      </c>
      <c r="BF503">
        <v>91</v>
      </c>
      <c r="BG503">
        <v>11.95</v>
      </c>
      <c r="BH503">
        <v>4.04</v>
      </c>
      <c r="BI503">
        <v>2.4</v>
      </c>
      <c r="BJ503">
        <v>3.15</v>
      </c>
      <c r="BK503">
        <v>3</v>
      </c>
      <c r="BL503">
        <f>(1/Table1[[#This Row],[odds_ft_home_team_win]]+1/Table1[[#This Row],[odds_ft_draw]]+1/Table1[[#This Row],[odds_ft_away_team_win]]-1)/3</f>
        <v>2.2486772486772482E-2</v>
      </c>
      <c r="BM503">
        <v>1.4</v>
      </c>
      <c r="BN503">
        <v>2.25</v>
      </c>
      <c r="BO503">
        <v>4.25</v>
      </c>
      <c r="BP503">
        <v>8.5</v>
      </c>
      <c r="BQ503">
        <v>1.95</v>
      </c>
      <c r="BR503">
        <v>1.8</v>
      </c>
      <c r="BS503" t="s">
        <v>161</v>
      </c>
      <c r="BT503">
        <f>VLOOKUP(Table1[[#This Row],[Reference]],metron,8,FALSE)</f>
        <v>1.5181603563290151</v>
      </c>
      <c r="BU503">
        <f>VLOOKUP(Table1[[#This Row],[Reference]],metron,9,FALSE)</f>
        <v>1.1952730370775513</v>
      </c>
      <c r="BV503">
        <f>VLOOKUP(Table1[[#This Row],[Reference]],metron,10,FALSE)</f>
        <v>2.4956155335383219</v>
      </c>
      <c r="BW503">
        <f>VLOOKUP(Table1[[#This Row],[Reference]],metron,11,FALSE)</f>
        <v>1.344038264434575</v>
      </c>
      <c r="BX503">
        <f>VLOOKUP(Table1[[#This Row],[Reference]],metron,12,FALSE)</f>
        <v>1.1515772691037469</v>
      </c>
      <c r="BY503" s="6">
        <f>VLOOKUP(Table1[[#This Row],[Reference]],metron,13,FALSE)</f>
        <v>0.59936225942375587</v>
      </c>
      <c r="BZ503" s="6">
        <f>VLOOKUP(Table1[[#This Row],[Reference]],metron,14,FALSE)</f>
        <v>0.50723152260562576</v>
      </c>
      <c r="CA503" s="6">
        <f>VLOOKUP(Table1[[#This Row],[Reference]],metron,15,FALSE)</f>
        <v>11.99278846153846</v>
      </c>
      <c r="CB503" s="6">
        <f>VLOOKUP(Table1[[#This Row],[Reference]],metron,16,FALSE)</f>
        <v>10.0277534965035</v>
      </c>
      <c r="CC503" s="6">
        <f>VLOOKUP(Table1[[#This Row],[Reference]],metron,17,FALSE)</f>
        <v>5.2857459543338514</v>
      </c>
      <c r="CD503" s="6">
        <f>VLOOKUP(Table1[[#This Row],[Reference]],metron,18,FALSE)</f>
        <v>4.4067834183107957</v>
      </c>
      <c r="CE503" s="6">
        <f>VLOOKUP(Table1[[#This Row],[Reference]],metron,19,FALSE)</f>
        <v>6.7070425072046085</v>
      </c>
      <c r="CF503" s="6">
        <f>VLOOKUP(Table1[[#This Row],[Reference]],metron,20,FALSE)</f>
        <v>5.6209700781927046</v>
      </c>
      <c r="CG503" s="6">
        <f>VLOOKUP(Table1[[#This Row],[Reference]],metron,21,FALSE)</f>
        <v>13.04463690872752</v>
      </c>
      <c r="CH503" s="6">
        <f>VLOOKUP(Table1[[#This Row],[Reference]],metron,22,FALSE)</f>
        <v>13.49811236953142</v>
      </c>
      <c r="CI503" s="6">
        <f>VLOOKUP(Table1[[#This Row],[Reference]],metron,23,FALSE)</f>
        <v>1.5836526181353769</v>
      </c>
      <c r="CJ503" s="6">
        <f>VLOOKUP(Table1[[#This Row],[Reference]],metron,24,FALSE)</f>
        <v>1.8744146445295871</v>
      </c>
      <c r="CK503" s="6">
        <f>VLOOKUP(Table1[[#This Row],[Reference]],metron,25,FALSE)</f>
        <v>8.5994040017028525E-2</v>
      </c>
      <c r="CL503" s="6">
        <f>VLOOKUP(Table1[[#This Row],[Reference]],metron,26,FALSE)</f>
        <v>0.13452532992762881</v>
      </c>
    </row>
    <row r="504" spans="1:90" hidden="1" x14ac:dyDescent="0.45">
      <c r="A504" t="s">
        <v>1255</v>
      </c>
      <c r="B504">
        <v>1606446360</v>
      </c>
      <c r="C504" s="1" t="s">
        <v>966</v>
      </c>
      <c r="D504" t="s">
        <v>65</v>
      </c>
      <c r="E504" t="s">
        <v>66</v>
      </c>
      <c r="F504" t="s">
        <v>84</v>
      </c>
      <c r="G504" t="s">
        <v>96</v>
      </c>
      <c r="H504" t="s">
        <v>92</v>
      </c>
      <c r="I504">
        <f>MROUND(Table1[[#This Row],[ProbH]]*100,2)/100</f>
        <v>0.52</v>
      </c>
      <c r="J504">
        <f>1/Table1[[#This Row],[odds_ft_home_team_win]]-Table1[[#This Row],[Margin]]</f>
        <v>0.523494320954912</v>
      </c>
      <c r="K504">
        <f>1/Table1[[#This Row],[odds_ft_draw]]-Table1[[#This Row],[Margin]]</f>
        <v>0.26690130598698625</v>
      </c>
      <c r="L504">
        <f>1/Table1[[#This Row],[odds_ft_away_team_win]]-Table1[[#This Row],[Margin]]</f>
        <v>0.20960437305810181</v>
      </c>
      <c r="M504" t="s">
        <v>66</v>
      </c>
      <c r="N504">
        <v>1.56</v>
      </c>
      <c r="O504">
        <v>1.88</v>
      </c>
      <c r="P504">
        <v>1.4</v>
      </c>
      <c r="Q504">
        <v>1.45</v>
      </c>
      <c r="R504" t="str" cm="1">
        <f t="array" ref="R5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4">
        <v>0</v>
      </c>
      <c r="T504">
        <v>1</v>
      </c>
      <c r="U504">
        <v>1</v>
      </c>
      <c r="V504">
        <v>1</v>
      </c>
      <c r="W504">
        <v>0</v>
      </c>
      <c r="X504">
        <v>1</v>
      </c>
      <c r="Z504">
        <v>7</v>
      </c>
      <c r="AA504">
        <v>8</v>
      </c>
      <c r="AB504">
        <v>2</v>
      </c>
      <c r="AC504">
        <v>0</v>
      </c>
      <c r="AD504">
        <v>0</v>
      </c>
      <c r="AE504">
        <v>4</v>
      </c>
      <c r="AF504">
        <v>0</v>
      </c>
      <c r="AG504">
        <v>0</v>
      </c>
      <c r="AH504">
        <v>0</v>
      </c>
      <c r="AI504">
        <v>3</v>
      </c>
      <c r="AJ504">
        <v>1</v>
      </c>
      <c r="AK504">
        <v>-1</v>
      </c>
      <c r="AL504">
        <v>-1</v>
      </c>
      <c r="AM504">
        <v>-1</v>
      </c>
      <c r="AN504">
        <v>-1</v>
      </c>
      <c r="AO504">
        <v>-1</v>
      </c>
      <c r="AP504">
        <v>-1</v>
      </c>
      <c r="AQ504">
        <v>10</v>
      </c>
      <c r="AR504">
        <v>9</v>
      </c>
      <c r="AS504">
        <v>65</v>
      </c>
      <c r="AT504">
        <v>35</v>
      </c>
      <c r="AU504">
        <v>0</v>
      </c>
      <c r="AV504">
        <v>0</v>
      </c>
      <c r="AW504">
        <v>2.33</v>
      </c>
      <c r="AX504">
        <v>58</v>
      </c>
      <c r="AY504">
        <v>72</v>
      </c>
      <c r="AZ504">
        <v>38</v>
      </c>
      <c r="BA504">
        <v>18</v>
      </c>
      <c r="BB504">
        <v>9</v>
      </c>
      <c r="BC504">
        <v>23</v>
      </c>
      <c r="BD504">
        <v>61</v>
      </c>
      <c r="BE504">
        <v>44</v>
      </c>
      <c r="BF504">
        <v>80</v>
      </c>
      <c r="BG504">
        <v>11.05</v>
      </c>
      <c r="BH504">
        <v>5.49</v>
      </c>
      <c r="BI504">
        <v>1.83</v>
      </c>
      <c r="BJ504">
        <v>3.45</v>
      </c>
      <c r="BK504">
        <v>4.3</v>
      </c>
      <c r="BL504">
        <f>(1/Table1[[#This Row],[odds_ft_home_team_win]]+1/Table1[[#This Row],[odds_ft_draw]]+1/Table1[[#This Row],[odds_ft_away_team_win]]-1)/3</f>
        <v>2.2953766476781896E-2</v>
      </c>
      <c r="BM504">
        <v>1.32</v>
      </c>
      <c r="BN504">
        <v>2.0499999999999998</v>
      </c>
      <c r="BO504">
        <v>3.6</v>
      </c>
      <c r="BP504">
        <v>7</v>
      </c>
      <c r="BQ504">
        <v>1.87</v>
      </c>
      <c r="BR504">
        <v>1.87</v>
      </c>
      <c r="BS504" t="s">
        <v>88</v>
      </c>
      <c r="BT504">
        <f>VLOOKUP(Table1[[#This Row],[Reference]],metron,8,FALSE)</f>
        <v>1.8614830167843088</v>
      </c>
      <c r="BU504">
        <f>VLOOKUP(Table1[[#This Row],[Reference]],metron,9,FALSE)</f>
        <v>0.87079851622593896</v>
      </c>
      <c r="BV504">
        <f>VLOOKUP(Table1[[#This Row],[Reference]],metron,10,FALSE)</f>
        <v>2.5967403582378576</v>
      </c>
      <c r="BW504">
        <f>VLOOKUP(Table1[[#This Row],[Reference]],metron,11,FALSE)</f>
        <v>1.625948039373891</v>
      </c>
      <c r="BX504">
        <f>VLOOKUP(Table1[[#This Row],[Reference]],metron,12,FALSE)</f>
        <v>0.97079231886396644</v>
      </c>
      <c r="BY504" s="6">
        <f>VLOOKUP(Table1[[#This Row],[Reference]],metron,13,FALSE)</f>
        <v>0.71433182698515174</v>
      </c>
      <c r="BZ504" s="6">
        <f>VLOOKUP(Table1[[#This Row],[Reference]],metron,14,FALSE)</f>
        <v>0.43011620400258233</v>
      </c>
      <c r="CA504" s="6">
        <f>VLOOKUP(Table1[[#This Row],[Reference]],metron,15,FALSE)</f>
        <v>13.39951055368614</v>
      </c>
      <c r="CB504" s="6">
        <f>VLOOKUP(Table1[[#This Row],[Reference]],metron,16,FALSE)</f>
        <v>9.4252064851636579</v>
      </c>
      <c r="CC504" s="6">
        <f>VLOOKUP(Table1[[#This Row],[Reference]],metron,17,FALSE)</f>
        <v>5.7628422023992618</v>
      </c>
      <c r="CD504" s="6">
        <f>VLOOKUP(Table1[[#This Row],[Reference]],metron,18,FALSE)</f>
        <v>3.9375576745616732</v>
      </c>
      <c r="CE504" s="6">
        <f>VLOOKUP(Table1[[#This Row],[Reference]],metron,19,FALSE)</f>
        <v>7.636668351286878</v>
      </c>
      <c r="CF504" s="6">
        <f>VLOOKUP(Table1[[#This Row],[Reference]],metron,20,FALSE)</f>
        <v>5.4876488106019847</v>
      </c>
      <c r="CG504" s="6">
        <f>VLOOKUP(Table1[[#This Row],[Reference]],metron,21,FALSE)</f>
        <v>12.460420531849101</v>
      </c>
      <c r="CH504" s="6">
        <f>VLOOKUP(Table1[[#This Row],[Reference]],metron,22,FALSE)</f>
        <v>13.44897959183673</v>
      </c>
      <c r="CI504" s="6">
        <f>VLOOKUP(Table1[[#This Row],[Reference]],metron,23,FALSE)</f>
        <v>1.462202380952381</v>
      </c>
      <c r="CJ504" s="6">
        <f>VLOOKUP(Table1[[#This Row],[Reference]],metron,24,FALSE)</f>
        <v>2.01547619047619</v>
      </c>
      <c r="CK504" s="6">
        <f>VLOOKUP(Table1[[#This Row],[Reference]],metron,25,FALSE)</f>
        <v>7.7380952380952384E-2</v>
      </c>
      <c r="CL504" s="6">
        <f>VLOOKUP(Table1[[#This Row],[Reference]],metron,26,FALSE)</f>
        <v>0.13754093480202439</v>
      </c>
    </row>
    <row r="505" spans="1:90" hidden="1" x14ac:dyDescent="0.45">
      <c r="A505" t="s">
        <v>1255</v>
      </c>
      <c r="B505">
        <v>1606611600</v>
      </c>
      <c r="C505" s="1" t="s">
        <v>967</v>
      </c>
      <c r="D505" t="s">
        <v>65</v>
      </c>
      <c r="E505" t="s">
        <v>66</v>
      </c>
      <c r="F505" t="s">
        <v>85</v>
      </c>
      <c r="G505" t="s">
        <v>102</v>
      </c>
      <c r="H505" t="s">
        <v>158</v>
      </c>
      <c r="I505">
        <f>MROUND(Table1[[#This Row],[ProbH]]*100,2)/100</f>
        <v>0.68</v>
      </c>
      <c r="J505">
        <f>1/Table1[[#This Row],[odds_ft_home_team_win]]-Table1[[#This Row],[Margin]]</f>
        <v>0.68253968253968256</v>
      </c>
      <c r="K505">
        <f>1/Table1[[#This Row],[odds_ft_draw]]-Table1[[#This Row],[Margin]]</f>
        <v>0.20634920634920637</v>
      </c>
      <c r="L505">
        <f>1/Table1[[#This Row],[odds_ft_away_team_win]]-Table1[[#This Row],[Margin]]</f>
        <v>0.11111111111111113</v>
      </c>
      <c r="M505" t="s">
        <v>66</v>
      </c>
      <c r="N505">
        <v>2.2200000000000002</v>
      </c>
      <c r="O505">
        <v>1.26</v>
      </c>
      <c r="P505">
        <v>1.9</v>
      </c>
      <c r="Q505">
        <v>1.41</v>
      </c>
      <c r="R505" s="9" t="str" cm="1">
        <f t="array" ref="R5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05">
        <v>2</v>
      </c>
      <c r="T505">
        <v>0</v>
      </c>
      <c r="U505">
        <v>2</v>
      </c>
      <c r="V505">
        <v>2</v>
      </c>
      <c r="W505">
        <v>2</v>
      </c>
      <c r="X505">
        <v>0</v>
      </c>
      <c r="Y505" t="s">
        <v>968</v>
      </c>
      <c r="AA505">
        <v>8</v>
      </c>
      <c r="AB505">
        <v>1</v>
      </c>
      <c r="AC505">
        <v>2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2</v>
      </c>
      <c r="AK505">
        <v>14</v>
      </c>
      <c r="AL505">
        <v>10</v>
      </c>
      <c r="AM505">
        <v>8</v>
      </c>
      <c r="AN505">
        <v>2</v>
      </c>
      <c r="AO505">
        <v>6</v>
      </c>
      <c r="AP505">
        <v>8</v>
      </c>
      <c r="AQ505">
        <v>12</v>
      </c>
      <c r="AR505">
        <v>19</v>
      </c>
      <c r="AS505">
        <v>70</v>
      </c>
      <c r="AT505">
        <v>30</v>
      </c>
      <c r="AU505">
        <v>1.8</v>
      </c>
      <c r="AV505">
        <v>0.99</v>
      </c>
      <c r="AW505">
        <v>2.64</v>
      </c>
      <c r="AX505">
        <v>57</v>
      </c>
      <c r="AY505">
        <v>71</v>
      </c>
      <c r="AZ505">
        <v>52</v>
      </c>
      <c r="BA505">
        <v>27</v>
      </c>
      <c r="BB505">
        <v>19</v>
      </c>
      <c r="BC505">
        <v>35</v>
      </c>
      <c r="BD505">
        <v>73</v>
      </c>
      <c r="BE505">
        <v>40</v>
      </c>
      <c r="BF505">
        <v>71</v>
      </c>
      <c r="BG505">
        <v>8.56</v>
      </c>
      <c r="BH505">
        <v>4.1500000000000004</v>
      </c>
      <c r="BI505">
        <v>1.4</v>
      </c>
      <c r="BJ505">
        <v>4.2</v>
      </c>
      <c r="BK505">
        <v>7</v>
      </c>
      <c r="BL505">
        <f>(1/Table1[[#This Row],[odds_ft_home_team_win]]+1/Table1[[#This Row],[odds_ft_draw]]+1/Table1[[#This Row],[odds_ft_away_team_win]]-1)/3</f>
        <v>3.174603174603171E-2</v>
      </c>
      <c r="BM505">
        <v>1.21</v>
      </c>
      <c r="BN505">
        <v>1.68</v>
      </c>
      <c r="BO505">
        <v>2.75</v>
      </c>
      <c r="BP505">
        <v>4.3</v>
      </c>
      <c r="BQ505">
        <v>1.83</v>
      </c>
      <c r="BR505">
        <v>1.91</v>
      </c>
      <c r="BS505" t="s">
        <v>128</v>
      </c>
      <c r="BT505">
        <f>VLOOKUP(Table1[[#This Row],[Reference]],metron,8,FALSE)</f>
        <v>2.2809240428978073</v>
      </c>
      <c r="BU505">
        <f>VLOOKUP(Table1[[#This Row],[Reference]],metron,9,FALSE)</f>
        <v>0.51285766971545521</v>
      </c>
      <c r="BV505">
        <f>VLOOKUP(Table1[[#This Row],[Reference]],metron,10,FALSE)</f>
        <v>2.9107565011820329</v>
      </c>
      <c r="BW505">
        <f>VLOOKUP(Table1[[#This Row],[Reference]],metron,11,FALSE)</f>
        <v>2.1359338061465718</v>
      </c>
      <c r="BX505">
        <f>VLOOKUP(Table1[[#This Row],[Reference]],metron,12,FALSE)</f>
        <v>0.77482269503546097</v>
      </c>
      <c r="BY505" s="6">
        <f>VLOOKUP(Table1[[#This Row],[Reference]],metron,13,FALSE)</f>
        <v>0.93380614657210403</v>
      </c>
      <c r="BZ505" s="6">
        <f>VLOOKUP(Table1[[#This Row],[Reference]],metron,14,FALSE)</f>
        <v>0.33747044917257679</v>
      </c>
      <c r="CA505" s="6">
        <f>VLOOKUP(Table1[[#This Row],[Reference]],metron,15,FALSE)</f>
        <v>15.783723522853959</v>
      </c>
      <c r="CB505" s="6">
        <f>VLOOKUP(Table1[[#This Row],[Reference]],metron,16,FALSE)</f>
        <v>8.5830546265328866</v>
      </c>
      <c r="CC505" s="6">
        <f>VLOOKUP(Table1[[#This Row],[Reference]],metron,17,FALSE)</f>
        <v>6.7338618346545864</v>
      </c>
      <c r="CD505" s="6">
        <f>VLOOKUP(Table1[[#This Row],[Reference]],metron,18,FALSE)</f>
        <v>3.2842582106455271</v>
      </c>
      <c r="CE505" s="6">
        <f>VLOOKUP(Table1[[#This Row],[Reference]],metron,19,FALSE)</f>
        <v>9.049861688199373</v>
      </c>
      <c r="CF505" s="6">
        <f>VLOOKUP(Table1[[#This Row],[Reference]],metron,20,FALSE)</f>
        <v>5.2987964158873595</v>
      </c>
      <c r="CG505" s="6">
        <f>VLOOKUP(Table1[[#This Row],[Reference]],metron,21,FALSE)</f>
        <v>12.362500000000001</v>
      </c>
      <c r="CH505" s="6">
        <f>VLOOKUP(Table1[[#This Row],[Reference]],metron,22,FALSE)</f>
        <v>13.904545454545451</v>
      </c>
      <c r="CI505" s="6">
        <f>VLOOKUP(Table1[[#This Row],[Reference]],metron,23,FALSE)</f>
        <v>1.353005464480874</v>
      </c>
      <c r="CJ505" s="6">
        <f>VLOOKUP(Table1[[#This Row],[Reference]],metron,24,FALSE)</f>
        <v>2.0185792349726781</v>
      </c>
      <c r="CK505" s="6">
        <f>VLOOKUP(Table1[[#This Row],[Reference]],metron,25,FALSE)</f>
        <v>6.6666666666666666E-2</v>
      </c>
      <c r="CL505" s="6">
        <f>VLOOKUP(Table1[[#This Row],[Reference]],metron,26,FALSE)</f>
        <v>0.1213114754098361</v>
      </c>
    </row>
    <row r="506" spans="1:90" hidden="1" x14ac:dyDescent="0.45">
      <c r="A506" t="s">
        <v>1255</v>
      </c>
      <c r="B506">
        <v>1606619160</v>
      </c>
      <c r="C506" s="1" t="s">
        <v>969</v>
      </c>
      <c r="D506" t="s">
        <v>65</v>
      </c>
      <c r="E506" t="s">
        <v>66</v>
      </c>
      <c r="F506" t="s">
        <v>68</v>
      </c>
      <c r="G506" t="s">
        <v>90</v>
      </c>
      <c r="H506" t="s">
        <v>74</v>
      </c>
      <c r="I506">
        <f>MROUND(Table1[[#This Row],[ProbH]]*100,2)/100</f>
        <v>0.54</v>
      </c>
      <c r="J506">
        <f>1/Table1[[#This Row],[odds_ft_home_team_win]]-Table1[[#This Row],[Margin]]</f>
        <v>0.54657649829360144</v>
      </c>
      <c r="K506">
        <f>1/Table1[[#This Row],[odds_ft_draw]]-Table1[[#This Row],[Margin]]</f>
        <v>0.26265946327150003</v>
      </c>
      <c r="L506">
        <f>1/Table1[[#This Row],[odds_ft_away_team_win]]-Table1[[#This Row],[Margin]]</f>
        <v>0.19076403843489873</v>
      </c>
      <c r="M506" t="s">
        <v>66</v>
      </c>
      <c r="N506">
        <v>1.78</v>
      </c>
      <c r="O506">
        <v>1.68</v>
      </c>
      <c r="P506">
        <v>2</v>
      </c>
      <c r="Q506">
        <v>1.48</v>
      </c>
      <c r="R506" t="str" cm="1">
        <f t="array" ref="R5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6">
        <v>1</v>
      </c>
      <c r="T506">
        <v>2</v>
      </c>
      <c r="U506">
        <v>3</v>
      </c>
      <c r="V506">
        <v>1</v>
      </c>
      <c r="W506">
        <v>0</v>
      </c>
      <c r="X506">
        <v>1</v>
      </c>
      <c r="Y506">
        <v>75</v>
      </c>
      <c r="Z506" t="s">
        <v>970</v>
      </c>
      <c r="AA506">
        <v>7</v>
      </c>
      <c r="AB506">
        <v>6</v>
      </c>
      <c r="AC506">
        <v>1</v>
      </c>
      <c r="AD506">
        <v>0</v>
      </c>
      <c r="AE506">
        <v>3</v>
      </c>
      <c r="AF506">
        <v>0</v>
      </c>
      <c r="AG506">
        <v>0</v>
      </c>
      <c r="AH506">
        <v>1</v>
      </c>
      <c r="AI506">
        <v>1</v>
      </c>
      <c r="AJ506">
        <v>2</v>
      </c>
      <c r="AK506">
        <v>26</v>
      </c>
      <c r="AL506">
        <v>13</v>
      </c>
      <c r="AM506">
        <v>4</v>
      </c>
      <c r="AN506">
        <v>5</v>
      </c>
      <c r="AO506">
        <v>22</v>
      </c>
      <c r="AP506">
        <v>8</v>
      </c>
      <c r="AQ506">
        <v>18</v>
      </c>
      <c r="AR506">
        <v>14</v>
      </c>
      <c r="AS506">
        <v>65</v>
      </c>
      <c r="AT506">
        <v>35</v>
      </c>
      <c r="AU506">
        <v>2.39</v>
      </c>
      <c r="AV506">
        <v>1.38</v>
      </c>
      <c r="AW506">
        <v>2.5299999999999998</v>
      </c>
      <c r="AX506">
        <v>57</v>
      </c>
      <c r="AY506">
        <v>68</v>
      </c>
      <c r="AZ506">
        <v>49</v>
      </c>
      <c r="BA506">
        <v>36</v>
      </c>
      <c r="BB506">
        <v>11</v>
      </c>
      <c r="BC506">
        <v>28</v>
      </c>
      <c r="BD506">
        <v>60</v>
      </c>
      <c r="BE506">
        <v>38</v>
      </c>
      <c r="BF506">
        <v>79</v>
      </c>
      <c r="BG506">
        <v>9.19</v>
      </c>
      <c r="BH506">
        <v>3.83</v>
      </c>
      <c r="BI506">
        <v>1.73</v>
      </c>
      <c r="BJ506">
        <v>3.4</v>
      </c>
      <c r="BK506">
        <v>4.5</v>
      </c>
      <c r="BL506">
        <f>(1/Table1[[#This Row],[odds_ft_home_team_win]]+1/Table1[[#This Row],[odds_ft_draw]]+1/Table1[[#This Row],[odds_ft_away_team_win]]-1)/3</f>
        <v>3.1458183787323492E-2</v>
      </c>
      <c r="BM506">
        <v>1.37</v>
      </c>
      <c r="BN506">
        <v>2.23</v>
      </c>
      <c r="BO506">
        <v>3.9</v>
      </c>
      <c r="BP506">
        <v>7.75</v>
      </c>
      <c r="BQ506">
        <v>2</v>
      </c>
      <c r="BR506">
        <v>1.8</v>
      </c>
      <c r="BS506" t="s">
        <v>116</v>
      </c>
      <c r="BT506">
        <f>VLOOKUP(Table1[[#This Row],[Reference]],metron,8,FALSE)</f>
        <v>1.915666026436746</v>
      </c>
      <c r="BU506">
        <f>VLOOKUP(Table1[[#This Row],[Reference]],metron,9,FALSE)</f>
        <v>0.82283834599204153</v>
      </c>
      <c r="BV506">
        <f>VLOOKUP(Table1[[#This Row],[Reference]],metron,10,FALSE)</f>
        <v>2.6359702267612941</v>
      </c>
      <c r="BW506">
        <f>VLOOKUP(Table1[[#This Row],[Reference]],metron,11,FALSE)</f>
        <v>1.684957590444867</v>
      </c>
      <c r="BX506">
        <f>VLOOKUP(Table1[[#This Row],[Reference]],metron,12,FALSE)</f>
        <v>0.95101263631642718</v>
      </c>
      <c r="BY506" s="6">
        <f>VLOOKUP(Table1[[#This Row],[Reference]],metron,13,FALSE)</f>
        <v>0.72650164445213783</v>
      </c>
      <c r="BZ506" s="6">
        <f>VLOOKUP(Table1[[#This Row],[Reference]],metron,14,FALSE)</f>
        <v>0.42097974727367138</v>
      </c>
      <c r="CA506" s="6">
        <f>VLOOKUP(Table1[[#This Row],[Reference]],metron,15,FALSE)</f>
        <v>13.338806970509379</v>
      </c>
      <c r="CB506" s="6">
        <f>VLOOKUP(Table1[[#This Row],[Reference]],metron,16,FALSE)</f>
        <v>9.2530160857908843</v>
      </c>
      <c r="CC506" s="6">
        <f>VLOOKUP(Table1[[#This Row],[Reference]],metron,17,FALSE)</f>
        <v>5.9915081521739131</v>
      </c>
      <c r="CD506" s="6">
        <f>VLOOKUP(Table1[[#This Row],[Reference]],metron,18,FALSE)</f>
        <v>3.9772418478260869</v>
      </c>
      <c r="CE506" s="6">
        <f>VLOOKUP(Table1[[#This Row],[Reference]],metron,19,FALSE)</f>
        <v>7.3472988183354664</v>
      </c>
      <c r="CF506" s="6">
        <f>VLOOKUP(Table1[[#This Row],[Reference]],metron,20,FALSE)</f>
        <v>5.2757742379647974</v>
      </c>
      <c r="CG506" s="6">
        <f>VLOOKUP(Table1[[#This Row],[Reference]],metron,21,FALSE)</f>
        <v>12.59428182437032</v>
      </c>
      <c r="CH506" s="6">
        <f>VLOOKUP(Table1[[#This Row],[Reference]],metron,22,FALSE)</f>
        <v>13.577944179714089</v>
      </c>
      <c r="CI506" s="6">
        <f>VLOOKUP(Table1[[#This Row],[Reference]],metron,23,FALSE)</f>
        <v>1.4276913099870301</v>
      </c>
      <c r="CJ506" s="6">
        <f>VLOOKUP(Table1[[#This Row],[Reference]],metron,24,FALSE)</f>
        <v>1.940985732814527</v>
      </c>
      <c r="CK506" s="6">
        <f>VLOOKUP(Table1[[#This Row],[Reference]],metron,25,FALSE)</f>
        <v>8.0739299610894946E-2</v>
      </c>
      <c r="CL506" s="6">
        <f>VLOOKUP(Table1[[#This Row],[Reference]],metron,26,FALSE)</f>
        <v>0.12743190661478601</v>
      </c>
    </row>
    <row r="507" spans="1:90" hidden="1" x14ac:dyDescent="0.45">
      <c r="A507" t="s">
        <v>1255</v>
      </c>
      <c r="B507">
        <v>1606672800</v>
      </c>
      <c r="C507" s="1" t="s">
        <v>971</v>
      </c>
      <c r="D507" t="s">
        <v>65</v>
      </c>
      <c r="E507" t="s">
        <v>66</v>
      </c>
      <c r="F507" t="s">
        <v>96</v>
      </c>
      <c r="G507" t="s">
        <v>84</v>
      </c>
      <c r="H507" t="s">
        <v>130</v>
      </c>
      <c r="I507">
        <f>MROUND(Table1[[#This Row],[ProbH]]*100,2)/100</f>
        <v>0.24</v>
      </c>
      <c r="J507">
        <f>1/Table1[[#This Row],[odds_ft_home_team_win]]-Table1[[#This Row],[Margin]]</f>
        <v>0.24494195688225542</v>
      </c>
      <c r="K507">
        <f>1/Table1[[#This Row],[odds_ft_draw]]-Table1[[#This Row],[Margin]]</f>
        <v>0.27678275290215587</v>
      </c>
      <c r="L507">
        <f>1/Table1[[#This Row],[odds_ft_away_team_win]]-Table1[[#This Row],[Margin]]</f>
        <v>0.47827529021558873</v>
      </c>
      <c r="M507" t="s">
        <v>66</v>
      </c>
      <c r="N507">
        <v>1.94</v>
      </c>
      <c r="O507">
        <v>1.47</v>
      </c>
      <c r="P507">
        <v>1.45</v>
      </c>
      <c r="Q507">
        <v>1.4</v>
      </c>
      <c r="R507" t="str" cm="1">
        <f t="array" ref="R5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AA507">
        <v>6</v>
      </c>
      <c r="AB507">
        <v>13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17</v>
      </c>
      <c r="AL507">
        <v>25</v>
      </c>
      <c r="AM507">
        <v>5</v>
      </c>
      <c r="AN507">
        <v>4</v>
      </c>
      <c r="AO507">
        <v>12</v>
      </c>
      <c r="AP507">
        <v>21</v>
      </c>
      <c r="AQ507">
        <v>13</v>
      </c>
      <c r="AR507">
        <v>11</v>
      </c>
      <c r="AS507">
        <v>36</v>
      </c>
      <c r="AT507">
        <v>64</v>
      </c>
      <c r="AU507">
        <v>1.65</v>
      </c>
      <c r="AV507">
        <v>2.33</v>
      </c>
      <c r="AW507">
        <v>2.25</v>
      </c>
      <c r="AX507">
        <v>55</v>
      </c>
      <c r="AY507">
        <v>68</v>
      </c>
      <c r="AZ507">
        <v>36</v>
      </c>
      <c r="BA507">
        <v>17</v>
      </c>
      <c r="BB507">
        <v>8</v>
      </c>
      <c r="BC507">
        <v>22</v>
      </c>
      <c r="BD507">
        <v>63</v>
      </c>
      <c r="BE507">
        <v>41</v>
      </c>
      <c r="BF507">
        <v>76</v>
      </c>
      <c r="BG507">
        <v>10.98</v>
      </c>
      <c r="BH507">
        <v>5.41</v>
      </c>
      <c r="BI507">
        <v>3.75</v>
      </c>
      <c r="BJ507">
        <v>3.35</v>
      </c>
      <c r="BK507">
        <v>2</v>
      </c>
      <c r="BL507">
        <f>(1/Table1[[#This Row],[odds_ft_home_team_win]]+1/Table1[[#This Row],[odds_ft_draw]]+1/Table1[[#This Row],[odds_ft_away_team_win]]-1)/3</f>
        <v>2.172470978441125E-2</v>
      </c>
      <c r="BM507">
        <v>1.29</v>
      </c>
      <c r="BN507">
        <v>1.95</v>
      </c>
      <c r="BO507">
        <v>3.4</v>
      </c>
      <c r="BP507">
        <v>6.5</v>
      </c>
      <c r="BQ507">
        <v>1.77</v>
      </c>
      <c r="BR507">
        <v>2</v>
      </c>
      <c r="BS507" t="s">
        <v>99</v>
      </c>
      <c r="BT507">
        <f>VLOOKUP(Table1[[#This Row],[Reference]],metron,8,FALSE)</f>
        <v>1.0221684690062811</v>
      </c>
      <c r="BU507">
        <f>VLOOKUP(Table1[[#This Row],[Reference]],metron,9,FALSE)</f>
        <v>1.7036119427882386</v>
      </c>
      <c r="BV507">
        <f>VLOOKUP(Table1[[#This Row],[Reference]],metron,10,FALSE)</f>
        <v>2.6014437689969609</v>
      </c>
      <c r="BW507">
        <f>VLOOKUP(Table1[[#This Row],[Reference]],metron,11,FALSE)</f>
        <v>1.067249240121581</v>
      </c>
      <c r="BX507">
        <f>VLOOKUP(Table1[[#This Row],[Reference]],metron,12,FALSE)</f>
        <v>1.53419452887538</v>
      </c>
      <c r="BY507" s="6">
        <f>VLOOKUP(Table1[[#This Row],[Reference]],metron,13,FALSE)</f>
        <v>0.45589353612167299</v>
      </c>
      <c r="BZ507" s="6">
        <f>VLOOKUP(Table1[[#This Row],[Reference]],metron,14,FALSE)</f>
        <v>0.65133079847908748</v>
      </c>
      <c r="CA507" s="6">
        <f>VLOOKUP(Table1[[#This Row],[Reference]],metron,15,FALSE)</f>
        <v>10.75886524822695</v>
      </c>
      <c r="CB507" s="6">
        <f>VLOOKUP(Table1[[#This Row],[Reference]],metron,16,FALSE)</f>
        <v>12.46679561573179</v>
      </c>
      <c r="CC507" s="6">
        <f>VLOOKUP(Table1[[#This Row],[Reference]],metron,17,FALSE)</f>
        <v>4.1157347204161248</v>
      </c>
      <c r="CD507" s="6">
        <f>VLOOKUP(Table1[[#This Row],[Reference]],metron,18,FALSE)</f>
        <v>5.1072821846553964</v>
      </c>
      <c r="CE507" s="6">
        <f>VLOOKUP(Table1[[#This Row],[Reference]],metron,19,FALSE)</f>
        <v>6.6431305278108255</v>
      </c>
      <c r="CF507" s="6">
        <f>VLOOKUP(Table1[[#This Row],[Reference]],metron,20,FALSE)</f>
        <v>7.3595134310763939</v>
      </c>
      <c r="CG507" s="6">
        <f>VLOOKUP(Table1[[#This Row],[Reference]],metron,21,FALSE)</f>
        <v>13.11140235910878</v>
      </c>
      <c r="CH507" s="6">
        <f>VLOOKUP(Table1[[#This Row],[Reference]],metron,22,FALSE)</f>
        <v>12.93184796854522</v>
      </c>
      <c r="CI507" s="6">
        <f>VLOOKUP(Table1[[#This Row],[Reference]],metron,23,FALSE)</f>
        <v>1.8341677096370459</v>
      </c>
      <c r="CJ507" s="6">
        <f>VLOOKUP(Table1[[#This Row],[Reference]],metron,24,FALSE)</f>
        <v>1.7903629536921151</v>
      </c>
      <c r="CK507" s="6">
        <f>VLOOKUP(Table1[[#This Row],[Reference]],metron,25,FALSE)</f>
        <v>0.1095118898623279</v>
      </c>
      <c r="CL507" s="6">
        <f>VLOOKUP(Table1[[#This Row],[Reference]],metron,26,FALSE)</f>
        <v>9.3241551939924908E-2</v>
      </c>
    </row>
    <row r="508" spans="1:90" hidden="1" x14ac:dyDescent="0.45">
      <c r="A508" t="s">
        <v>1255</v>
      </c>
      <c r="B508">
        <v>1606696200</v>
      </c>
      <c r="C508" s="1" t="s">
        <v>972</v>
      </c>
      <c r="D508" t="s">
        <v>65</v>
      </c>
      <c r="E508" t="s">
        <v>66</v>
      </c>
      <c r="F508" t="s">
        <v>112</v>
      </c>
      <c r="G508" t="s">
        <v>107</v>
      </c>
      <c r="H508" t="s">
        <v>69</v>
      </c>
      <c r="I508">
        <f>MROUND(Table1[[#This Row],[ProbH]]*100,2)/100</f>
        <v>0.44</v>
      </c>
      <c r="J508">
        <f>1/Table1[[#This Row],[odds_ft_home_team_win]]-Table1[[#This Row],[Margin]]</f>
        <v>0.43204508516790846</v>
      </c>
      <c r="K508">
        <f>1/Table1[[#This Row],[odds_ft_draw]]-Table1[[#This Row],[Margin]]</f>
        <v>0.25147223336217994</v>
      </c>
      <c r="L508">
        <f>1/Table1[[#This Row],[odds_ft_away_team_win]]-Table1[[#This Row],[Margin]]</f>
        <v>0.31648268146991154</v>
      </c>
      <c r="M508" t="s">
        <v>66</v>
      </c>
      <c r="N508">
        <v>1.78</v>
      </c>
      <c r="O508">
        <v>1.63</v>
      </c>
      <c r="P508">
        <v>1.98</v>
      </c>
      <c r="Q508">
        <v>1.5</v>
      </c>
      <c r="R508" t="str" cm="1">
        <f t="array" ref="R5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Z508">
        <v>83</v>
      </c>
      <c r="AA508">
        <v>2</v>
      </c>
      <c r="AB508">
        <v>9</v>
      </c>
      <c r="AC508">
        <v>2</v>
      </c>
      <c r="AD508">
        <v>0</v>
      </c>
      <c r="AE508">
        <v>1</v>
      </c>
      <c r="AF508">
        <v>0</v>
      </c>
      <c r="AG508">
        <v>0</v>
      </c>
      <c r="AH508">
        <v>2</v>
      </c>
      <c r="AI508">
        <v>0</v>
      </c>
      <c r="AJ508">
        <v>1</v>
      </c>
      <c r="AK508">
        <v>10</v>
      </c>
      <c r="AL508">
        <v>24</v>
      </c>
      <c r="AM508">
        <v>4</v>
      </c>
      <c r="AN508">
        <v>5</v>
      </c>
      <c r="AO508">
        <v>6</v>
      </c>
      <c r="AP508">
        <v>19</v>
      </c>
      <c r="AQ508">
        <v>11</v>
      </c>
      <c r="AR508">
        <v>11</v>
      </c>
      <c r="AS508">
        <v>28</v>
      </c>
      <c r="AT508">
        <v>72</v>
      </c>
      <c r="AU508">
        <v>1.03</v>
      </c>
      <c r="AV508">
        <v>2.48</v>
      </c>
      <c r="AW508">
        <v>2.5099999999999998</v>
      </c>
      <c r="AX508">
        <v>51</v>
      </c>
      <c r="AY508">
        <v>84</v>
      </c>
      <c r="AZ508">
        <v>43</v>
      </c>
      <c r="BA508">
        <v>22</v>
      </c>
      <c r="BB508">
        <v>8</v>
      </c>
      <c r="BC508">
        <v>19</v>
      </c>
      <c r="BD508">
        <v>60</v>
      </c>
      <c r="BE508">
        <v>51</v>
      </c>
      <c r="BF508">
        <v>92</v>
      </c>
      <c r="BG508">
        <v>12.05</v>
      </c>
      <c r="BH508">
        <v>3.87</v>
      </c>
      <c r="BI508">
        <v>2.2000000000000002</v>
      </c>
      <c r="BJ508">
        <v>3.65</v>
      </c>
      <c r="BK508">
        <v>2.95</v>
      </c>
      <c r="BL508">
        <f>(1/Table1[[#This Row],[odds_ft_home_team_win]]+1/Table1[[#This Row],[odds_ft_draw]]+1/Table1[[#This Row],[odds_ft_away_team_win]]-1)/3</f>
        <v>2.250036937754607E-2</v>
      </c>
      <c r="BM508">
        <v>1.26</v>
      </c>
      <c r="BN508">
        <v>1.87</v>
      </c>
      <c r="BO508">
        <v>3.15</v>
      </c>
      <c r="BP508">
        <v>6</v>
      </c>
      <c r="BQ508">
        <v>1.71</v>
      </c>
      <c r="BR508">
        <v>2.1</v>
      </c>
      <c r="BS508" t="s">
        <v>116</v>
      </c>
      <c r="BT508">
        <f>VLOOKUP(Table1[[#This Row],[Reference]],metron,8,FALSE)</f>
        <v>1.6395459745305552</v>
      </c>
      <c r="BU508">
        <f>VLOOKUP(Table1[[#This Row],[Reference]],metron,9,FALSE)</f>
        <v>1.0758429359324786</v>
      </c>
      <c r="BV508">
        <f>VLOOKUP(Table1[[#This Row],[Reference]],metron,10,FALSE)</f>
        <v>2.4807646356033461</v>
      </c>
      <c r="BW508">
        <f>VLOOKUP(Table1[[#This Row],[Reference]],metron,11,FALSE)</f>
        <v>1.4140979689366791</v>
      </c>
      <c r="BX508">
        <f>VLOOKUP(Table1[[#This Row],[Reference]],metron,12,FALSE)</f>
        <v>1.0666666666666671</v>
      </c>
      <c r="BY508" s="6">
        <f>VLOOKUP(Table1[[#This Row],[Reference]],metron,13,FALSE)</f>
        <v>0.62712066905615294</v>
      </c>
      <c r="BZ508" s="6">
        <f>VLOOKUP(Table1[[#This Row],[Reference]],metron,14,FALSE)</f>
        <v>0.46009557945041818</v>
      </c>
      <c r="CA508" s="6">
        <f>VLOOKUP(Table1[[#This Row],[Reference]],metron,15,FALSE)</f>
        <v>12.56969280146722</v>
      </c>
      <c r="CB508" s="6">
        <f>VLOOKUP(Table1[[#This Row],[Reference]],metron,16,FALSE)</f>
        <v>9.8695552498853729</v>
      </c>
      <c r="CC508" s="6">
        <f>VLOOKUP(Table1[[#This Row],[Reference]],metron,17,FALSE)</f>
        <v>5.2754256787850897</v>
      </c>
      <c r="CD508" s="6">
        <f>VLOOKUP(Table1[[#This Row],[Reference]],metron,18,FALSE)</f>
        <v>4.1279337321675103</v>
      </c>
      <c r="CE508" s="6">
        <f>VLOOKUP(Table1[[#This Row],[Reference]],metron,19,FALSE)</f>
        <v>7.2942671226821298</v>
      </c>
      <c r="CF508" s="6">
        <f>VLOOKUP(Table1[[#This Row],[Reference]],metron,20,FALSE)</f>
        <v>5.7416215177178627</v>
      </c>
      <c r="CG508" s="6">
        <f>VLOOKUP(Table1[[#This Row],[Reference]],metron,21,FALSE)</f>
        <v>12.897246007868549</v>
      </c>
      <c r="CH508" s="6">
        <f>VLOOKUP(Table1[[#This Row],[Reference]],metron,22,FALSE)</f>
        <v>13.507058551261281</v>
      </c>
      <c r="CI508" s="6">
        <f>VLOOKUP(Table1[[#This Row],[Reference]],metron,23,FALSE)</f>
        <v>1.576522702104098</v>
      </c>
      <c r="CJ508" s="6">
        <f>VLOOKUP(Table1[[#This Row],[Reference]],metron,24,FALSE)</f>
        <v>1.917165005537099</v>
      </c>
      <c r="CK508" s="6">
        <f>VLOOKUP(Table1[[#This Row],[Reference]],metron,25,FALSE)</f>
        <v>8.4385382059800659E-2</v>
      </c>
      <c r="CL508" s="6">
        <f>VLOOKUP(Table1[[#This Row],[Reference]],metron,26,FALSE)</f>
        <v>0.1233665559246955</v>
      </c>
    </row>
    <row r="509" spans="1:90" hidden="1" x14ac:dyDescent="0.45">
      <c r="A509" t="s">
        <v>1255</v>
      </c>
      <c r="B509">
        <v>1606964700</v>
      </c>
      <c r="C509" s="1" t="s">
        <v>973</v>
      </c>
      <c r="D509" t="s">
        <v>65</v>
      </c>
      <c r="E509" t="s">
        <v>66</v>
      </c>
      <c r="F509" t="s">
        <v>90</v>
      </c>
      <c r="G509" t="s">
        <v>85</v>
      </c>
      <c r="H509" t="s">
        <v>69</v>
      </c>
      <c r="I509">
        <f>MROUND(Table1[[#This Row],[ProbH]]*100,2)/100</f>
        <v>0.32</v>
      </c>
      <c r="J509">
        <f>1/Table1[[#This Row],[odds_ft_home_team_win]]-Table1[[#This Row],[Margin]]</f>
        <v>0.32336182336182334</v>
      </c>
      <c r="K509">
        <f>1/Table1[[#This Row],[odds_ft_draw]]-Table1[[#This Row],[Margin]]</f>
        <v>0.28383190883190884</v>
      </c>
      <c r="L509">
        <f>1/Table1[[#This Row],[odds_ft_away_team_win]]-Table1[[#This Row],[Margin]]</f>
        <v>0.39280626780626782</v>
      </c>
      <c r="M509" t="s">
        <v>66</v>
      </c>
      <c r="N509">
        <v>1.75</v>
      </c>
      <c r="O509">
        <v>2.2599999999999998</v>
      </c>
      <c r="P509">
        <v>1.48</v>
      </c>
      <c r="Q509">
        <v>1.9</v>
      </c>
      <c r="R509" t="str" cm="1">
        <f t="array" ref="R5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9">
        <v>1</v>
      </c>
      <c r="T509">
        <v>1</v>
      </c>
      <c r="U509">
        <v>2</v>
      </c>
      <c r="V509">
        <v>1</v>
      </c>
      <c r="W509">
        <v>0</v>
      </c>
      <c r="X509">
        <v>1</v>
      </c>
      <c r="Y509">
        <v>52</v>
      </c>
      <c r="Z509">
        <v>38</v>
      </c>
      <c r="AA509">
        <v>4</v>
      </c>
      <c r="AB509">
        <v>6</v>
      </c>
      <c r="AC509">
        <v>0</v>
      </c>
      <c r="AD509">
        <v>0</v>
      </c>
      <c r="AE509">
        <v>3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11</v>
      </c>
      <c r="AL509">
        <v>21</v>
      </c>
      <c r="AM509">
        <v>2</v>
      </c>
      <c r="AN509">
        <v>4</v>
      </c>
      <c r="AO509">
        <v>9</v>
      </c>
      <c r="AP509">
        <v>17</v>
      </c>
      <c r="AQ509">
        <v>20</v>
      </c>
      <c r="AR509">
        <v>12</v>
      </c>
      <c r="AS509">
        <v>37</v>
      </c>
      <c r="AT509">
        <v>63</v>
      </c>
      <c r="AU509">
        <v>1.03</v>
      </c>
      <c r="AV509">
        <v>2.0099999999999998</v>
      </c>
      <c r="AW509">
        <v>2.2599999999999998</v>
      </c>
      <c r="AX509">
        <v>49</v>
      </c>
      <c r="AY509">
        <v>70</v>
      </c>
      <c r="AZ509">
        <v>44</v>
      </c>
      <c r="BA509">
        <v>18</v>
      </c>
      <c r="BB509">
        <v>8</v>
      </c>
      <c r="BC509">
        <v>21</v>
      </c>
      <c r="BD509">
        <v>59</v>
      </c>
      <c r="BE509">
        <v>34</v>
      </c>
      <c r="BF509">
        <v>75</v>
      </c>
      <c r="BG509">
        <v>8.5</v>
      </c>
      <c r="BH509">
        <v>4</v>
      </c>
      <c r="BI509">
        <v>2.88</v>
      </c>
      <c r="BJ509">
        <v>3.25</v>
      </c>
      <c r="BK509">
        <v>2.4</v>
      </c>
      <c r="BL509">
        <f>(1/Table1[[#This Row],[odds_ft_home_team_win]]+1/Table1[[#This Row],[odds_ft_draw]]+1/Table1[[#This Row],[odds_ft_away_team_win]]-1)/3</f>
        <v>2.3860398860398851E-2</v>
      </c>
      <c r="BM509">
        <v>1.33</v>
      </c>
      <c r="BN509">
        <v>2.14</v>
      </c>
      <c r="BO509">
        <v>3.75</v>
      </c>
      <c r="BP509">
        <v>7.25</v>
      </c>
      <c r="BQ509">
        <v>1.83</v>
      </c>
      <c r="BR509">
        <v>1.91</v>
      </c>
      <c r="BS509" t="s">
        <v>94</v>
      </c>
      <c r="BT509">
        <f>VLOOKUP(Table1[[#This Row],[Reference]],metron,8,FALSE)</f>
        <v>1.274681051426811</v>
      </c>
      <c r="BU509">
        <f>VLOOKUP(Table1[[#This Row],[Reference]],metron,9,FALSE)</f>
        <v>1.4392482240810365</v>
      </c>
      <c r="BV509">
        <f>VLOOKUP(Table1[[#This Row],[Reference]],metron,10,FALSE)</f>
        <v>2.5313454284174597</v>
      </c>
      <c r="BW509">
        <f>VLOOKUP(Table1[[#This Row],[Reference]],metron,11,FALSE)</f>
        <v>1.210167055864918</v>
      </c>
      <c r="BX509">
        <f>VLOOKUP(Table1[[#This Row],[Reference]],metron,12,FALSE)</f>
        <v>1.3211783725525419</v>
      </c>
      <c r="BY509" s="6">
        <f>VLOOKUP(Table1[[#This Row],[Reference]],metron,13,FALSE)</f>
        <v>0.53135669362084459</v>
      </c>
      <c r="BZ509" s="6">
        <f>VLOOKUP(Table1[[#This Row],[Reference]],metron,14,FALSE)</f>
        <v>0.55633423180592989</v>
      </c>
      <c r="CA509" s="6">
        <f>VLOOKUP(Table1[[#This Row],[Reference]],metron,15,FALSE)</f>
        <v>11.21109010712035</v>
      </c>
      <c r="CB509" s="6">
        <f>VLOOKUP(Table1[[#This Row],[Reference]],metron,16,FALSE)</f>
        <v>11.01700787401575</v>
      </c>
      <c r="CC509" s="6">
        <f>VLOOKUP(Table1[[#This Row],[Reference]],metron,17,FALSE)</f>
        <v>4.6792332268370611</v>
      </c>
      <c r="CD509" s="6">
        <f>VLOOKUP(Table1[[#This Row],[Reference]],metron,18,FALSE)</f>
        <v>4.7080804854679013</v>
      </c>
      <c r="CE509" s="6">
        <f>VLOOKUP(Table1[[#This Row],[Reference]],metron,19,FALSE)</f>
        <v>6.5318568802832893</v>
      </c>
      <c r="CF509" s="6">
        <f>VLOOKUP(Table1[[#This Row],[Reference]],metron,20,FALSE)</f>
        <v>6.3089273885478487</v>
      </c>
      <c r="CG509" s="6">
        <f>VLOOKUP(Table1[[#This Row],[Reference]],metron,21,FALSE)</f>
        <v>12.72547770700637</v>
      </c>
      <c r="CH509" s="6">
        <f>VLOOKUP(Table1[[#This Row],[Reference]],metron,22,FALSE)</f>
        <v>13.06847133757962</v>
      </c>
      <c r="CI509" s="6">
        <f>VLOOKUP(Table1[[#This Row],[Reference]],metron,23,FALSE)</f>
        <v>1.6902356902356901</v>
      </c>
      <c r="CJ509" s="6">
        <f>VLOOKUP(Table1[[#This Row],[Reference]],metron,24,FALSE)</f>
        <v>1.8050198959289869</v>
      </c>
      <c r="CK509" s="6">
        <f>VLOOKUP(Table1[[#This Row],[Reference]],metron,25,FALSE)</f>
        <v>0.105907560453015</v>
      </c>
      <c r="CL509" s="6">
        <f>VLOOKUP(Table1[[#This Row],[Reference]],metron,26,FALSE)</f>
        <v>0.1141720232629324</v>
      </c>
    </row>
    <row r="510" spans="1:90" hidden="1" x14ac:dyDescent="0.45">
      <c r="A510" t="s">
        <v>1255</v>
      </c>
      <c r="B510">
        <v>1607050800</v>
      </c>
      <c r="C510" s="1" t="s">
        <v>974</v>
      </c>
      <c r="D510" t="s">
        <v>65</v>
      </c>
      <c r="E510" t="s">
        <v>66</v>
      </c>
      <c r="F510" t="s">
        <v>112</v>
      </c>
      <c r="G510" t="s">
        <v>96</v>
      </c>
      <c r="H510" t="s">
        <v>80</v>
      </c>
      <c r="I510">
        <f>MROUND(Table1[[#This Row],[ProbH]]*100,2)/100</f>
        <v>0.6</v>
      </c>
      <c r="J510">
        <f>1/Table1[[#This Row],[odds_ft_home_team_win]]-Table1[[#This Row],[Margin]]</f>
        <v>0.59844985931942452</v>
      </c>
      <c r="K510">
        <f>1/Table1[[#This Row],[odds_ft_draw]]-Table1[[#This Row],[Margin]]</f>
        <v>0.23374210330732073</v>
      </c>
      <c r="L510">
        <f>1/Table1[[#This Row],[odds_ft_away_team_win]]-Table1[[#This Row],[Margin]]</f>
        <v>0.16780803737325475</v>
      </c>
      <c r="M510" t="s">
        <v>66</v>
      </c>
      <c r="N510">
        <v>1.68</v>
      </c>
      <c r="O510">
        <v>1.89</v>
      </c>
      <c r="P510">
        <v>1.98</v>
      </c>
      <c r="Q510">
        <v>1.45</v>
      </c>
      <c r="R510" t="str" cm="1">
        <f t="array" ref="R5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0">
        <v>4</v>
      </c>
      <c r="T510">
        <v>0</v>
      </c>
      <c r="U510">
        <v>4</v>
      </c>
      <c r="V510">
        <v>3</v>
      </c>
      <c r="W510">
        <v>3</v>
      </c>
      <c r="X510">
        <v>0</v>
      </c>
      <c r="Y510" t="s">
        <v>975</v>
      </c>
      <c r="AA510">
        <v>8</v>
      </c>
      <c r="AB510">
        <v>2</v>
      </c>
      <c r="AC510">
        <v>1</v>
      </c>
      <c r="AD510">
        <v>0</v>
      </c>
      <c r="AE510">
        <v>2</v>
      </c>
      <c r="AF510">
        <v>0</v>
      </c>
      <c r="AG510">
        <v>1</v>
      </c>
      <c r="AH510">
        <v>0</v>
      </c>
      <c r="AI510">
        <v>1</v>
      </c>
      <c r="AJ510">
        <v>1</v>
      </c>
      <c r="AK510">
        <v>13</v>
      </c>
      <c r="AL510">
        <v>16</v>
      </c>
      <c r="AM510">
        <v>7</v>
      </c>
      <c r="AN510">
        <v>5</v>
      </c>
      <c r="AO510">
        <v>6</v>
      </c>
      <c r="AP510">
        <v>11</v>
      </c>
      <c r="AQ510">
        <v>16</v>
      </c>
      <c r="AR510">
        <v>10</v>
      </c>
      <c r="AS510">
        <v>41</v>
      </c>
      <c r="AT510">
        <v>59</v>
      </c>
      <c r="AU510">
        <v>1.6</v>
      </c>
      <c r="AV510">
        <v>1.65</v>
      </c>
      <c r="AW510">
        <v>2.4</v>
      </c>
      <c r="AX510">
        <v>50</v>
      </c>
      <c r="AY510">
        <v>74</v>
      </c>
      <c r="AZ510">
        <v>42</v>
      </c>
      <c r="BA510">
        <v>21</v>
      </c>
      <c r="BB510">
        <v>11</v>
      </c>
      <c r="BC510">
        <v>19</v>
      </c>
      <c r="BD510">
        <v>63</v>
      </c>
      <c r="BE510">
        <v>48</v>
      </c>
      <c r="BF510">
        <v>84</v>
      </c>
      <c r="BG510">
        <v>12.48</v>
      </c>
      <c r="BH510">
        <v>4.47</v>
      </c>
      <c r="BI510">
        <v>1.61</v>
      </c>
      <c r="BJ510">
        <v>3.9</v>
      </c>
      <c r="BK510">
        <v>5.25</v>
      </c>
      <c r="BL510">
        <f>(1/Table1[[#This Row],[odds_ft_home_team_win]]+1/Table1[[#This Row],[odds_ft_draw]]+1/Table1[[#This Row],[odds_ft_away_team_win]]-1)/3</f>
        <v>2.2668153102935722E-2</v>
      </c>
      <c r="BM510">
        <v>1.24</v>
      </c>
      <c r="BN510">
        <v>1.77</v>
      </c>
      <c r="BO510">
        <v>2.95</v>
      </c>
      <c r="BP510">
        <v>5.5</v>
      </c>
      <c r="BQ510">
        <v>1.77</v>
      </c>
      <c r="BR510">
        <v>2</v>
      </c>
      <c r="BS510" t="s">
        <v>116</v>
      </c>
      <c r="BT510">
        <f>VLOOKUP(Table1[[#This Row],[Reference]],metron,8,FALSE)</f>
        <v>2.0749792289385525</v>
      </c>
      <c r="BU510">
        <f>VLOOKUP(Table1[[#This Row],[Reference]],metron,9,FALSE)</f>
        <v>0.68220664089703831</v>
      </c>
      <c r="BV510">
        <f>VLOOKUP(Table1[[#This Row],[Reference]],metron,10,FALSE)</f>
        <v>2.7310090702947849</v>
      </c>
      <c r="BW510">
        <f>VLOOKUP(Table1[[#This Row],[Reference]],metron,11,FALSE)</f>
        <v>1.841836734693878</v>
      </c>
      <c r="BX510">
        <f>VLOOKUP(Table1[[#This Row],[Reference]],metron,12,FALSE)</f>
        <v>0.88917233560090703</v>
      </c>
      <c r="BY510" s="6">
        <f>VLOOKUP(Table1[[#This Row],[Reference]],metron,13,FALSE)</f>
        <v>0.804822695035461</v>
      </c>
      <c r="BZ510" s="6">
        <f>VLOOKUP(Table1[[#This Row],[Reference]],metron,14,FALSE)</f>
        <v>0.38099290780141842</v>
      </c>
      <c r="CA510" s="6">
        <f>VLOOKUP(Table1[[#This Row],[Reference]],metron,15,FALSE)</f>
        <v>14.25174825174825</v>
      </c>
      <c r="CB510" s="6">
        <f>VLOOKUP(Table1[[#This Row],[Reference]],metron,16,FALSE)</f>
        <v>8.8316683316683324</v>
      </c>
      <c r="CC510" s="6">
        <f>VLOOKUP(Table1[[#This Row],[Reference]],metron,17,FALSE)</f>
        <v>6.2901265822784813</v>
      </c>
      <c r="CD510" s="6">
        <f>VLOOKUP(Table1[[#This Row],[Reference]],metron,18,FALSE)</f>
        <v>3.6162025316455702</v>
      </c>
      <c r="CE510" s="6">
        <f>VLOOKUP(Table1[[#This Row],[Reference]],metron,19,FALSE)</f>
        <v>7.9616216694697686</v>
      </c>
      <c r="CF510" s="6">
        <f>VLOOKUP(Table1[[#This Row],[Reference]],metron,20,FALSE)</f>
        <v>5.2154658000227627</v>
      </c>
      <c r="CG510" s="6">
        <f>VLOOKUP(Table1[[#This Row],[Reference]],metron,21,FALSE)</f>
        <v>12.444895886236671</v>
      </c>
      <c r="CH510" s="6">
        <f>VLOOKUP(Table1[[#This Row],[Reference]],metron,22,FALSE)</f>
        <v>13.620619603859829</v>
      </c>
      <c r="CI510" s="6">
        <f>VLOOKUP(Table1[[#This Row],[Reference]],metron,23,FALSE)</f>
        <v>1.406084017382907</v>
      </c>
      <c r="CJ510" s="6">
        <f>VLOOKUP(Table1[[#This Row],[Reference]],metron,24,FALSE)</f>
        <v>2.070980202800579</v>
      </c>
      <c r="CK510" s="6">
        <f>VLOOKUP(Table1[[#This Row],[Reference]],metron,25,FALSE)</f>
        <v>6.1323032351521013E-2</v>
      </c>
      <c r="CL510" s="6">
        <f>VLOOKUP(Table1[[#This Row],[Reference]],metron,26,FALSE)</f>
        <v>0.1313375181071946</v>
      </c>
    </row>
    <row r="511" spans="1:90" hidden="1" x14ac:dyDescent="0.45">
      <c r="A511" t="s">
        <v>1255</v>
      </c>
      <c r="B511">
        <v>1607223600</v>
      </c>
      <c r="C511" s="1" t="s">
        <v>976</v>
      </c>
      <c r="D511" t="s">
        <v>65</v>
      </c>
      <c r="E511" t="s">
        <v>66</v>
      </c>
      <c r="F511" t="s">
        <v>85</v>
      </c>
      <c r="G511" t="s">
        <v>90</v>
      </c>
      <c r="H511" t="s">
        <v>114</v>
      </c>
      <c r="I511">
        <f>MROUND(Table1[[#This Row],[ProbH]]*100,2)/100</f>
        <v>0.54</v>
      </c>
      <c r="J511">
        <f>1/Table1[[#This Row],[odds_ft_home_team_win]]-Table1[[#This Row],[Margin]]</f>
        <v>0.5326797385620915</v>
      </c>
      <c r="K511">
        <f>1/Table1[[#This Row],[odds_ft_draw]]-Table1[[#This Row],[Margin]]</f>
        <v>0.25490196078431376</v>
      </c>
      <c r="L511">
        <f>1/Table1[[#This Row],[odds_ft_away_team_win]]-Table1[[#This Row],[Margin]]</f>
        <v>0.21241830065359477</v>
      </c>
      <c r="M511" t="s">
        <v>66</v>
      </c>
      <c r="N511">
        <v>2.2000000000000002</v>
      </c>
      <c r="O511">
        <v>1.71</v>
      </c>
      <c r="P511">
        <v>1.9</v>
      </c>
      <c r="Q511">
        <v>1.48</v>
      </c>
      <c r="R511" t="str" cm="1">
        <f t="array" ref="R5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18</v>
      </c>
      <c r="AA511">
        <v>4</v>
      </c>
      <c r="AB511">
        <v>1</v>
      </c>
      <c r="AC511">
        <v>2</v>
      </c>
      <c r="AD511">
        <v>0</v>
      </c>
      <c r="AE511">
        <v>4</v>
      </c>
      <c r="AF511">
        <v>0</v>
      </c>
      <c r="AG511">
        <v>2</v>
      </c>
      <c r="AH511">
        <v>0</v>
      </c>
      <c r="AI511">
        <v>2</v>
      </c>
      <c r="AJ511">
        <v>2</v>
      </c>
      <c r="AK511">
        <v>11</v>
      </c>
      <c r="AL511">
        <v>12</v>
      </c>
      <c r="AM511">
        <v>4</v>
      </c>
      <c r="AN511">
        <v>2</v>
      </c>
      <c r="AO511">
        <v>7</v>
      </c>
      <c r="AP511">
        <v>10</v>
      </c>
      <c r="AQ511">
        <v>14</v>
      </c>
      <c r="AR511">
        <v>17</v>
      </c>
      <c r="AS511">
        <v>41</v>
      </c>
      <c r="AT511">
        <v>59</v>
      </c>
      <c r="AU511">
        <v>1.25</v>
      </c>
      <c r="AV511">
        <v>1.1599999999999999</v>
      </c>
      <c r="AW511">
        <v>2.25</v>
      </c>
      <c r="AX511">
        <v>52</v>
      </c>
      <c r="AY511">
        <v>71</v>
      </c>
      <c r="AZ511">
        <v>42</v>
      </c>
      <c r="BA511">
        <v>17</v>
      </c>
      <c r="BB511">
        <v>8</v>
      </c>
      <c r="BC511">
        <v>20</v>
      </c>
      <c r="BD511">
        <v>61</v>
      </c>
      <c r="BE511">
        <v>32</v>
      </c>
      <c r="BF511">
        <v>76</v>
      </c>
      <c r="BG511">
        <v>8.57</v>
      </c>
      <c r="BH511">
        <v>3.95</v>
      </c>
      <c r="BI511">
        <v>1.8</v>
      </c>
      <c r="BJ511">
        <v>3.6</v>
      </c>
      <c r="BK511">
        <v>4.25</v>
      </c>
      <c r="BL511">
        <f>(1/Table1[[#This Row],[odds_ft_home_team_win]]+1/Table1[[#This Row],[odds_ft_draw]]+1/Table1[[#This Row],[odds_ft_away_team_win]]-1)/3</f>
        <v>2.2875816993464044E-2</v>
      </c>
      <c r="BM511">
        <v>1.25</v>
      </c>
      <c r="BN511">
        <v>1.8</v>
      </c>
      <c r="BO511">
        <v>3</v>
      </c>
      <c r="BP511">
        <v>5.75</v>
      </c>
      <c r="BQ511">
        <v>1.74</v>
      </c>
      <c r="BR511">
        <v>2.0499999999999998</v>
      </c>
      <c r="BS511" t="s">
        <v>128</v>
      </c>
      <c r="BT511">
        <f>VLOOKUP(Table1[[#This Row],[Reference]],metron,8,FALSE)</f>
        <v>1.915666026436746</v>
      </c>
      <c r="BU511">
        <f>VLOOKUP(Table1[[#This Row],[Reference]],metron,9,FALSE)</f>
        <v>0.82283834599204153</v>
      </c>
      <c r="BV511">
        <f>VLOOKUP(Table1[[#This Row],[Reference]],metron,10,FALSE)</f>
        <v>2.6359702267612941</v>
      </c>
      <c r="BW511">
        <f>VLOOKUP(Table1[[#This Row],[Reference]],metron,11,FALSE)</f>
        <v>1.684957590444867</v>
      </c>
      <c r="BX511">
        <f>VLOOKUP(Table1[[#This Row],[Reference]],metron,12,FALSE)</f>
        <v>0.95101263631642718</v>
      </c>
      <c r="BY511" s="6">
        <f>VLOOKUP(Table1[[#This Row],[Reference]],metron,13,FALSE)</f>
        <v>0.72650164445213783</v>
      </c>
      <c r="BZ511" s="6">
        <f>VLOOKUP(Table1[[#This Row],[Reference]],metron,14,FALSE)</f>
        <v>0.42097974727367138</v>
      </c>
      <c r="CA511" s="6">
        <f>VLOOKUP(Table1[[#This Row],[Reference]],metron,15,FALSE)</f>
        <v>13.338806970509379</v>
      </c>
      <c r="CB511" s="6">
        <f>VLOOKUP(Table1[[#This Row],[Reference]],metron,16,FALSE)</f>
        <v>9.2530160857908843</v>
      </c>
      <c r="CC511" s="6">
        <f>VLOOKUP(Table1[[#This Row],[Reference]],metron,17,FALSE)</f>
        <v>5.9915081521739131</v>
      </c>
      <c r="CD511" s="6">
        <f>VLOOKUP(Table1[[#This Row],[Reference]],metron,18,FALSE)</f>
        <v>3.9772418478260869</v>
      </c>
      <c r="CE511" s="6">
        <f>VLOOKUP(Table1[[#This Row],[Reference]],metron,19,FALSE)</f>
        <v>7.3472988183354664</v>
      </c>
      <c r="CF511" s="6">
        <f>VLOOKUP(Table1[[#This Row],[Reference]],metron,20,FALSE)</f>
        <v>5.2757742379647974</v>
      </c>
      <c r="CG511" s="6">
        <f>VLOOKUP(Table1[[#This Row],[Reference]],metron,21,FALSE)</f>
        <v>12.59428182437032</v>
      </c>
      <c r="CH511" s="6">
        <f>VLOOKUP(Table1[[#This Row],[Reference]],metron,22,FALSE)</f>
        <v>13.577944179714089</v>
      </c>
      <c r="CI511" s="6">
        <f>VLOOKUP(Table1[[#This Row],[Reference]],metron,23,FALSE)</f>
        <v>1.4276913099870301</v>
      </c>
      <c r="CJ511" s="6">
        <f>VLOOKUP(Table1[[#This Row],[Reference]],metron,24,FALSE)</f>
        <v>1.940985732814527</v>
      </c>
      <c r="CK511" s="6">
        <f>VLOOKUP(Table1[[#This Row],[Reference]],metron,25,FALSE)</f>
        <v>8.0739299610894946E-2</v>
      </c>
      <c r="CL511" s="6">
        <f>VLOOKUP(Table1[[#This Row],[Reference]],metron,26,FALSE)</f>
        <v>0.12743190661478601</v>
      </c>
    </row>
    <row r="512" spans="1:90" hidden="1" x14ac:dyDescent="0.45">
      <c r="A512" t="s">
        <v>1255</v>
      </c>
      <c r="B512">
        <v>1607301000</v>
      </c>
      <c r="C512" s="1" t="s">
        <v>977</v>
      </c>
      <c r="D512" t="s">
        <v>65</v>
      </c>
      <c r="E512" t="s">
        <v>66</v>
      </c>
      <c r="F512" t="s">
        <v>96</v>
      </c>
      <c r="G512" t="s">
        <v>112</v>
      </c>
      <c r="H512" t="s">
        <v>158</v>
      </c>
      <c r="I512">
        <f>MROUND(Table1[[#This Row],[ProbH]]*100,2)/100</f>
        <v>0.32</v>
      </c>
      <c r="J512">
        <f>1/Table1[[#This Row],[odds_ft_home_team_win]]-Table1[[#This Row],[Margin]]</f>
        <v>0.32305275933461841</v>
      </c>
      <c r="K512">
        <f>1/Table1[[#This Row],[odds_ft_draw]]-Table1[[#This Row],[Margin]]</f>
        <v>0.26393945884200753</v>
      </c>
      <c r="L512">
        <f>1/Table1[[#This Row],[odds_ft_away_team_win]]-Table1[[#This Row],[Margin]]</f>
        <v>0.41300778182337405</v>
      </c>
      <c r="M512" t="s">
        <v>66</v>
      </c>
      <c r="N512">
        <v>1.8</v>
      </c>
      <c r="O512">
        <v>1.75</v>
      </c>
      <c r="P512">
        <v>1.45</v>
      </c>
      <c r="Q512">
        <v>1.98</v>
      </c>
      <c r="R512" s="9" t="str" cm="1">
        <f t="array" ref="R5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2">
        <v>4</v>
      </c>
      <c r="T512">
        <v>0</v>
      </c>
      <c r="U512">
        <v>4</v>
      </c>
      <c r="V512">
        <v>3</v>
      </c>
      <c r="W512">
        <v>3</v>
      </c>
      <c r="X512">
        <v>0</v>
      </c>
      <c r="Y512" t="s">
        <v>978</v>
      </c>
      <c r="AA512">
        <v>4</v>
      </c>
      <c r="AB512">
        <v>4</v>
      </c>
      <c r="AC512">
        <v>2</v>
      </c>
      <c r="AD512">
        <v>0</v>
      </c>
      <c r="AE512">
        <v>1</v>
      </c>
      <c r="AF512">
        <v>0</v>
      </c>
      <c r="AG512">
        <v>0</v>
      </c>
      <c r="AH512">
        <v>2</v>
      </c>
      <c r="AI512">
        <v>1</v>
      </c>
      <c r="AJ512">
        <v>0</v>
      </c>
      <c r="AK512">
        <v>9</v>
      </c>
      <c r="AL512">
        <v>6</v>
      </c>
      <c r="AM512">
        <v>6</v>
      </c>
      <c r="AN512">
        <v>2</v>
      </c>
      <c r="AO512">
        <v>3</v>
      </c>
      <c r="AP512">
        <v>4</v>
      </c>
      <c r="AQ512">
        <v>12</v>
      </c>
      <c r="AR512">
        <v>15</v>
      </c>
      <c r="AS512">
        <v>56</v>
      </c>
      <c r="AT512">
        <v>44</v>
      </c>
      <c r="AU512">
        <v>1.19</v>
      </c>
      <c r="AV512">
        <v>0.75</v>
      </c>
      <c r="AW512">
        <v>2.48</v>
      </c>
      <c r="AX512">
        <v>48</v>
      </c>
      <c r="AY512">
        <v>75</v>
      </c>
      <c r="AZ512">
        <v>45</v>
      </c>
      <c r="BA512">
        <v>25</v>
      </c>
      <c r="BB512">
        <v>10</v>
      </c>
      <c r="BC512">
        <v>23</v>
      </c>
      <c r="BD512">
        <v>65</v>
      </c>
      <c r="BE512">
        <v>45</v>
      </c>
      <c r="BF512">
        <v>85</v>
      </c>
      <c r="BG512">
        <v>12.35</v>
      </c>
      <c r="BH512">
        <v>4.4000000000000004</v>
      </c>
      <c r="BI512">
        <v>2.9</v>
      </c>
      <c r="BJ512">
        <v>3.5</v>
      </c>
      <c r="BK512">
        <v>2.2999999999999998</v>
      </c>
      <c r="BL512">
        <f>(1/Table1[[#This Row],[odds_ft_home_team_win]]+1/Table1[[#This Row],[odds_ft_draw]]+1/Table1[[#This Row],[odds_ft_away_team_win]]-1)/3</f>
        <v>2.1774826872278163E-2</v>
      </c>
      <c r="BM512">
        <v>1.25</v>
      </c>
      <c r="BN512">
        <v>1.8</v>
      </c>
      <c r="BO512">
        <v>3</v>
      </c>
      <c r="BP512">
        <v>5.75</v>
      </c>
      <c r="BQ512">
        <v>1.67</v>
      </c>
      <c r="BR512">
        <v>2.15</v>
      </c>
      <c r="BS512" t="s">
        <v>99</v>
      </c>
      <c r="BT512">
        <f>VLOOKUP(Table1[[#This Row],[Reference]],metron,8,FALSE)</f>
        <v>1.274681051426811</v>
      </c>
      <c r="BU512">
        <f>VLOOKUP(Table1[[#This Row],[Reference]],metron,9,FALSE)</f>
        <v>1.4392482240810365</v>
      </c>
      <c r="BV512">
        <f>VLOOKUP(Table1[[#This Row],[Reference]],metron,10,FALSE)</f>
        <v>2.5313454284174597</v>
      </c>
      <c r="BW512">
        <f>VLOOKUP(Table1[[#This Row],[Reference]],metron,11,FALSE)</f>
        <v>1.210167055864918</v>
      </c>
      <c r="BX512">
        <f>VLOOKUP(Table1[[#This Row],[Reference]],metron,12,FALSE)</f>
        <v>1.3211783725525419</v>
      </c>
      <c r="BY512" s="6">
        <f>VLOOKUP(Table1[[#This Row],[Reference]],metron,13,FALSE)</f>
        <v>0.53135669362084459</v>
      </c>
      <c r="BZ512" s="6">
        <f>VLOOKUP(Table1[[#This Row],[Reference]],metron,14,FALSE)</f>
        <v>0.55633423180592989</v>
      </c>
      <c r="CA512" s="6">
        <f>VLOOKUP(Table1[[#This Row],[Reference]],metron,15,FALSE)</f>
        <v>11.21109010712035</v>
      </c>
      <c r="CB512" s="6">
        <f>VLOOKUP(Table1[[#This Row],[Reference]],metron,16,FALSE)</f>
        <v>11.01700787401575</v>
      </c>
      <c r="CC512" s="6">
        <f>VLOOKUP(Table1[[#This Row],[Reference]],metron,17,FALSE)</f>
        <v>4.6792332268370611</v>
      </c>
      <c r="CD512" s="6">
        <f>VLOOKUP(Table1[[#This Row],[Reference]],metron,18,FALSE)</f>
        <v>4.7080804854679013</v>
      </c>
      <c r="CE512" s="6">
        <f>VLOOKUP(Table1[[#This Row],[Reference]],metron,19,FALSE)</f>
        <v>6.5318568802832893</v>
      </c>
      <c r="CF512" s="6">
        <f>VLOOKUP(Table1[[#This Row],[Reference]],metron,20,FALSE)</f>
        <v>6.3089273885478487</v>
      </c>
      <c r="CG512" s="6">
        <f>VLOOKUP(Table1[[#This Row],[Reference]],metron,21,FALSE)</f>
        <v>12.72547770700637</v>
      </c>
      <c r="CH512" s="6">
        <f>VLOOKUP(Table1[[#This Row],[Reference]],metron,22,FALSE)</f>
        <v>13.06847133757962</v>
      </c>
      <c r="CI512" s="6">
        <f>VLOOKUP(Table1[[#This Row],[Reference]],metron,23,FALSE)</f>
        <v>1.6902356902356901</v>
      </c>
      <c r="CJ512" s="6">
        <f>VLOOKUP(Table1[[#This Row],[Reference]],metron,24,FALSE)</f>
        <v>1.8050198959289869</v>
      </c>
      <c r="CK512" s="6">
        <f>VLOOKUP(Table1[[#This Row],[Reference]],metron,25,FALSE)</f>
        <v>0.105907560453015</v>
      </c>
      <c r="CL512" s="6">
        <f>VLOOKUP(Table1[[#This Row],[Reference]],metron,26,FALSE)</f>
        <v>0.1141720232629324</v>
      </c>
    </row>
    <row r="513" spans="1:90" hidden="1" x14ac:dyDescent="0.45">
      <c r="A513" t="s">
        <v>1255</v>
      </c>
      <c r="B513">
        <v>1607655600</v>
      </c>
      <c r="C513" s="1" t="s">
        <v>979</v>
      </c>
      <c r="D513" t="s">
        <v>65</v>
      </c>
      <c r="E513" t="s">
        <v>66</v>
      </c>
      <c r="F513" t="s">
        <v>96</v>
      </c>
      <c r="G513" t="s">
        <v>85</v>
      </c>
      <c r="H513" t="s">
        <v>130</v>
      </c>
      <c r="I513">
        <f>MROUND(Table1[[#This Row],[ProbH]]*100,2)/100</f>
        <v>0.24</v>
      </c>
      <c r="J513">
        <f>1/Table1[[#This Row],[odds_ft_home_team_win]]-Table1[[#This Row],[Margin]]</f>
        <v>0.24213172448466561</v>
      </c>
      <c r="K513">
        <f>1/Table1[[#This Row],[odds_ft_draw]]-Table1[[#This Row],[Margin]]</f>
        <v>0.26958270487682245</v>
      </c>
      <c r="L513">
        <f>1/Table1[[#This Row],[odds_ft_away_team_win]]-Table1[[#This Row],[Margin]]</f>
        <v>0.4882855706385118</v>
      </c>
      <c r="M513" t="s">
        <v>66</v>
      </c>
      <c r="N513">
        <v>1.86</v>
      </c>
      <c r="O513">
        <v>2.2400000000000002</v>
      </c>
      <c r="P513">
        <v>1.45</v>
      </c>
      <c r="Q513">
        <v>1.9</v>
      </c>
      <c r="R513" t="str" cm="1">
        <f t="array" ref="R5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13">
        <v>1</v>
      </c>
      <c r="T513">
        <v>1</v>
      </c>
      <c r="U513">
        <v>2</v>
      </c>
      <c r="V513">
        <v>0</v>
      </c>
      <c r="W513">
        <v>0</v>
      </c>
      <c r="X513">
        <v>0</v>
      </c>
      <c r="Y513">
        <v>72</v>
      </c>
      <c r="Z513">
        <v>89</v>
      </c>
      <c r="AA513">
        <v>3</v>
      </c>
      <c r="AB513">
        <v>2</v>
      </c>
      <c r="AC513">
        <v>2</v>
      </c>
      <c r="AD513">
        <v>0</v>
      </c>
      <c r="AE513">
        <v>1</v>
      </c>
      <c r="AF513">
        <v>1</v>
      </c>
      <c r="AG513">
        <v>0</v>
      </c>
      <c r="AH513">
        <v>2</v>
      </c>
      <c r="AI513">
        <v>0</v>
      </c>
      <c r="AJ513">
        <v>2</v>
      </c>
      <c r="AK513">
        <v>18</v>
      </c>
      <c r="AL513">
        <v>11</v>
      </c>
      <c r="AM513">
        <v>5</v>
      </c>
      <c r="AN513">
        <v>4</v>
      </c>
      <c r="AO513">
        <v>13</v>
      </c>
      <c r="AP513">
        <v>7</v>
      </c>
      <c r="AQ513">
        <v>19</v>
      </c>
      <c r="AR513">
        <v>11</v>
      </c>
      <c r="AS513">
        <v>46</v>
      </c>
      <c r="AT513">
        <v>54</v>
      </c>
      <c r="AU513">
        <v>1.7</v>
      </c>
      <c r="AV513">
        <v>1.19</v>
      </c>
      <c r="AW513">
        <v>2.48</v>
      </c>
      <c r="AX513">
        <v>55</v>
      </c>
      <c r="AY513">
        <v>79</v>
      </c>
      <c r="AZ513">
        <v>48</v>
      </c>
      <c r="BA513">
        <v>22</v>
      </c>
      <c r="BB513">
        <v>10</v>
      </c>
      <c r="BC513">
        <v>27</v>
      </c>
      <c r="BD513">
        <v>71</v>
      </c>
      <c r="BE513">
        <v>39</v>
      </c>
      <c r="BF513">
        <v>76</v>
      </c>
      <c r="BG513">
        <v>9.5299999999999994</v>
      </c>
      <c r="BH513">
        <v>4.76</v>
      </c>
      <c r="BI513">
        <v>3.75</v>
      </c>
      <c r="BJ513">
        <v>3.4</v>
      </c>
      <c r="BK513">
        <v>1.95</v>
      </c>
      <c r="BL513">
        <f>(1/Table1[[#This Row],[odds_ft_home_team_win]]+1/Table1[[#This Row],[odds_ft_draw]]+1/Table1[[#This Row],[odds_ft_away_team_win]]-1)/3</f>
        <v>2.4534942182001068E-2</v>
      </c>
      <c r="BM513">
        <v>1.28</v>
      </c>
      <c r="BN513">
        <v>1.95</v>
      </c>
      <c r="BO513">
        <v>3.35</v>
      </c>
      <c r="BP513">
        <v>6.5</v>
      </c>
      <c r="BQ513">
        <v>1.77</v>
      </c>
      <c r="BR513">
        <v>2</v>
      </c>
      <c r="BS513" t="s">
        <v>99</v>
      </c>
      <c r="BT513">
        <f>VLOOKUP(Table1[[#This Row],[Reference]],metron,8,FALSE)</f>
        <v>1.0221684690062811</v>
      </c>
      <c r="BU513">
        <f>VLOOKUP(Table1[[#This Row],[Reference]],metron,9,FALSE)</f>
        <v>1.7036119427882386</v>
      </c>
      <c r="BV513">
        <f>VLOOKUP(Table1[[#This Row],[Reference]],metron,10,FALSE)</f>
        <v>2.6014437689969609</v>
      </c>
      <c r="BW513">
        <f>VLOOKUP(Table1[[#This Row],[Reference]],metron,11,FALSE)</f>
        <v>1.067249240121581</v>
      </c>
      <c r="BX513">
        <f>VLOOKUP(Table1[[#This Row],[Reference]],metron,12,FALSE)</f>
        <v>1.53419452887538</v>
      </c>
      <c r="BY513" s="6">
        <f>VLOOKUP(Table1[[#This Row],[Reference]],metron,13,FALSE)</f>
        <v>0.45589353612167299</v>
      </c>
      <c r="BZ513" s="6">
        <f>VLOOKUP(Table1[[#This Row],[Reference]],metron,14,FALSE)</f>
        <v>0.65133079847908748</v>
      </c>
      <c r="CA513" s="6">
        <f>VLOOKUP(Table1[[#This Row],[Reference]],metron,15,FALSE)</f>
        <v>10.75886524822695</v>
      </c>
      <c r="CB513" s="6">
        <f>VLOOKUP(Table1[[#This Row],[Reference]],metron,16,FALSE)</f>
        <v>12.46679561573179</v>
      </c>
      <c r="CC513" s="6">
        <f>VLOOKUP(Table1[[#This Row],[Reference]],metron,17,FALSE)</f>
        <v>4.1157347204161248</v>
      </c>
      <c r="CD513" s="6">
        <f>VLOOKUP(Table1[[#This Row],[Reference]],metron,18,FALSE)</f>
        <v>5.1072821846553964</v>
      </c>
      <c r="CE513" s="6">
        <f>VLOOKUP(Table1[[#This Row],[Reference]],metron,19,FALSE)</f>
        <v>6.6431305278108255</v>
      </c>
      <c r="CF513" s="6">
        <f>VLOOKUP(Table1[[#This Row],[Reference]],metron,20,FALSE)</f>
        <v>7.3595134310763939</v>
      </c>
      <c r="CG513" s="6">
        <f>VLOOKUP(Table1[[#This Row],[Reference]],metron,21,FALSE)</f>
        <v>13.11140235910878</v>
      </c>
      <c r="CH513" s="6">
        <f>VLOOKUP(Table1[[#This Row],[Reference]],metron,22,FALSE)</f>
        <v>12.93184796854522</v>
      </c>
      <c r="CI513" s="6">
        <f>VLOOKUP(Table1[[#This Row],[Reference]],metron,23,FALSE)</f>
        <v>1.8341677096370459</v>
      </c>
      <c r="CJ513" s="6">
        <f>VLOOKUP(Table1[[#This Row],[Reference]],metron,24,FALSE)</f>
        <v>1.7903629536921151</v>
      </c>
      <c r="CK513" s="6">
        <f>VLOOKUP(Table1[[#This Row],[Reference]],metron,25,FALSE)</f>
        <v>0.1095118898623279</v>
      </c>
      <c r="CL513" s="6">
        <f>VLOOKUP(Table1[[#This Row],[Reference]],metron,26,FALSE)</f>
        <v>9.3241551939924908E-2</v>
      </c>
    </row>
    <row r="514" spans="1:90" hidden="1" x14ac:dyDescent="0.45">
      <c r="A514" t="s">
        <v>1255</v>
      </c>
      <c r="B514">
        <v>1607913000</v>
      </c>
      <c r="C514" s="1" t="s">
        <v>980</v>
      </c>
      <c r="D514" t="s">
        <v>65</v>
      </c>
      <c r="E514" t="s">
        <v>66</v>
      </c>
      <c r="F514" t="s">
        <v>85</v>
      </c>
      <c r="G514" t="s">
        <v>96</v>
      </c>
      <c r="H514" t="s">
        <v>74</v>
      </c>
      <c r="I514">
        <f>MROUND(Table1[[#This Row],[ProbH]]*100,2)/100</f>
        <v>0.62</v>
      </c>
      <c r="J514">
        <f>1/Table1[[#This Row],[odds_ft_home_team_win]]-Table1[[#This Row],[Margin]]</f>
        <v>0.61414843480686465</v>
      </c>
      <c r="K514">
        <f>1/Table1[[#This Row],[odds_ft_draw]]-Table1[[#This Row],[Margin]]</f>
        <v>0.21816961506931576</v>
      </c>
      <c r="L514">
        <f>1/Table1[[#This Row],[odds_ft_away_team_win]]-Table1[[#This Row],[Margin]]</f>
        <v>0.16768195012381951</v>
      </c>
      <c r="M514" t="s">
        <v>66</v>
      </c>
      <c r="N514">
        <v>2.1800000000000002</v>
      </c>
      <c r="O514">
        <v>1.82</v>
      </c>
      <c r="P514">
        <v>1.9</v>
      </c>
      <c r="Q514">
        <v>1.45</v>
      </c>
      <c r="R514" t="str" cm="1">
        <f t="array" ref="R5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4">
        <v>2</v>
      </c>
      <c r="T514">
        <v>0</v>
      </c>
      <c r="U514">
        <v>2</v>
      </c>
      <c r="V514">
        <v>1</v>
      </c>
      <c r="W514">
        <v>1</v>
      </c>
      <c r="X514">
        <v>0</v>
      </c>
      <c r="Y514" t="s">
        <v>981</v>
      </c>
      <c r="AA514">
        <v>1</v>
      </c>
      <c r="AB514">
        <v>6</v>
      </c>
      <c r="AC514">
        <v>2</v>
      </c>
      <c r="AD514">
        <v>0</v>
      </c>
      <c r="AE514">
        <v>3</v>
      </c>
      <c r="AF514">
        <v>0</v>
      </c>
      <c r="AG514">
        <v>0</v>
      </c>
      <c r="AH514">
        <v>2</v>
      </c>
      <c r="AI514">
        <v>2</v>
      </c>
      <c r="AJ514">
        <v>1</v>
      </c>
      <c r="AK514">
        <v>8</v>
      </c>
      <c r="AL514">
        <v>5</v>
      </c>
      <c r="AM514">
        <v>4</v>
      </c>
      <c r="AN514">
        <v>5</v>
      </c>
      <c r="AO514">
        <v>4</v>
      </c>
      <c r="AP514">
        <v>0</v>
      </c>
      <c r="AQ514">
        <v>14</v>
      </c>
      <c r="AR514">
        <v>18</v>
      </c>
      <c r="AS514">
        <v>47</v>
      </c>
      <c r="AT514">
        <v>53</v>
      </c>
      <c r="AU514">
        <v>0</v>
      </c>
      <c r="AV514">
        <v>0</v>
      </c>
      <c r="AW514">
        <v>2.46</v>
      </c>
      <c r="AX514">
        <v>57</v>
      </c>
      <c r="AY514">
        <v>80</v>
      </c>
      <c r="AZ514">
        <v>46</v>
      </c>
      <c r="BA514">
        <v>21</v>
      </c>
      <c r="BB514">
        <v>9</v>
      </c>
      <c r="BC514">
        <v>25</v>
      </c>
      <c r="BD514">
        <v>68</v>
      </c>
      <c r="BE514">
        <v>41</v>
      </c>
      <c r="BF514">
        <v>78</v>
      </c>
      <c r="BG514">
        <v>9.31</v>
      </c>
      <c r="BH514">
        <v>4.7300000000000004</v>
      </c>
      <c r="BI514">
        <v>1.57</v>
      </c>
      <c r="BJ514">
        <v>4.1500000000000004</v>
      </c>
      <c r="BK514">
        <v>5.25</v>
      </c>
      <c r="BL514">
        <f>(1/Table1[[#This Row],[odds_ft_home_team_win]]+1/Table1[[#This Row],[odds_ft_draw]]+1/Table1[[#This Row],[odds_ft_away_team_win]]-1)/3</f>
        <v>2.2794240352370949E-2</v>
      </c>
      <c r="BM514">
        <v>1.22</v>
      </c>
      <c r="BN514">
        <v>1.74</v>
      </c>
      <c r="BO514">
        <v>2.85</v>
      </c>
      <c r="BP514">
        <v>5.25</v>
      </c>
      <c r="BQ514">
        <v>1.77</v>
      </c>
      <c r="BR514">
        <v>2</v>
      </c>
      <c r="BS514" t="s">
        <v>128</v>
      </c>
      <c r="BT514">
        <f>VLOOKUP(Table1[[#This Row],[Reference]],metron,8,FALSE)</f>
        <v>2.1234388909289978</v>
      </c>
      <c r="BU514">
        <f>VLOOKUP(Table1[[#This Row],[Reference]],metron,9,FALSE)</f>
        <v>0.63925141338926716</v>
      </c>
      <c r="BV514">
        <f>VLOOKUP(Table1[[#This Row],[Reference]],metron,10,FALSE)</f>
        <v>2.7366666666666664</v>
      </c>
      <c r="BW514">
        <f>VLOOKUP(Table1[[#This Row],[Reference]],metron,11,FALSE)</f>
        <v>1.8681481481481479</v>
      </c>
      <c r="BX514">
        <f>VLOOKUP(Table1[[#This Row],[Reference]],metron,12,FALSE)</f>
        <v>0.86851851851851847</v>
      </c>
      <c r="BY514" s="6">
        <f>VLOOKUP(Table1[[#This Row],[Reference]],metron,13,FALSE)</f>
        <v>0.81333333333333335</v>
      </c>
      <c r="BZ514" s="6">
        <f>VLOOKUP(Table1[[#This Row],[Reference]],metron,14,FALSE)</f>
        <v>0.38925925925925919</v>
      </c>
      <c r="CA514" s="6">
        <f>VLOOKUP(Table1[[#This Row],[Reference]],metron,15,FALSE)</f>
        <v>14.53422724064926</v>
      </c>
      <c r="CB514" s="6">
        <f>VLOOKUP(Table1[[#This Row],[Reference]],metron,16,FALSE)</f>
        <v>8.7882851093860275</v>
      </c>
      <c r="CC514" s="6">
        <f>VLOOKUP(Table1[[#This Row],[Reference]],metron,17,FALSE)</f>
        <v>6.3007953723788868</v>
      </c>
      <c r="CD514" s="6">
        <f>VLOOKUP(Table1[[#This Row],[Reference]],metron,18,FALSE)</f>
        <v>3.681851048445409</v>
      </c>
      <c r="CE514" s="6">
        <f>VLOOKUP(Table1[[#This Row],[Reference]],metron,19,FALSE)</f>
        <v>8.2334318682703724</v>
      </c>
      <c r="CF514" s="6">
        <f>VLOOKUP(Table1[[#This Row],[Reference]],metron,20,FALSE)</f>
        <v>5.106434060940618</v>
      </c>
      <c r="CG514" s="6">
        <f>VLOOKUP(Table1[[#This Row],[Reference]],metron,21,FALSE)</f>
        <v>12.32150615496017</v>
      </c>
      <c r="CH514" s="6">
        <f>VLOOKUP(Table1[[#This Row],[Reference]],metron,22,FALSE)</f>
        <v>13.337436640115859</v>
      </c>
      <c r="CI514" s="6">
        <f>VLOOKUP(Table1[[#This Row],[Reference]],metron,23,FALSE)</f>
        <v>1.346101231190151</v>
      </c>
      <c r="CJ514" s="6">
        <f>VLOOKUP(Table1[[#This Row],[Reference]],metron,24,FALSE)</f>
        <v>1.995212038303694</v>
      </c>
      <c r="CK514" s="6">
        <f>VLOOKUP(Table1[[#This Row],[Reference]],metron,25,FALSE)</f>
        <v>6.1559507523939808E-2</v>
      </c>
      <c r="CL514" s="6">
        <f>VLOOKUP(Table1[[#This Row],[Reference]],metron,26,FALSE)</f>
        <v>0.13201094391244869</v>
      </c>
    </row>
    <row r="515" spans="1:90" x14ac:dyDescent="0.45">
      <c r="A515" t="s">
        <v>1256</v>
      </c>
      <c r="B515">
        <v>1610155800</v>
      </c>
      <c r="C515" s="23" t="s">
        <v>982</v>
      </c>
      <c r="D515" t="s">
        <v>65</v>
      </c>
      <c r="E515" t="s">
        <v>66</v>
      </c>
      <c r="F515" t="s">
        <v>102</v>
      </c>
      <c r="G515" t="s">
        <v>90</v>
      </c>
      <c r="H515" t="s">
        <v>118</v>
      </c>
      <c r="I515">
        <f>MROUND(Table1[[#This Row],[ProbH]]*100,2)/100</f>
        <v>0.34</v>
      </c>
      <c r="J515">
        <f>1/Table1[[#This Row],[odds_ft_home_team_win]]-Table1[[#This Row],[Margin]]</f>
        <v>0.33211233211233215</v>
      </c>
      <c r="K515">
        <f>1/Table1[[#This Row],[odds_ft_draw]]-Table1[[#This Row],[Margin]]</f>
        <v>0.30830280830280832</v>
      </c>
      <c r="L515">
        <f>1/Table1[[#This Row],[odds_ft_away_team_win]]-Table1[[#This Row],[Margin]]</f>
        <v>0.35958485958485958</v>
      </c>
      <c r="M515">
        <v>1</v>
      </c>
      <c r="N515">
        <v>1.22</v>
      </c>
      <c r="O515">
        <v>1.4</v>
      </c>
      <c r="P515">
        <v>1.5</v>
      </c>
      <c r="Q515">
        <v>1.35</v>
      </c>
      <c r="R515" t="str" cm="1">
        <f t="array" ref="R5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0</v>
      </c>
      <c r="Y515">
        <v>38</v>
      </c>
      <c r="Z515">
        <v>47</v>
      </c>
      <c r="AA515">
        <v>2</v>
      </c>
      <c r="AB515">
        <v>5</v>
      </c>
      <c r="AC515">
        <v>2</v>
      </c>
      <c r="AD515">
        <v>0</v>
      </c>
      <c r="AE515">
        <v>1</v>
      </c>
      <c r="AF515">
        <v>0</v>
      </c>
      <c r="AG515">
        <v>0</v>
      </c>
      <c r="AH515">
        <v>2</v>
      </c>
      <c r="AI515">
        <v>0</v>
      </c>
      <c r="AJ515">
        <v>1</v>
      </c>
      <c r="AK515">
        <v>11</v>
      </c>
      <c r="AL515">
        <v>11</v>
      </c>
      <c r="AM515">
        <v>4</v>
      </c>
      <c r="AN515">
        <v>7</v>
      </c>
      <c r="AO515">
        <v>7</v>
      </c>
      <c r="AP515">
        <v>4</v>
      </c>
      <c r="AQ515">
        <v>7</v>
      </c>
      <c r="AR515">
        <v>5</v>
      </c>
      <c r="AS515">
        <v>46</v>
      </c>
      <c r="AT515">
        <v>54</v>
      </c>
      <c r="AU515">
        <v>1.1399999999999999</v>
      </c>
      <c r="AV515">
        <v>1.47</v>
      </c>
      <c r="AW515">
        <v>2.61</v>
      </c>
      <c r="AX515">
        <v>54</v>
      </c>
      <c r="AY515">
        <v>69</v>
      </c>
      <c r="AZ515">
        <v>48</v>
      </c>
      <c r="BA515">
        <v>27</v>
      </c>
      <c r="BB515">
        <v>17</v>
      </c>
      <c r="BC515">
        <v>33</v>
      </c>
      <c r="BD515">
        <v>64</v>
      </c>
      <c r="BE515">
        <v>48</v>
      </c>
      <c r="BF515">
        <v>69</v>
      </c>
      <c r="BG515">
        <v>10.039999999999999</v>
      </c>
      <c r="BH515">
        <v>4.4800000000000004</v>
      </c>
      <c r="BI515">
        <v>2.8</v>
      </c>
      <c r="BJ515">
        <v>3</v>
      </c>
      <c r="BK515">
        <v>2.6</v>
      </c>
      <c r="BL515">
        <f>(1/Table1[[#This Row],[odds_ft_home_team_win]]+1/Table1[[#This Row],[odds_ft_draw]]+1/Table1[[#This Row],[odds_ft_away_team_win]]-1)/3</f>
        <v>2.5030525030525014E-2</v>
      </c>
      <c r="BM515">
        <v>1.45</v>
      </c>
      <c r="BN515">
        <v>2.2000000000000002</v>
      </c>
      <c r="BO515">
        <v>3.7</v>
      </c>
      <c r="BP515">
        <v>6.25</v>
      </c>
      <c r="BQ515">
        <v>1.95</v>
      </c>
      <c r="BR515">
        <v>1.8</v>
      </c>
      <c r="BS515" t="s">
        <v>124</v>
      </c>
      <c r="BT515">
        <f>VLOOKUP(Table1[[#This Row],[Reference]],metron,8,FALSE)</f>
        <v>1.3382439854569812</v>
      </c>
      <c r="BU515">
        <f>VLOOKUP(Table1[[#This Row],[Reference]],metron,9,FALSE)</f>
        <v>1.3740319615582339</v>
      </c>
      <c r="BV515">
        <f>VLOOKUP(Table1[[#This Row],[Reference]],metron,10,FALSE)</f>
        <v>2.5229727551184897</v>
      </c>
      <c r="BW515">
        <f>VLOOKUP(Table1[[#This Row],[Reference]],metron,11,FALSE)</f>
        <v>1.228921489601805</v>
      </c>
      <c r="BX515">
        <f>VLOOKUP(Table1[[#This Row],[Reference]],metron,12,FALSE)</f>
        <v>1.2940512655166849</v>
      </c>
      <c r="BY515" s="6">
        <f>VLOOKUP(Table1[[#This Row],[Reference]],metron,13,FALSE)</f>
        <v>0.53240890035472432</v>
      </c>
      <c r="BZ515" s="6">
        <f>VLOOKUP(Table1[[#This Row],[Reference]],metron,14,FALSE)</f>
        <v>0.56514027732989358</v>
      </c>
      <c r="CA515" s="6">
        <f>VLOOKUP(Table1[[#This Row],[Reference]],metron,15,FALSE)</f>
        <v>11.417888124439131</v>
      </c>
      <c r="CB515" s="6">
        <f>VLOOKUP(Table1[[#This Row],[Reference]],metron,16,FALSE)</f>
        <v>10.76308704756207</v>
      </c>
      <c r="CC515" s="6">
        <f>VLOOKUP(Table1[[#This Row],[Reference]],metron,17,FALSE)</f>
        <v>4.8317672021824798</v>
      </c>
      <c r="CD515" s="6">
        <f>VLOOKUP(Table1[[#This Row],[Reference]],metron,18,FALSE)</f>
        <v>4.6698999696877843</v>
      </c>
      <c r="CE515" s="6">
        <f>VLOOKUP(Table1[[#This Row],[Reference]],metron,19,FALSE)</f>
        <v>6.5861209222566508</v>
      </c>
      <c r="CF515" s="6">
        <f>VLOOKUP(Table1[[#This Row],[Reference]],metron,20,FALSE)</f>
        <v>6.093187077874286</v>
      </c>
      <c r="CG515" s="6">
        <f>VLOOKUP(Table1[[#This Row],[Reference]],metron,21,FALSE)</f>
        <v>12.685679611650491</v>
      </c>
      <c r="CH515" s="6">
        <f>VLOOKUP(Table1[[#This Row],[Reference]],metron,22,FALSE)</f>
        <v>13.02639563106796</v>
      </c>
      <c r="CI515" s="6">
        <f>VLOOKUP(Table1[[#This Row],[Reference]],metron,23,FALSE)</f>
        <v>1.6481211768132831</v>
      </c>
      <c r="CJ515" s="6">
        <f>VLOOKUP(Table1[[#This Row],[Reference]],metron,24,FALSE)</f>
        <v>1.8572676958928049</v>
      </c>
      <c r="CK515" s="6">
        <f>VLOOKUP(Table1[[#This Row],[Reference]],metron,25,FALSE)</f>
        <v>9.641712787649287E-2</v>
      </c>
      <c r="CL515" s="6">
        <f>VLOOKUP(Table1[[#This Row],[Reference]],metron,26,FALSE)</f>
        <v>0.11302068161957469</v>
      </c>
    </row>
    <row r="516" spans="1:90" x14ac:dyDescent="0.45">
      <c r="A516" t="s">
        <v>1256</v>
      </c>
      <c r="B516">
        <v>1610161560</v>
      </c>
      <c r="C516" s="23" t="s">
        <v>983</v>
      </c>
      <c r="D516" t="s">
        <v>65</v>
      </c>
      <c r="E516" t="s">
        <v>66</v>
      </c>
      <c r="F516" t="s">
        <v>106</v>
      </c>
      <c r="G516" t="s">
        <v>96</v>
      </c>
      <c r="H516" t="s">
        <v>184</v>
      </c>
      <c r="I516">
        <f>MROUND(Table1[[#This Row],[ProbH]]*100,2)/100</f>
        <v>0.48</v>
      </c>
      <c r="J516">
        <f>1/Table1[[#This Row],[odds_ft_home_team_win]]-Table1[[#This Row],[Margin]]</f>
        <v>0.48865137906233802</v>
      </c>
      <c r="K516">
        <f>1/Table1[[#This Row],[odds_ft_draw]]-Table1[[#This Row],[Margin]]</f>
        <v>0.26154515195611083</v>
      </c>
      <c r="L516">
        <f>1/Table1[[#This Row],[odds_ft_away_team_win]]-Table1[[#This Row],[Margin]]</f>
        <v>0.24980346898155115</v>
      </c>
      <c r="M516">
        <v>1</v>
      </c>
      <c r="N516">
        <v>1.56</v>
      </c>
      <c r="O516">
        <v>1.45</v>
      </c>
      <c r="P516">
        <v>1.59</v>
      </c>
      <c r="Q516">
        <v>1.25</v>
      </c>
      <c r="R516" t="str" cm="1">
        <f t="array" ref="R5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AA516">
        <v>5</v>
      </c>
      <c r="AB516">
        <v>7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14</v>
      </c>
      <c r="AL516">
        <v>14</v>
      </c>
      <c r="AM516">
        <v>4</v>
      </c>
      <c r="AN516">
        <v>4</v>
      </c>
      <c r="AO516">
        <v>10</v>
      </c>
      <c r="AP516">
        <v>10</v>
      </c>
      <c r="AQ516">
        <v>16</v>
      </c>
      <c r="AR516">
        <v>8</v>
      </c>
      <c r="AS516">
        <v>61</v>
      </c>
      <c r="AT516">
        <v>39</v>
      </c>
      <c r="AU516">
        <v>1.51</v>
      </c>
      <c r="AV516">
        <v>1.36</v>
      </c>
      <c r="AW516">
        <v>2.1800000000000002</v>
      </c>
      <c r="AX516">
        <v>50</v>
      </c>
      <c r="AY516">
        <v>75</v>
      </c>
      <c r="AZ516">
        <v>45</v>
      </c>
      <c r="BA516">
        <v>15</v>
      </c>
      <c r="BB516">
        <v>0</v>
      </c>
      <c r="BC516">
        <v>30</v>
      </c>
      <c r="BD516">
        <v>76</v>
      </c>
      <c r="BE516">
        <v>34</v>
      </c>
      <c r="BF516">
        <v>70</v>
      </c>
      <c r="BG516">
        <v>8.36</v>
      </c>
      <c r="BH516">
        <v>4.8</v>
      </c>
      <c r="BI516">
        <v>1.95</v>
      </c>
      <c r="BJ516">
        <v>3.5</v>
      </c>
      <c r="BK516">
        <v>3.65</v>
      </c>
      <c r="BL516">
        <f>(1/Table1[[#This Row],[odds_ft_home_team_win]]+1/Table1[[#This Row],[odds_ft_draw]]+1/Table1[[#This Row],[odds_ft_away_team_win]]-1)/3</f>
        <v>2.4169133758174866E-2</v>
      </c>
      <c r="BM516">
        <v>1.36</v>
      </c>
      <c r="BN516">
        <v>2</v>
      </c>
      <c r="BO516">
        <v>3.2</v>
      </c>
      <c r="BP516">
        <v>5.5</v>
      </c>
      <c r="BQ516">
        <v>1.87</v>
      </c>
      <c r="BR516">
        <v>1.87</v>
      </c>
      <c r="BS516" t="s">
        <v>110</v>
      </c>
      <c r="BT516">
        <f>VLOOKUP(Table1[[#This Row],[Reference]],metron,8,FALSE)</f>
        <v>1.743992017160418</v>
      </c>
      <c r="BU516">
        <f>VLOOKUP(Table1[[#This Row],[Reference]],metron,9,FALSE)</f>
        <v>0.97803937284245479</v>
      </c>
      <c r="BV516">
        <f>VLOOKUP(Table1[[#This Row],[Reference]],metron,10,FALSE)</f>
        <v>2.5271929824561399</v>
      </c>
      <c r="BW516">
        <f>VLOOKUP(Table1[[#This Row],[Reference]],metron,11,FALSE)</f>
        <v>1.510877192982456</v>
      </c>
      <c r="BX516">
        <f>VLOOKUP(Table1[[#This Row],[Reference]],metron,12,FALSE)</f>
        <v>1.0163157894736841</v>
      </c>
      <c r="BY516" s="6">
        <f>VLOOKUP(Table1[[#This Row],[Reference]],metron,13,FALSE)</f>
        <v>0.67350877192982461</v>
      </c>
      <c r="BZ516" s="6">
        <f>VLOOKUP(Table1[[#This Row],[Reference]],metron,14,FALSE)</f>
        <v>0.4442105263157895</v>
      </c>
      <c r="CA516" s="6">
        <f>VLOOKUP(Table1[[#This Row],[Reference]],metron,15,FALSE)</f>
        <v>12.80980392156863</v>
      </c>
      <c r="CB516" s="6">
        <f>VLOOKUP(Table1[[#This Row],[Reference]],metron,16,FALSE)</f>
        <v>9.6872549019607845</v>
      </c>
      <c r="CC516" s="6">
        <f>VLOOKUP(Table1[[#This Row],[Reference]],metron,17,FALSE)</f>
        <v>5.6491169610129957</v>
      </c>
      <c r="CD516" s="6">
        <f>VLOOKUP(Table1[[#This Row],[Reference]],metron,18,FALSE)</f>
        <v>4.1379540153282237</v>
      </c>
      <c r="CE516" s="6">
        <f>VLOOKUP(Table1[[#This Row],[Reference]],metron,19,FALSE)</f>
        <v>7.1606869605556343</v>
      </c>
      <c r="CF516" s="6">
        <f>VLOOKUP(Table1[[#This Row],[Reference]],metron,20,FALSE)</f>
        <v>5.5493008866325608</v>
      </c>
      <c r="CG516" s="6">
        <f>VLOOKUP(Table1[[#This Row],[Reference]],metron,21,FALSE)</f>
        <v>12.9029029029029</v>
      </c>
      <c r="CH516" s="6">
        <f>VLOOKUP(Table1[[#This Row],[Reference]],metron,22,FALSE)</f>
        <v>13.75508842175509</v>
      </c>
      <c r="CI516" s="6">
        <f>VLOOKUP(Table1[[#This Row],[Reference]],metron,23,FALSE)</f>
        <v>1.5287356321839081</v>
      </c>
      <c r="CJ516" s="6">
        <f>VLOOKUP(Table1[[#This Row],[Reference]],metron,24,FALSE)</f>
        <v>1.9664750957854411</v>
      </c>
      <c r="CK516" s="6">
        <f>VLOOKUP(Table1[[#This Row],[Reference]],metron,25,FALSE)</f>
        <v>8.8441890166028103E-2</v>
      </c>
      <c r="CL516" s="6">
        <f>VLOOKUP(Table1[[#This Row],[Reference]],metron,26,FALSE)</f>
        <v>0.13409961685823751</v>
      </c>
    </row>
    <row r="517" spans="1:90" x14ac:dyDescent="0.45">
      <c r="A517" t="s">
        <v>1256</v>
      </c>
      <c r="B517">
        <v>1610163000</v>
      </c>
      <c r="C517" s="23" t="s">
        <v>984</v>
      </c>
      <c r="D517" t="s">
        <v>65</v>
      </c>
      <c r="E517" t="s">
        <v>66</v>
      </c>
      <c r="F517" t="s">
        <v>113</v>
      </c>
      <c r="G517" t="s">
        <v>72</v>
      </c>
      <c r="H517" t="s">
        <v>138</v>
      </c>
      <c r="I517">
        <f>MROUND(Table1[[#This Row],[ProbH]]*100,2)/100</f>
        <v>0.46</v>
      </c>
      <c r="J517">
        <f>1/Table1[[#This Row],[odds_ft_home_team_win]]-Table1[[#This Row],[Margin]]</f>
        <v>0.46657527373464708</v>
      </c>
      <c r="K517">
        <f>1/Table1[[#This Row],[odds_ft_draw]]-Table1[[#This Row],[Margin]]</f>
        <v>0.27849399892865218</v>
      </c>
      <c r="L517">
        <f>1/Table1[[#This Row],[odds_ft_away_team_win]]-Table1[[#This Row],[Margin]]</f>
        <v>0.25493072733670075</v>
      </c>
      <c r="M517">
        <v>1</v>
      </c>
      <c r="N517">
        <v>1.38</v>
      </c>
      <c r="O517">
        <v>1.22</v>
      </c>
      <c r="P517">
        <v>1.53</v>
      </c>
      <c r="Q517">
        <v>0.72</v>
      </c>
      <c r="R517" t="str" cm="1">
        <f t="array" ref="R5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7">
        <v>3</v>
      </c>
      <c r="T517">
        <v>2</v>
      </c>
      <c r="U517">
        <v>5</v>
      </c>
      <c r="V517">
        <v>3</v>
      </c>
      <c r="W517">
        <v>2</v>
      </c>
      <c r="X517">
        <v>1</v>
      </c>
      <c r="Y517" t="s">
        <v>985</v>
      </c>
      <c r="Z517" t="s">
        <v>986</v>
      </c>
      <c r="AA517">
        <v>4</v>
      </c>
      <c r="AB517">
        <v>5</v>
      </c>
      <c r="AC517">
        <v>0</v>
      </c>
      <c r="AD517">
        <v>0</v>
      </c>
      <c r="AE517">
        <v>3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4</v>
      </c>
      <c r="AL517">
        <v>6</v>
      </c>
      <c r="AM517">
        <v>2</v>
      </c>
      <c r="AN517">
        <v>4</v>
      </c>
      <c r="AO517">
        <v>2</v>
      </c>
      <c r="AP517">
        <v>2</v>
      </c>
      <c r="AQ517">
        <v>12</v>
      </c>
      <c r="AR517">
        <v>15</v>
      </c>
      <c r="AS517">
        <v>45</v>
      </c>
      <c r="AT517">
        <v>55</v>
      </c>
      <c r="AU517">
        <v>0.59</v>
      </c>
      <c r="AV517">
        <v>1.02</v>
      </c>
      <c r="AW517">
        <v>2.34</v>
      </c>
      <c r="AX517">
        <v>54</v>
      </c>
      <c r="AY517">
        <v>60</v>
      </c>
      <c r="AZ517">
        <v>43</v>
      </c>
      <c r="BA517">
        <v>19</v>
      </c>
      <c r="BB517">
        <v>19</v>
      </c>
      <c r="BC517">
        <v>32</v>
      </c>
      <c r="BD517">
        <v>60</v>
      </c>
      <c r="BE517">
        <v>36</v>
      </c>
      <c r="BF517">
        <v>76</v>
      </c>
      <c r="BG517">
        <v>6.72</v>
      </c>
      <c r="BH517">
        <v>5.39</v>
      </c>
      <c r="BI517">
        <v>2.04</v>
      </c>
      <c r="BJ517">
        <v>3.31</v>
      </c>
      <c r="BK517">
        <v>3.59</v>
      </c>
      <c r="BL517">
        <f>(1/Table1[[#This Row],[odds_ft_home_team_win]]+1/Table1[[#This Row],[odds_ft_draw]]+1/Table1[[#This Row],[odds_ft_away_team_win]]-1)/3</f>
        <v>2.362080469672545E-2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 t="s">
        <v>120</v>
      </c>
      <c r="BT517">
        <f>VLOOKUP(Table1[[#This Row],[Reference]],metron,8,FALSE)</f>
        <v>1.6955772349985931</v>
      </c>
      <c r="BU517">
        <f>VLOOKUP(Table1[[#This Row],[Reference]],metron,9,FALSE)</f>
        <v>1.0239029519551039</v>
      </c>
      <c r="BV517">
        <f>VLOOKUP(Table1[[#This Row],[Reference]],metron,10,FALSE)</f>
        <v>2.5405629139072849</v>
      </c>
      <c r="BW517">
        <f>VLOOKUP(Table1[[#This Row],[Reference]],metron,11,FALSE)</f>
        <v>1.4888836329233679</v>
      </c>
      <c r="BX517">
        <f>VLOOKUP(Table1[[#This Row],[Reference]],metron,12,FALSE)</f>
        <v>1.0516792809839171</v>
      </c>
      <c r="BY517" s="6">
        <f>VLOOKUP(Table1[[#This Row],[Reference]],metron,13,FALSE)</f>
        <v>0.64581362346263005</v>
      </c>
      <c r="BZ517" s="6">
        <f>VLOOKUP(Table1[[#This Row],[Reference]],metron,14,FALSE)</f>
        <v>0.45364238410596031</v>
      </c>
      <c r="CA517" s="6">
        <f>VLOOKUP(Table1[[#This Row],[Reference]],metron,15,FALSE)</f>
        <v>12.686892177589851</v>
      </c>
      <c r="CB517" s="6">
        <f>VLOOKUP(Table1[[#This Row],[Reference]],metron,16,FALSE)</f>
        <v>9.8059196617336148</v>
      </c>
      <c r="CC517" s="6">
        <f>VLOOKUP(Table1[[#This Row],[Reference]],metron,17,FALSE)</f>
        <v>5.3198121263877027</v>
      </c>
      <c r="CD517" s="6">
        <f>VLOOKUP(Table1[[#This Row],[Reference]],metron,18,FALSE)</f>
        <v>4.0954312553373189</v>
      </c>
      <c r="CE517" s="6">
        <f>VLOOKUP(Table1[[#This Row],[Reference]],metron,19,FALSE)</f>
        <v>7.3670800512021479</v>
      </c>
      <c r="CF517" s="6">
        <f>VLOOKUP(Table1[[#This Row],[Reference]],metron,20,FALSE)</f>
        <v>5.710488406396296</v>
      </c>
      <c r="CG517" s="6">
        <f>VLOOKUP(Table1[[#This Row],[Reference]],metron,21,FALSE)</f>
        <v>13.0488908033599</v>
      </c>
      <c r="CH517" s="6">
        <f>VLOOKUP(Table1[[#This Row],[Reference]],metron,22,FALSE)</f>
        <v>13.714839543398661</v>
      </c>
      <c r="CI517" s="6">
        <f>VLOOKUP(Table1[[#This Row],[Reference]],metron,23,FALSE)</f>
        <v>1.567523459812322</v>
      </c>
      <c r="CJ517" s="6">
        <f>VLOOKUP(Table1[[#This Row],[Reference]],metron,24,FALSE)</f>
        <v>1.951040391676867</v>
      </c>
      <c r="CK517" s="6">
        <f>VLOOKUP(Table1[[#This Row],[Reference]],metron,25,FALSE)</f>
        <v>8.3027335781313744E-2</v>
      </c>
      <c r="CL517" s="6">
        <f>VLOOKUP(Table1[[#This Row],[Reference]],metron,26,FALSE)</f>
        <v>0.13117095063239501</v>
      </c>
    </row>
    <row r="518" spans="1:90" x14ac:dyDescent="0.45">
      <c r="A518" t="s">
        <v>1256</v>
      </c>
      <c r="B518">
        <v>1610233200</v>
      </c>
      <c r="C518" s="23" t="s">
        <v>987</v>
      </c>
      <c r="D518" t="s">
        <v>65</v>
      </c>
      <c r="E518" t="s">
        <v>66</v>
      </c>
      <c r="F518" t="s">
        <v>97</v>
      </c>
      <c r="G518" t="s">
        <v>101</v>
      </c>
      <c r="H518" t="s">
        <v>103</v>
      </c>
      <c r="I518">
        <f>MROUND(Table1[[#This Row],[ProbH]]*100,2)/100</f>
        <v>0.28000000000000003</v>
      </c>
      <c r="J518">
        <f>1/Table1[[#This Row],[odds_ft_home_team_win]]-Table1[[#This Row],[Margin]]</f>
        <v>0.27556893404127819</v>
      </c>
      <c r="K518">
        <f>1/Table1[[#This Row],[odds_ft_draw]]-Table1[[#This Row],[Margin]]</f>
        <v>0.27117911841353459</v>
      </c>
      <c r="L518">
        <f>1/Table1[[#This Row],[odds_ft_away_team_win]]-Table1[[#This Row],[Margin]]</f>
        <v>0.45325194754518722</v>
      </c>
      <c r="M518">
        <v>1</v>
      </c>
      <c r="N518">
        <v>0.88</v>
      </c>
      <c r="O518">
        <v>1.56</v>
      </c>
      <c r="P518">
        <v>1.21</v>
      </c>
      <c r="Q518">
        <v>1.39</v>
      </c>
      <c r="R518" t="str" cm="1">
        <f t="array" ref="R5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18">
        <v>0</v>
      </c>
      <c r="T518">
        <v>2</v>
      </c>
      <c r="U518">
        <v>2</v>
      </c>
      <c r="V518">
        <v>2</v>
      </c>
      <c r="W518">
        <v>0</v>
      </c>
      <c r="X518">
        <v>2</v>
      </c>
      <c r="Z518" t="s">
        <v>988</v>
      </c>
      <c r="AA518">
        <v>8</v>
      </c>
      <c r="AB518">
        <v>8</v>
      </c>
      <c r="AC518">
        <v>2</v>
      </c>
      <c r="AD518">
        <v>1</v>
      </c>
      <c r="AE518">
        <v>2</v>
      </c>
      <c r="AF518">
        <v>0</v>
      </c>
      <c r="AG518">
        <v>2</v>
      </c>
      <c r="AH518">
        <v>1</v>
      </c>
      <c r="AI518">
        <v>0</v>
      </c>
      <c r="AJ518">
        <v>2</v>
      </c>
      <c r="AK518">
        <v>9</v>
      </c>
      <c r="AL518">
        <v>15</v>
      </c>
      <c r="AM518">
        <v>6</v>
      </c>
      <c r="AN518">
        <v>4</v>
      </c>
      <c r="AO518">
        <v>3</v>
      </c>
      <c r="AP518">
        <v>11</v>
      </c>
      <c r="AQ518">
        <v>9</v>
      </c>
      <c r="AR518">
        <v>17</v>
      </c>
      <c r="AS518">
        <v>52</v>
      </c>
      <c r="AT518">
        <v>48</v>
      </c>
      <c r="AU518">
        <v>1.41</v>
      </c>
      <c r="AV518">
        <v>1.47</v>
      </c>
      <c r="AW518">
        <v>2.21</v>
      </c>
      <c r="AX518">
        <v>64</v>
      </c>
      <c r="AY518">
        <v>64</v>
      </c>
      <c r="AZ518">
        <v>46</v>
      </c>
      <c r="BA518">
        <v>11</v>
      </c>
      <c r="BB518">
        <v>0</v>
      </c>
      <c r="BC518">
        <v>29</v>
      </c>
      <c r="BD518">
        <v>64</v>
      </c>
      <c r="BE518">
        <v>29</v>
      </c>
      <c r="BF518">
        <v>82</v>
      </c>
      <c r="BG518">
        <v>8.99</v>
      </c>
      <c r="BH518">
        <v>4.96</v>
      </c>
      <c r="BI518">
        <v>3.35</v>
      </c>
      <c r="BJ518">
        <v>3.4</v>
      </c>
      <c r="BK518">
        <v>2.1</v>
      </c>
      <c r="BL518">
        <f>(1/Table1[[#This Row],[odds_ft_home_team_win]]+1/Table1[[#This Row],[odds_ft_draw]]+1/Table1[[#This Row],[odds_ft_away_team_win]]-1)/3</f>
        <v>2.293852864528893E-2</v>
      </c>
      <c r="BM518">
        <v>1.26</v>
      </c>
      <c r="BN518">
        <v>1.8</v>
      </c>
      <c r="BO518">
        <v>2.75</v>
      </c>
      <c r="BP518">
        <v>4.6500000000000004</v>
      </c>
      <c r="BQ518">
        <v>1.67</v>
      </c>
      <c r="BR518">
        <v>2.15</v>
      </c>
      <c r="BS518" t="s">
        <v>136</v>
      </c>
      <c r="BT518">
        <f>VLOOKUP(Table1[[#This Row],[Reference]],metron,8,FALSE)</f>
        <v>1.1529533168233341</v>
      </c>
      <c r="BU518">
        <f>VLOOKUP(Table1[[#This Row],[Reference]],metron,9,FALSE)</f>
        <v>1.5628535554286829</v>
      </c>
      <c r="BV518">
        <f>VLOOKUP(Table1[[#This Row],[Reference]],metron,10,FALSE)</f>
        <v>2.5445607358071678</v>
      </c>
      <c r="BW518">
        <f>VLOOKUP(Table1[[#This Row],[Reference]],metron,11,FALSE)</f>
        <v>1.128766254360926</v>
      </c>
      <c r="BX518">
        <f>VLOOKUP(Table1[[#This Row],[Reference]],metron,12,FALSE)</f>
        <v>1.415794481446242</v>
      </c>
      <c r="BY518" s="6">
        <f>VLOOKUP(Table1[[#This Row],[Reference]],metron,13,FALSE)</f>
        <v>0.49635267998731369</v>
      </c>
      <c r="BZ518" s="6">
        <f>VLOOKUP(Table1[[#This Row],[Reference]],metron,14,FALSE)</f>
        <v>0.61084681255946716</v>
      </c>
      <c r="CA518" s="6">
        <f>VLOOKUP(Table1[[#This Row],[Reference]],metron,15,FALSE)</f>
        <v>11.04442036836403</v>
      </c>
      <c r="CB518" s="6">
        <f>VLOOKUP(Table1[[#This Row],[Reference]],metron,16,FALSE)</f>
        <v>11.38840736728061</v>
      </c>
      <c r="CC518" s="6">
        <f>VLOOKUP(Table1[[#This Row],[Reference]],metron,17,FALSE)</f>
        <v>4.5379574003276897</v>
      </c>
      <c r="CD518" s="6">
        <f>VLOOKUP(Table1[[#This Row],[Reference]],metron,18,FALSE)</f>
        <v>4.8481703986892413</v>
      </c>
      <c r="CE518" s="6">
        <f>VLOOKUP(Table1[[#This Row],[Reference]],metron,19,FALSE)</f>
        <v>6.5064629680363399</v>
      </c>
      <c r="CF518" s="6">
        <f>VLOOKUP(Table1[[#This Row],[Reference]],metron,20,FALSE)</f>
        <v>6.540236968591369</v>
      </c>
      <c r="CG518" s="6">
        <f>VLOOKUP(Table1[[#This Row],[Reference]],metron,21,FALSE)</f>
        <v>13.117582417582421</v>
      </c>
      <c r="CH518" s="6">
        <f>VLOOKUP(Table1[[#This Row],[Reference]],metron,22,FALSE)</f>
        <v>13.28241758241758</v>
      </c>
      <c r="CI518" s="6">
        <f>VLOOKUP(Table1[[#This Row],[Reference]],metron,23,FALSE)</f>
        <v>1.792592592592593</v>
      </c>
      <c r="CJ518" s="6">
        <f>VLOOKUP(Table1[[#This Row],[Reference]],metron,24,FALSE)</f>
        <v>1.806980433632998</v>
      </c>
      <c r="CK518" s="6">
        <f>VLOOKUP(Table1[[#This Row],[Reference]],metron,25,FALSE)</f>
        <v>0.1047065044949762</v>
      </c>
      <c r="CL518" s="6">
        <f>VLOOKUP(Table1[[#This Row],[Reference]],metron,26,FALSE)</f>
        <v>0.1073506081438392</v>
      </c>
    </row>
    <row r="519" spans="1:90" x14ac:dyDescent="0.45">
      <c r="A519" t="s">
        <v>1256</v>
      </c>
      <c r="B519">
        <v>1610240400</v>
      </c>
      <c r="C519" s="23" t="s">
        <v>989</v>
      </c>
      <c r="D519" t="s">
        <v>65</v>
      </c>
      <c r="E519" t="s">
        <v>66</v>
      </c>
      <c r="F519" t="s">
        <v>107</v>
      </c>
      <c r="G519" t="s">
        <v>85</v>
      </c>
      <c r="H519" t="s">
        <v>229</v>
      </c>
      <c r="I519">
        <f>MROUND(Table1[[#This Row],[ProbH]]*100,2)/100</f>
        <v>0.46</v>
      </c>
      <c r="J519">
        <f>1/Table1[[#This Row],[odds_ft_home_team_win]]-Table1[[#This Row],[Margin]]</f>
        <v>0.45325194754518722</v>
      </c>
      <c r="K519">
        <f>1/Table1[[#This Row],[odds_ft_draw]]-Table1[[#This Row],[Margin]]</f>
        <v>0.27556893404127819</v>
      </c>
      <c r="L519">
        <f>1/Table1[[#This Row],[odds_ft_away_team_win]]-Table1[[#This Row],[Margin]]</f>
        <v>0.27117911841353459</v>
      </c>
      <c r="M519">
        <v>1</v>
      </c>
      <c r="N519">
        <v>1.73</v>
      </c>
      <c r="O519">
        <v>1.67</v>
      </c>
      <c r="P519">
        <v>1.53</v>
      </c>
      <c r="Q519">
        <v>1.5</v>
      </c>
      <c r="R519" t="str" cm="1">
        <f t="array" ref="R5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9">
        <v>2</v>
      </c>
      <c r="T519">
        <v>0</v>
      </c>
      <c r="U519">
        <v>2</v>
      </c>
      <c r="V519">
        <v>1</v>
      </c>
      <c r="W519">
        <v>1</v>
      </c>
      <c r="X519">
        <v>0</v>
      </c>
      <c r="Y519" t="s">
        <v>990</v>
      </c>
      <c r="AA519">
        <v>5</v>
      </c>
      <c r="AB519">
        <v>1</v>
      </c>
      <c r="AC519">
        <v>1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21</v>
      </c>
      <c r="AL519">
        <v>9</v>
      </c>
      <c r="AM519">
        <v>6</v>
      </c>
      <c r="AN519">
        <v>3</v>
      </c>
      <c r="AO519">
        <v>15</v>
      </c>
      <c r="AP519">
        <v>6</v>
      </c>
      <c r="AQ519">
        <v>18</v>
      </c>
      <c r="AR519">
        <v>9</v>
      </c>
      <c r="AS519">
        <v>39</v>
      </c>
      <c r="AT519">
        <v>61</v>
      </c>
      <c r="AU519">
        <v>2.09</v>
      </c>
      <c r="AV519">
        <v>1.07</v>
      </c>
      <c r="AW519">
        <v>2.4500000000000002</v>
      </c>
      <c r="AX519">
        <v>62</v>
      </c>
      <c r="AY519">
        <v>88</v>
      </c>
      <c r="AZ519">
        <v>44</v>
      </c>
      <c r="BA519">
        <v>18</v>
      </c>
      <c r="BB519">
        <v>4</v>
      </c>
      <c r="BC519">
        <v>18</v>
      </c>
      <c r="BD519">
        <v>57</v>
      </c>
      <c r="BE519">
        <v>49</v>
      </c>
      <c r="BF519">
        <v>88</v>
      </c>
      <c r="BG519">
        <v>9.02</v>
      </c>
      <c r="BH519">
        <v>4.5999999999999996</v>
      </c>
      <c r="BI519">
        <v>2.1</v>
      </c>
      <c r="BJ519">
        <v>3.35</v>
      </c>
      <c r="BK519">
        <v>3.4</v>
      </c>
      <c r="BL519">
        <f>(1/Table1[[#This Row],[odds_ft_home_team_win]]+1/Table1[[#This Row],[odds_ft_draw]]+1/Table1[[#This Row],[odds_ft_away_team_win]]-1)/3</f>
        <v>2.293852864528893E-2</v>
      </c>
      <c r="BM519">
        <v>1.37</v>
      </c>
      <c r="BN519">
        <v>2.0499999999999998</v>
      </c>
      <c r="BO519">
        <v>3.25</v>
      </c>
      <c r="BP519">
        <v>5.75</v>
      </c>
      <c r="BQ519">
        <v>1.87</v>
      </c>
      <c r="BR519">
        <v>1.91</v>
      </c>
      <c r="BS519" t="s">
        <v>161</v>
      </c>
      <c r="BT519">
        <f>VLOOKUP(Table1[[#This Row],[Reference]],metron,8,FALSE)</f>
        <v>1.6955772349985931</v>
      </c>
      <c r="BU519">
        <f>VLOOKUP(Table1[[#This Row],[Reference]],metron,9,FALSE)</f>
        <v>1.0239029519551039</v>
      </c>
      <c r="BV519">
        <f>VLOOKUP(Table1[[#This Row],[Reference]],metron,10,FALSE)</f>
        <v>2.5405629139072849</v>
      </c>
      <c r="BW519">
        <f>VLOOKUP(Table1[[#This Row],[Reference]],metron,11,FALSE)</f>
        <v>1.4888836329233679</v>
      </c>
      <c r="BX519">
        <f>VLOOKUP(Table1[[#This Row],[Reference]],metron,12,FALSE)</f>
        <v>1.0516792809839171</v>
      </c>
      <c r="BY519" s="6">
        <f>VLOOKUP(Table1[[#This Row],[Reference]],metron,13,FALSE)</f>
        <v>0.64581362346263005</v>
      </c>
      <c r="BZ519" s="6">
        <f>VLOOKUP(Table1[[#This Row],[Reference]],metron,14,FALSE)</f>
        <v>0.45364238410596031</v>
      </c>
      <c r="CA519" s="6">
        <f>VLOOKUP(Table1[[#This Row],[Reference]],metron,15,FALSE)</f>
        <v>12.686892177589851</v>
      </c>
      <c r="CB519" s="6">
        <f>VLOOKUP(Table1[[#This Row],[Reference]],metron,16,FALSE)</f>
        <v>9.8059196617336148</v>
      </c>
      <c r="CC519" s="6">
        <f>VLOOKUP(Table1[[#This Row],[Reference]],metron,17,FALSE)</f>
        <v>5.3198121263877027</v>
      </c>
      <c r="CD519" s="6">
        <f>VLOOKUP(Table1[[#This Row],[Reference]],metron,18,FALSE)</f>
        <v>4.0954312553373189</v>
      </c>
      <c r="CE519" s="6">
        <f>VLOOKUP(Table1[[#This Row],[Reference]],metron,19,FALSE)</f>
        <v>7.3670800512021479</v>
      </c>
      <c r="CF519" s="6">
        <f>VLOOKUP(Table1[[#This Row],[Reference]],metron,20,FALSE)</f>
        <v>5.710488406396296</v>
      </c>
      <c r="CG519" s="6">
        <f>VLOOKUP(Table1[[#This Row],[Reference]],metron,21,FALSE)</f>
        <v>13.0488908033599</v>
      </c>
      <c r="CH519" s="6">
        <f>VLOOKUP(Table1[[#This Row],[Reference]],metron,22,FALSE)</f>
        <v>13.714839543398661</v>
      </c>
      <c r="CI519" s="6">
        <f>VLOOKUP(Table1[[#This Row],[Reference]],metron,23,FALSE)</f>
        <v>1.567523459812322</v>
      </c>
      <c r="CJ519" s="6">
        <f>VLOOKUP(Table1[[#This Row],[Reference]],metron,24,FALSE)</f>
        <v>1.951040391676867</v>
      </c>
      <c r="CK519" s="6">
        <f>VLOOKUP(Table1[[#This Row],[Reference]],metron,25,FALSE)</f>
        <v>8.3027335781313744E-2</v>
      </c>
      <c r="CL519" s="6">
        <f>VLOOKUP(Table1[[#This Row],[Reference]],metron,26,FALSE)</f>
        <v>0.13117095063239501</v>
      </c>
    </row>
    <row r="520" spans="1:90" x14ac:dyDescent="0.45">
      <c r="A520" t="s">
        <v>1256</v>
      </c>
      <c r="B520">
        <v>1610247600</v>
      </c>
      <c r="C520" s="23" t="s">
        <v>991</v>
      </c>
      <c r="D520" t="s">
        <v>65</v>
      </c>
      <c r="E520" t="s">
        <v>66</v>
      </c>
      <c r="F520" t="s">
        <v>68</v>
      </c>
      <c r="G520" t="s">
        <v>91</v>
      </c>
      <c r="H520" t="s">
        <v>86</v>
      </c>
      <c r="I520">
        <f>MROUND(Table1[[#This Row],[ProbH]]*100,2)/100</f>
        <v>0.6</v>
      </c>
      <c r="J520">
        <f>1/Table1[[#This Row],[odds_ft_home_team_win]]-Table1[[#This Row],[Margin]]</f>
        <v>0.59844985931942452</v>
      </c>
      <c r="K520">
        <f>1/Table1[[#This Row],[odds_ft_draw]]-Table1[[#This Row],[Margin]]</f>
        <v>0.23374210330732073</v>
      </c>
      <c r="L520">
        <f>1/Table1[[#This Row],[odds_ft_away_team_win]]-Table1[[#This Row],[Margin]]</f>
        <v>0.16780803737325475</v>
      </c>
      <c r="M520">
        <v>1</v>
      </c>
      <c r="N520">
        <v>2</v>
      </c>
      <c r="O520">
        <v>0.38</v>
      </c>
      <c r="P520">
        <v>2.37</v>
      </c>
      <c r="Q520">
        <v>0.35</v>
      </c>
      <c r="R520" t="str" cm="1">
        <f t="array" ref="R5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0">
        <v>2</v>
      </c>
      <c r="T520">
        <v>1</v>
      </c>
      <c r="U520">
        <v>3</v>
      </c>
      <c r="V520">
        <v>1</v>
      </c>
      <c r="W520">
        <v>1</v>
      </c>
      <c r="X520">
        <v>0</v>
      </c>
      <c r="Y520" t="s">
        <v>992</v>
      </c>
      <c r="Z520">
        <v>79</v>
      </c>
      <c r="AA520">
        <v>5</v>
      </c>
      <c r="AB520">
        <v>5</v>
      </c>
      <c r="AC520">
        <v>1</v>
      </c>
      <c r="AD520">
        <v>0</v>
      </c>
      <c r="AE520">
        <v>2</v>
      </c>
      <c r="AF520">
        <v>0</v>
      </c>
      <c r="AG520">
        <v>1</v>
      </c>
      <c r="AH520">
        <v>0</v>
      </c>
      <c r="AI520">
        <v>1</v>
      </c>
      <c r="AJ520">
        <v>1</v>
      </c>
      <c r="AK520">
        <v>13</v>
      </c>
      <c r="AL520">
        <v>13</v>
      </c>
      <c r="AM520">
        <v>6</v>
      </c>
      <c r="AN520">
        <v>8</v>
      </c>
      <c r="AO520">
        <v>7</v>
      </c>
      <c r="AP520">
        <v>5</v>
      </c>
      <c r="AQ520">
        <v>11</v>
      </c>
      <c r="AR520">
        <v>12</v>
      </c>
      <c r="AS520">
        <v>54</v>
      </c>
      <c r="AT520">
        <v>46</v>
      </c>
      <c r="AU520">
        <v>1.49</v>
      </c>
      <c r="AV520">
        <v>1.76</v>
      </c>
      <c r="AW520">
        <v>3.05</v>
      </c>
      <c r="AX520">
        <v>60</v>
      </c>
      <c r="AY520">
        <v>84</v>
      </c>
      <c r="AZ520">
        <v>73</v>
      </c>
      <c r="BA520">
        <v>43</v>
      </c>
      <c r="BB520">
        <v>7</v>
      </c>
      <c r="BC520">
        <v>39</v>
      </c>
      <c r="BD520">
        <v>78</v>
      </c>
      <c r="BE520">
        <v>62</v>
      </c>
      <c r="BF520">
        <v>84</v>
      </c>
      <c r="BG520">
        <v>8.6999999999999993</v>
      </c>
      <c r="BH520">
        <v>4.6500000000000004</v>
      </c>
      <c r="BI520">
        <v>1.61</v>
      </c>
      <c r="BJ520">
        <v>3.9</v>
      </c>
      <c r="BK520">
        <v>5.25</v>
      </c>
      <c r="BL520">
        <f>(1/Table1[[#This Row],[odds_ft_home_team_win]]+1/Table1[[#This Row],[odds_ft_draw]]+1/Table1[[#This Row],[odds_ft_away_team_win]]-1)/3</f>
        <v>2.2668153102935722E-2</v>
      </c>
      <c r="BM520">
        <v>1.27</v>
      </c>
      <c r="BN520">
        <v>1.77</v>
      </c>
      <c r="BO520">
        <v>2.75</v>
      </c>
      <c r="BP520">
        <v>4.5</v>
      </c>
      <c r="BQ520">
        <v>1.8</v>
      </c>
      <c r="BR520">
        <v>1.95</v>
      </c>
      <c r="BS520" t="s">
        <v>116</v>
      </c>
      <c r="BT520">
        <f>VLOOKUP(Table1[[#This Row],[Reference]],metron,8,FALSE)</f>
        <v>2.0749792289385525</v>
      </c>
      <c r="BU520">
        <f>VLOOKUP(Table1[[#This Row],[Reference]],metron,9,FALSE)</f>
        <v>0.68220664089703831</v>
      </c>
      <c r="BV520">
        <f>VLOOKUP(Table1[[#This Row],[Reference]],metron,10,FALSE)</f>
        <v>2.7310090702947849</v>
      </c>
      <c r="BW520">
        <f>VLOOKUP(Table1[[#This Row],[Reference]],metron,11,FALSE)</f>
        <v>1.841836734693878</v>
      </c>
      <c r="BX520">
        <f>VLOOKUP(Table1[[#This Row],[Reference]],metron,12,FALSE)</f>
        <v>0.88917233560090703</v>
      </c>
      <c r="BY520" s="6">
        <f>VLOOKUP(Table1[[#This Row],[Reference]],metron,13,FALSE)</f>
        <v>0.804822695035461</v>
      </c>
      <c r="BZ520" s="6">
        <f>VLOOKUP(Table1[[#This Row],[Reference]],metron,14,FALSE)</f>
        <v>0.38099290780141842</v>
      </c>
      <c r="CA520" s="6">
        <f>VLOOKUP(Table1[[#This Row],[Reference]],metron,15,FALSE)</f>
        <v>14.25174825174825</v>
      </c>
      <c r="CB520" s="6">
        <f>VLOOKUP(Table1[[#This Row],[Reference]],metron,16,FALSE)</f>
        <v>8.8316683316683324</v>
      </c>
      <c r="CC520" s="6">
        <f>VLOOKUP(Table1[[#This Row],[Reference]],metron,17,FALSE)</f>
        <v>6.2901265822784813</v>
      </c>
      <c r="CD520" s="6">
        <f>VLOOKUP(Table1[[#This Row],[Reference]],metron,18,FALSE)</f>
        <v>3.6162025316455702</v>
      </c>
      <c r="CE520" s="6">
        <f>VLOOKUP(Table1[[#This Row],[Reference]],metron,19,FALSE)</f>
        <v>7.9616216694697686</v>
      </c>
      <c r="CF520" s="6">
        <f>VLOOKUP(Table1[[#This Row],[Reference]],metron,20,FALSE)</f>
        <v>5.2154658000227627</v>
      </c>
      <c r="CG520" s="6">
        <f>VLOOKUP(Table1[[#This Row],[Reference]],metron,21,FALSE)</f>
        <v>12.444895886236671</v>
      </c>
      <c r="CH520" s="6">
        <f>VLOOKUP(Table1[[#This Row],[Reference]],metron,22,FALSE)</f>
        <v>13.620619603859829</v>
      </c>
      <c r="CI520" s="6">
        <f>VLOOKUP(Table1[[#This Row],[Reference]],metron,23,FALSE)</f>
        <v>1.406084017382907</v>
      </c>
      <c r="CJ520" s="6">
        <f>VLOOKUP(Table1[[#This Row],[Reference]],metron,24,FALSE)</f>
        <v>2.070980202800579</v>
      </c>
      <c r="CK520" s="6">
        <f>VLOOKUP(Table1[[#This Row],[Reference]],metron,25,FALSE)</f>
        <v>6.1323032351521013E-2</v>
      </c>
      <c r="CL520" s="6">
        <f>VLOOKUP(Table1[[#This Row],[Reference]],metron,26,FALSE)</f>
        <v>0.1313375181071946</v>
      </c>
    </row>
    <row r="521" spans="1:90" x14ac:dyDescent="0.45">
      <c r="A521" t="s">
        <v>1256</v>
      </c>
      <c r="B521">
        <v>1610301600</v>
      </c>
      <c r="C521" s="23" t="s">
        <v>993</v>
      </c>
      <c r="D521" t="s">
        <v>65</v>
      </c>
      <c r="E521" t="s">
        <v>66</v>
      </c>
      <c r="F521" t="s">
        <v>79</v>
      </c>
      <c r="G521" t="s">
        <v>67</v>
      </c>
      <c r="H521" t="s">
        <v>994</v>
      </c>
      <c r="I521">
        <f>MROUND(Table1[[#This Row],[ProbH]]*100,2)/100</f>
        <v>0.44</v>
      </c>
      <c r="J521">
        <f>1/Table1[[#This Row],[odds_ft_home_team_win]]-Table1[[#This Row],[Margin]]</f>
        <v>0.43045566138937486</v>
      </c>
      <c r="K521">
        <f>1/Table1[[#This Row],[odds_ft_draw]]-Table1[[#This Row],[Margin]]</f>
        <v>0.26576527930768845</v>
      </c>
      <c r="L521">
        <f>1/Table1[[#This Row],[odds_ft_away_team_win]]-Table1[[#This Row],[Margin]]</f>
        <v>0.30377905930293675</v>
      </c>
      <c r="M521">
        <v>1</v>
      </c>
      <c r="N521">
        <v>2</v>
      </c>
      <c r="O521">
        <v>0.22</v>
      </c>
      <c r="P521">
        <v>2</v>
      </c>
      <c r="Q521">
        <v>0.17</v>
      </c>
      <c r="R521" t="str" cm="1">
        <f t="array" ref="R5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1">
        <v>3</v>
      </c>
      <c r="T521">
        <v>1</v>
      </c>
      <c r="U521">
        <v>4</v>
      </c>
      <c r="V521">
        <v>3</v>
      </c>
      <c r="W521">
        <v>2</v>
      </c>
      <c r="X521">
        <v>1</v>
      </c>
      <c r="Y521" t="s">
        <v>995</v>
      </c>
      <c r="Z521">
        <v>24</v>
      </c>
      <c r="AA521">
        <v>2</v>
      </c>
      <c r="AB521">
        <v>8</v>
      </c>
      <c r="AC521">
        <v>1</v>
      </c>
      <c r="AD521">
        <v>0</v>
      </c>
      <c r="AE521">
        <v>5</v>
      </c>
      <c r="AF521">
        <v>0</v>
      </c>
      <c r="AG521">
        <v>1</v>
      </c>
      <c r="AH521">
        <v>0</v>
      </c>
      <c r="AI521">
        <v>1</v>
      </c>
      <c r="AJ521">
        <v>4</v>
      </c>
      <c r="AK521">
        <v>11</v>
      </c>
      <c r="AL521">
        <v>15</v>
      </c>
      <c r="AM521">
        <v>5</v>
      </c>
      <c r="AN521">
        <v>5</v>
      </c>
      <c r="AO521">
        <v>6</v>
      </c>
      <c r="AP521">
        <v>10</v>
      </c>
      <c r="AQ521">
        <v>15</v>
      </c>
      <c r="AR521">
        <v>16</v>
      </c>
      <c r="AS521">
        <v>44</v>
      </c>
      <c r="AT521">
        <v>56</v>
      </c>
      <c r="AU521">
        <v>1.22</v>
      </c>
      <c r="AV521">
        <v>1.64</v>
      </c>
      <c r="AW521">
        <v>2.83</v>
      </c>
      <c r="AX521">
        <v>53</v>
      </c>
      <c r="AY521">
        <v>71</v>
      </c>
      <c r="AZ521">
        <v>53</v>
      </c>
      <c r="BA521">
        <v>30</v>
      </c>
      <c r="BB521">
        <v>24</v>
      </c>
      <c r="BC521">
        <v>36</v>
      </c>
      <c r="BD521">
        <v>77</v>
      </c>
      <c r="BE521">
        <v>47</v>
      </c>
      <c r="BF521">
        <v>83</v>
      </c>
      <c r="BG521">
        <v>9.24</v>
      </c>
      <c r="BH521">
        <v>4.66</v>
      </c>
      <c r="BI521">
        <v>2.2000000000000002</v>
      </c>
      <c r="BJ521">
        <v>3.45</v>
      </c>
      <c r="BK521">
        <v>3.05</v>
      </c>
      <c r="BL521">
        <f>(1/Table1[[#This Row],[odds_ft_home_team_win]]+1/Table1[[#This Row],[odds_ft_draw]]+1/Table1[[#This Row],[odds_ft_away_team_win]]-1)/3</f>
        <v>2.4089793156079658E-2</v>
      </c>
      <c r="BM521">
        <v>1.33</v>
      </c>
      <c r="BN521">
        <v>1.91</v>
      </c>
      <c r="BO521">
        <v>3</v>
      </c>
      <c r="BP521">
        <v>5</v>
      </c>
      <c r="BQ521">
        <v>1.77</v>
      </c>
      <c r="BR521">
        <v>2</v>
      </c>
      <c r="BS521" t="s">
        <v>140</v>
      </c>
      <c r="BT521">
        <f>VLOOKUP(Table1[[#This Row],[Reference]],metron,8,FALSE)</f>
        <v>1.6395459745305552</v>
      </c>
      <c r="BU521">
        <f>VLOOKUP(Table1[[#This Row],[Reference]],metron,9,FALSE)</f>
        <v>1.0758429359324786</v>
      </c>
      <c r="BV521">
        <f>VLOOKUP(Table1[[#This Row],[Reference]],metron,10,FALSE)</f>
        <v>2.4807646356033461</v>
      </c>
      <c r="BW521">
        <f>VLOOKUP(Table1[[#This Row],[Reference]],metron,11,FALSE)</f>
        <v>1.4140979689366791</v>
      </c>
      <c r="BX521">
        <f>VLOOKUP(Table1[[#This Row],[Reference]],metron,12,FALSE)</f>
        <v>1.0666666666666671</v>
      </c>
      <c r="BY521" s="6">
        <f>VLOOKUP(Table1[[#This Row],[Reference]],metron,13,FALSE)</f>
        <v>0.62712066905615294</v>
      </c>
      <c r="BZ521" s="6">
        <f>VLOOKUP(Table1[[#This Row],[Reference]],metron,14,FALSE)</f>
        <v>0.46009557945041818</v>
      </c>
      <c r="CA521" s="6">
        <f>VLOOKUP(Table1[[#This Row],[Reference]],metron,15,FALSE)</f>
        <v>12.56969280146722</v>
      </c>
      <c r="CB521" s="6">
        <f>VLOOKUP(Table1[[#This Row],[Reference]],metron,16,FALSE)</f>
        <v>9.8695552498853729</v>
      </c>
      <c r="CC521" s="6">
        <f>VLOOKUP(Table1[[#This Row],[Reference]],metron,17,FALSE)</f>
        <v>5.2754256787850897</v>
      </c>
      <c r="CD521" s="6">
        <f>VLOOKUP(Table1[[#This Row],[Reference]],metron,18,FALSE)</f>
        <v>4.1279337321675103</v>
      </c>
      <c r="CE521" s="6">
        <f>VLOOKUP(Table1[[#This Row],[Reference]],metron,19,FALSE)</f>
        <v>7.2942671226821298</v>
      </c>
      <c r="CF521" s="6">
        <f>VLOOKUP(Table1[[#This Row],[Reference]],metron,20,FALSE)</f>
        <v>5.7416215177178627</v>
      </c>
      <c r="CG521" s="6">
        <f>VLOOKUP(Table1[[#This Row],[Reference]],metron,21,FALSE)</f>
        <v>12.897246007868549</v>
      </c>
      <c r="CH521" s="6">
        <f>VLOOKUP(Table1[[#This Row],[Reference]],metron,22,FALSE)</f>
        <v>13.507058551261281</v>
      </c>
      <c r="CI521" s="6">
        <f>VLOOKUP(Table1[[#This Row],[Reference]],metron,23,FALSE)</f>
        <v>1.576522702104098</v>
      </c>
      <c r="CJ521" s="6">
        <f>VLOOKUP(Table1[[#This Row],[Reference]],metron,24,FALSE)</f>
        <v>1.917165005537099</v>
      </c>
      <c r="CK521" s="6">
        <f>VLOOKUP(Table1[[#This Row],[Reference]],metron,25,FALSE)</f>
        <v>8.4385382059800659E-2</v>
      </c>
      <c r="CL521" s="6">
        <f>VLOOKUP(Table1[[#This Row],[Reference]],metron,26,FALSE)</f>
        <v>0.1233665559246955</v>
      </c>
    </row>
    <row r="522" spans="1:90" x14ac:dyDescent="0.45">
      <c r="A522" t="s">
        <v>1256</v>
      </c>
      <c r="B522">
        <v>1610327160</v>
      </c>
      <c r="C522" s="23" t="s">
        <v>996</v>
      </c>
      <c r="D522" t="s">
        <v>65</v>
      </c>
      <c r="E522" t="s">
        <v>66</v>
      </c>
      <c r="F522" t="s">
        <v>73</v>
      </c>
      <c r="G522" t="s">
        <v>112</v>
      </c>
      <c r="H522" t="s">
        <v>147</v>
      </c>
      <c r="I522">
        <f>MROUND(Table1[[#This Row],[ProbH]]*100,2)/100</f>
        <v>0.38</v>
      </c>
      <c r="J522">
        <f>1/Table1[[#This Row],[odds_ft_home_team_win]]-Table1[[#This Row],[Margin]]</f>
        <v>0.37094586262177826</v>
      </c>
      <c r="K522">
        <f>1/Table1[[#This Row],[odds_ft_draw]]-Table1[[#This Row],[Margin]]</f>
        <v>0.27290664693550371</v>
      </c>
      <c r="L522">
        <f>1/Table1[[#This Row],[odds_ft_away_team_win]]-Table1[[#This Row],[Margin]]</f>
        <v>0.35614749044271793</v>
      </c>
      <c r="M522">
        <v>1</v>
      </c>
      <c r="N522">
        <v>1.89</v>
      </c>
      <c r="O522">
        <v>1.45</v>
      </c>
      <c r="P522">
        <v>2.09</v>
      </c>
      <c r="Q522">
        <v>1.77</v>
      </c>
      <c r="R522" t="str" cm="1">
        <f t="array" ref="R5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61</v>
      </c>
      <c r="AA522">
        <v>1</v>
      </c>
      <c r="AB522">
        <v>2</v>
      </c>
      <c r="AC522">
        <v>2</v>
      </c>
      <c r="AD522">
        <v>0</v>
      </c>
      <c r="AE522">
        <v>2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10</v>
      </c>
      <c r="AL522">
        <v>11</v>
      </c>
      <c r="AM522">
        <v>5</v>
      </c>
      <c r="AN522">
        <v>3</v>
      </c>
      <c r="AO522">
        <v>5</v>
      </c>
      <c r="AP522">
        <v>8</v>
      </c>
      <c r="AQ522">
        <v>16</v>
      </c>
      <c r="AR522">
        <v>20</v>
      </c>
      <c r="AS522">
        <v>50</v>
      </c>
      <c r="AT522">
        <v>50</v>
      </c>
      <c r="AU522">
        <v>1.39</v>
      </c>
      <c r="AV522">
        <v>1.21</v>
      </c>
      <c r="AW522">
        <v>2.54</v>
      </c>
      <c r="AX522">
        <v>45</v>
      </c>
      <c r="AY522">
        <v>81</v>
      </c>
      <c r="AZ522">
        <v>51</v>
      </c>
      <c r="BA522">
        <v>24</v>
      </c>
      <c r="BB522">
        <v>5</v>
      </c>
      <c r="BC522">
        <v>36</v>
      </c>
      <c r="BD522">
        <v>76</v>
      </c>
      <c r="BE522">
        <v>35</v>
      </c>
      <c r="BF522">
        <v>79</v>
      </c>
      <c r="BG522">
        <v>14.36</v>
      </c>
      <c r="BH522">
        <v>2.78</v>
      </c>
      <c r="BI522">
        <v>2.5499999999999998</v>
      </c>
      <c r="BJ522">
        <v>3.4</v>
      </c>
      <c r="BK522">
        <v>2.65</v>
      </c>
      <c r="BL522">
        <f>(1/Table1[[#This Row],[odds_ft_home_team_win]]+1/Table1[[#This Row],[odds_ft_draw]]+1/Table1[[#This Row],[odds_ft_away_team_win]]-1)/3</f>
        <v>2.1211000123319817E-2</v>
      </c>
      <c r="BM522">
        <v>1.3</v>
      </c>
      <c r="BN522">
        <v>1.83</v>
      </c>
      <c r="BO522">
        <v>2.9</v>
      </c>
      <c r="BP522">
        <v>5</v>
      </c>
      <c r="BQ522">
        <v>1.67</v>
      </c>
      <c r="BR522">
        <v>2.1</v>
      </c>
      <c r="BS522" t="s">
        <v>142</v>
      </c>
      <c r="BT522">
        <f>VLOOKUP(Table1[[#This Row],[Reference]],metron,8,FALSE)</f>
        <v>1.464160929441638</v>
      </c>
      <c r="BU522">
        <f>VLOOKUP(Table1[[#This Row],[Reference]],metron,9,FALSE)</f>
        <v>1.2477119808919459</v>
      </c>
      <c r="BV522">
        <f>VLOOKUP(Table1[[#This Row],[Reference]],metron,10,FALSE)</f>
        <v>2.4900895140664963</v>
      </c>
      <c r="BW522">
        <f>VLOOKUP(Table1[[#This Row],[Reference]],metron,11,FALSE)</f>
        <v>1.330562659846547</v>
      </c>
      <c r="BX522">
        <f>VLOOKUP(Table1[[#This Row],[Reference]],metron,12,FALSE)</f>
        <v>1.1595268542199491</v>
      </c>
      <c r="BY522" s="6">
        <f>VLOOKUP(Table1[[#This Row],[Reference]],metron,13,FALSE)</f>
        <v>0.59053607588191415</v>
      </c>
      <c r="BZ522" s="6">
        <f>VLOOKUP(Table1[[#This Row],[Reference]],metron,14,FALSE)</f>
        <v>0.50069274219332838</v>
      </c>
      <c r="CA522" s="6">
        <f>VLOOKUP(Table1[[#This Row],[Reference]],metron,15,FALSE)</f>
        <v>11.79715236686391</v>
      </c>
      <c r="CB522" s="6">
        <f>VLOOKUP(Table1[[#This Row],[Reference]],metron,16,FALSE)</f>
        <v>10.317122781065089</v>
      </c>
      <c r="CC522" s="6">
        <f>VLOOKUP(Table1[[#This Row],[Reference]],metron,17,FALSE)</f>
        <v>5.0637025966747622</v>
      </c>
      <c r="CD522" s="6">
        <f>VLOOKUP(Table1[[#This Row],[Reference]],metron,18,FALSE)</f>
        <v>4.4674014571268454</v>
      </c>
      <c r="CE522" s="6">
        <f>VLOOKUP(Table1[[#This Row],[Reference]],metron,19,FALSE)</f>
        <v>6.7334497701891483</v>
      </c>
      <c r="CF522" s="6">
        <f>VLOOKUP(Table1[[#This Row],[Reference]],metron,20,FALSE)</f>
        <v>5.849721323938244</v>
      </c>
      <c r="CG522" s="6">
        <f>VLOOKUP(Table1[[#This Row],[Reference]],metron,21,FALSE)</f>
        <v>12.89644194756554</v>
      </c>
      <c r="CH522" s="6">
        <f>VLOOKUP(Table1[[#This Row],[Reference]],metron,22,FALSE)</f>
        <v>13.3434456928839</v>
      </c>
      <c r="CI522" s="6">
        <f>VLOOKUP(Table1[[#This Row],[Reference]],metron,23,FALSE)</f>
        <v>1.6144382124117971</v>
      </c>
      <c r="CJ522" s="6">
        <f>VLOOKUP(Table1[[#This Row],[Reference]],metron,24,FALSE)</f>
        <v>1.9032024606477289</v>
      </c>
      <c r="CK522" s="6">
        <f>VLOOKUP(Table1[[#This Row],[Reference]],metron,25,FALSE)</f>
        <v>9.372172969060974E-2</v>
      </c>
      <c r="CL522" s="6">
        <f>VLOOKUP(Table1[[#This Row],[Reference]],metron,26,FALSE)</f>
        <v>0.11669983716301791</v>
      </c>
    </row>
    <row r="523" spans="1:90" x14ac:dyDescent="0.45">
      <c r="A523" t="s">
        <v>1256</v>
      </c>
      <c r="B523">
        <v>1610420400</v>
      </c>
      <c r="C523" s="23" t="s">
        <v>997</v>
      </c>
      <c r="D523" t="s">
        <v>65</v>
      </c>
      <c r="E523" t="s">
        <v>66</v>
      </c>
      <c r="F523" t="s">
        <v>84</v>
      </c>
      <c r="G523" t="s">
        <v>78</v>
      </c>
      <c r="H523" t="s">
        <v>175</v>
      </c>
      <c r="I523">
        <f>MROUND(Table1[[#This Row],[ProbH]]*100,2)/100</f>
        <v>0.64</v>
      </c>
      <c r="J523">
        <f>1/Table1[[#This Row],[odds_ft_home_team_win]]-Table1[[#This Row],[Margin]]</f>
        <v>0.63594554819720384</v>
      </c>
      <c r="K523">
        <f>1/Table1[[#This Row],[odds_ft_draw]]-Table1[[#This Row],[Margin]]</f>
        <v>0.22369389256806471</v>
      </c>
      <c r="L523">
        <f>1/Table1[[#This Row],[odds_ft_away_team_win]]-Table1[[#This Row],[Margin]]</f>
        <v>0.14036055923473137</v>
      </c>
      <c r="M523">
        <v>1</v>
      </c>
      <c r="N523">
        <v>1.2</v>
      </c>
      <c r="O523">
        <v>0.75</v>
      </c>
      <c r="P523">
        <v>1.43</v>
      </c>
      <c r="Q523">
        <v>0.59</v>
      </c>
      <c r="R523" t="str" cm="1">
        <f t="array" ref="R5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23">
        <v>1</v>
      </c>
      <c r="T523">
        <v>1</v>
      </c>
      <c r="U523">
        <v>2</v>
      </c>
      <c r="V523">
        <v>1</v>
      </c>
      <c r="W523">
        <v>0</v>
      </c>
      <c r="X523">
        <v>1</v>
      </c>
      <c r="Y523" t="s">
        <v>329</v>
      </c>
      <c r="Z523">
        <v>41</v>
      </c>
      <c r="AA523">
        <v>6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22</v>
      </c>
      <c r="AL523">
        <v>8</v>
      </c>
      <c r="AM523">
        <v>6</v>
      </c>
      <c r="AN523">
        <v>3</v>
      </c>
      <c r="AO523">
        <v>16</v>
      </c>
      <c r="AP523">
        <v>5</v>
      </c>
      <c r="AQ523">
        <v>16</v>
      </c>
      <c r="AR523">
        <v>5</v>
      </c>
      <c r="AS523">
        <v>72</v>
      </c>
      <c r="AT523">
        <v>28</v>
      </c>
      <c r="AU523">
        <v>2.4300000000000002</v>
      </c>
      <c r="AV523">
        <v>0.86</v>
      </c>
      <c r="AW523">
        <v>2.54</v>
      </c>
      <c r="AX523">
        <v>69</v>
      </c>
      <c r="AY523">
        <v>69</v>
      </c>
      <c r="AZ523">
        <v>40</v>
      </c>
      <c r="BA523">
        <v>23</v>
      </c>
      <c r="BB523">
        <v>18</v>
      </c>
      <c r="BC523">
        <v>34</v>
      </c>
      <c r="BD523">
        <v>62</v>
      </c>
      <c r="BE523">
        <v>40</v>
      </c>
      <c r="BF523">
        <v>80</v>
      </c>
      <c r="BG523">
        <v>9.8000000000000007</v>
      </c>
      <c r="BH523">
        <v>5.5</v>
      </c>
      <c r="BI523">
        <v>1.51</v>
      </c>
      <c r="BJ523">
        <v>4</v>
      </c>
      <c r="BK523">
        <v>6</v>
      </c>
      <c r="BL523">
        <f>(1/Table1[[#This Row],[odds_ft_home_team_win]]+1/Table1[[#This Row],[odds_ft_draw]]+1/Table1[[#This Row],[odds_ft_away_team_win]]-1)/3</f>
        <v>2.6306107431935288E-2</v>
      </c>
      <c r="BM523">
        <v>1.37</v>
      </c>
      <c r="BN523">
        <v>2</v>
      </c>
      <c r="BO523">
        <v>3.35</v>
      </c>
      <c r="BP523">
        <v>5.75</v>
      </c>
      <c r="BQ523">
        <v>2.0499999999999998</v>
      </c>
      <c r="BR523">
        <v>1.71</v>
      </c>
      <c r="BS523" t="s">
        <v>88</v>
      </c>
      <c r="BT523">
        <f>VLOOKUP(Table1[[#This Row],[Reference]],metron,8,FALSE)</f>
        <v>2.1745910991837163</v>
      </c>
      <c r="BU523">
        <f>VLOOKUP(Table1[[#This Row],[Reference]],metron,9,FALSE)</f>
        <v>0.59796358565236019</v>
      </c>
      <c r="BV523">
        <f>VLOOKUP(Table1[[#This Row],[Reference]],metron,10,FALSE)</f>
        <v>2.8343749999999996</v>
      </c>
      <c r="BW523">
        <f>VLOOKUP(Table1[[#This Row],[Reference]],metron,11,FALSE)</f>
        <v>1.980803571428571</v>
      </c>
      <c r="BX523">
        <f>VLOOKUP(Table1[[#This Row],[Reference]],metron,12,FALSE)</f>
        <v>0.85357142857142854</v>
      </c>
      <c r="BY523" s="6">
        <f>VLOOKUP(Table1[[#This Row],[Reference]],metron,13,FALSE)</f>
        <v>0.8683035714285714</v>
      </c>
      <c r="BZ523" s="6">
        <f>VLOOKUP(Table1[[#This Row],[Reference]],metron,14,FALSE)</f>
        <v>0.36607142857142849</v>
      </c>
      <c r="CA523" s="6">
        <f>VLOOKUP(Table1[[#This Row],[Reference]],metron,15,FALSE)</f>
        <v>15.03980099502488</v>
      </c>
      <c r="CB523" s="6">
        <f>VLOOKUP(Table1[[#This Row],[Reference]],metron,16,FALSE)</f>
        <v>8.6326699834162515</v>
      </c>
      <c r="CC523" s="6">
        <f>VLOOKUP(Table1[[#This Row],[Reference]],metron,17,FALSE)</f>
        <v>6.5189234650967203</v>
      </c>
      <c r="CD523" s="6">
        <f>VLOOKUP(Table1[[#This Row],[Reference]],metron,18,FALSE)</f>
        <v>3.4507989907485279</v>
      </c>
      <c r="CE523" s="6">
        <f>VLOOKUP(Table1[[#This Row],[Reference]],metron,19,FALSE)</f>
        <v>8.5208775299281605</v>
      </c>
      <c r="CF523" s="6">
        <f>VLOOKUP(Table1[[#This Row],[Reference]],metron,20,FALSE)</f>
        <v>5.181870992667724</v>
      </c>
      <c r="CG523" s="6">
        <f>VLOOKUP(Table1[[#This Row],[Reference]],metron,21,FALSE)</f>
        <v>12.48566610455312</v>
      </c>
      <c r="CH523" s="6">
        <f>VLOOKUP(Table1[[#This Row],[Reference]],metron,22,FALSE)</f>
        <v>13.573355817875211</v>
      </c>
      <c r="CI523" s="6">
        <f>VLOOKUP(Table1[[#This Row],[Reference]],metron,23,FALSE)</f>
        <v>1.395273023634882</v>
      </c>
      <c r="CJ523" s="6">
        <f>VLOOKUP(Table1[[#This Row],[Reference]],metron,24,FALSE)</f>
        <v>2.0586797066014668</v>
      </c>
      <c r="CK523" s="6">
        <f>VLOOKUP(Table1[[#This Row],[Reference]],metron,25,FALSE)</f>
        <v>6.8459657701711488E-2</v>
      </c>
      <c r="CL523" s="6">
        <f>VLOOKUP(Table1[[#This Row],[Reference]],metron,26,FALSE)</f>
        <v>0.12713936430317849</v>
      </c>
    </row>
    <row r="524" spans="1:90" x14ac:dyDescent="0.45">
      <c r="A524" t="s">
        <v>1256</v>
      </c>
      <c r="B524">
        <v>1610760600</v>
      </c>
      <c r="C524" s="23" t="s">
        <v>998</v>
      </c>
      <c r="D524" t="s">
        <v>65</v>
      </c>
      <c r="E524" t="s">
        <v>66</v>
      </c>
      <c r="F524" t="s">
        <v>72</v>
      </c>
      <c r="G524" t="s">
        <v>91</v>
      </c>
      <c r="H524" t="s">
        <v>114</v>
      </c>
      <c r="I524">
        <f>MROUND(Table1[[#This Row],[ProbH]]*100,2)/100</f>
        <v>0.5</v>
      </c>
      <c r="J524">
        <f>1/Table1[[#This Row],[odds_ft_home_team_win]]-Table1[[#This Row],[Margin]]</f>
        <v>0.50075746108875174</v>
      </c>
      <c r="K524">
        <f>1/Table1[[#This Row],[odds_ft_draw]]-Table1[[#This Row],[Margin]]</f>
        <v>0.25888739250973836</v>
      </c>
      <c r="L524">
        <f>1/Table1[[#This Row],[odds_ft_away_team_win]]-Table1[[#This Row],[Margin]]</f>
        <v>0.24035514640151004</v>
      </c>
      <c r="M524">
        <v>2</v>
      </c>
      <c r="N524">
        <v>1.44</v>
      </c>
      <c r="O524">
        <v>0.33</v>
      </c>
      <c r="P524">
        <v>1.29</v>
      </c>
      <c r="Q524">
        <v>0.35</v>
      </c>
      <c r="R524" t="str" cm="1">
        <f t="array" ref="R5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90</v>
      </c>
      <c r="AA524">
        <v>1</v>
      </c>
      <c r="AB524">
        <v>4</v>
      </c>
      <c r="AC524">
        <v>2</v>
      </c>
      <c r="AD524">
        <v>1</v>
      </c>
      <c r="AE524">
        <v>3</v>
      </c>
      <c r="AF524">
        <v>0</v>
      </c>
      <c r="AG524">
        <v>1</v>
      </c>
      <c r="AH524">
        <v>2</v>
      </c>
      <c r="AI524">
        <v>1</v>
      </c>
      <c r="AJ524">
        <v>2</v>
      </c>
      <c r="AK524">
        <v>8</v>
      </c>
      <c r="AL524">
        <v>10</v>
      </c>
      <c r="AM524">
        <v>4</v>
      </c>
      <c r="AN524">
        <v>3</v>
      </c>
      <c r="AO524">
        <v>4</v>
      </c>
      <c r="AP524">
        <v>7</v>
      </c>
      <c r="AQ524">
        <v>9</v>
      </c>
      <c r="AR524">
        <v>16</v>
      </c>
      <c r="AS524">
        <v>46</v>
      </c>
      <c r="AT524">
        <v>54</v>
      </c>
      <c r="AU524">
        <v>0.97</v>
      </c>
      <c r="AV524">
        <v>1.27</v>
      </c>
      <c r="AW524">
        <v>2.72</v>
      </c>
      <c r="AX524">
        <v>50</v>
      </c>
      <c r="AY524">
        <v>84</v>
      </c>
      <c r="AZ524">
        <v>61</v>
      </c>
      <c r="BA524">
        <v>17</v>
      </c>
      <c r="BB524">
        <v>11</v>
      </c>
      <c r="BC524">
        <v>28</v>
      </c>
      <c r="BD524">
        <v>84</v>
      </c>
      <c r="BE524">
        <v>50</v>
      </c>
      <c r="BF524">
        <v>84</v>
      </c>
      <c r="BG524">
        <v>8.89</v>
      </c>
      <c r="BH524">
        <v>5.78</v>
      </c>
      <c r="BI524">
        <v>1.91</v>
      </c>
      <c r="BJ524">
        <v>3.55</v>
      </c>
      <c r="BK524">
        <v>3.8</v>
      </c>
      <c r="BL524">
        <f>(1/Table1[[#This Row],[odds_ft_home_team_win]]+1/Table1[[#This Row],[odds_ft_draw]]+1/Table1[[#This Row],[odds_ft_away_team_win]]-1)/3</f>
        <v>2.2802748335332062E-2</v>
      </c>
      <c r="BM524">
        <v>1.36</v>
      </c>
      <c r="BN524">
        <v>2</v>
      </c>
      <c r="BO524">
        <v>3.2</v>
      </c>
      <c r="BP524">
        <v>5.5</v>
      </c>
      <c r="BQ524">
        <v>1.91</v>
      </c>
      <c r="BR524">
        <v>1.83</v>
      </c>
      <c r="BS524" t="s">
        <v>76</v>
      </c>
      <c r="BT524">
        <f>VLOOKUP(Table1[[#This Row],[Reference]],metron,8,FALSE)</f>
        <v>1.8001937313313046</v>
      </c>
      <c r="BU524">
        <f>VLOOKUP(Table1[[#This Row],[Reference]],metron,9,FALSE)</f>
        <v>0.9268512077832276</v>
      </c>
      <c r="BV524">
        <f>VLOOKUP(Table1[[#This Row],[Reference]],metron,10,FALSE)</f>
        <v>2.5202079886551649</v>
      </c>
      <c r="BW524">
        <f>VLOOKUP(Table1[[#This Row],[Reference]],metron,11,FALSE)</f>
        <v>1.5342708579532029</v>
      </c>
      <c r="BX524">
        <f>VLOOKUP(Table1[[#This Row],[Reference]],metron,12,FALSE)</f>
        <v>0.98593713070196176</v>
      </c>
      <c r="BY524" s="6">
        <f>VLOOKUP(Table1[[#This Row],[Reference]],metron,13,FALSE)</f>
        <v>0.67513590167809023</v>
      </c>
      <c r="BZ524" s="6">
        <f>VLOOKUP(Table1[[#This Row],[Reference]],metron,14,FALSE)</f>
        <v>0.4286727337194185</v>
      </c>
      <c r="CA524" s="6">
        <f>VLOOKUP(Table1[[#This Row],[Reference]],metron,15,FALSE)</f>
        <v>12.98669114272602</v>
      </c>
      <c r="CB524" s="6">
        <f>VLOOKUP(Table1[[#This Row],[Reference]],metron,16,FALSE)</f>
        <v>9.4167049105094076</v>
      </c>
      <c r="CC524" s="6">
        <f>VLOOKUP(Table1[[#This Row],[Reference]],metron,17,FALSE)</f>
        <v>5.6645716945996272</v>
      </c>
      <c r="CD524" s="6">
        <f>VLOOKUP(Table1[[#This Row],[Reference]],metron,18,FALSE)</f>
        <v>4.0242085661080074</v>
      </c>
      <c r="CE524" s="6">
        <f>VLOOKUP(Table1[[#This Row],[Reference]],metron,19,FALSE)</f>
        <v>7.3221194481263927</v>
      </c>
      <c r="CF524" s="6">
        <f>VLOOKUP(Table1[[#This Row],[Reference]],metron,20,FALSE)</f>
        <v>5.3924963444014002</v>
      </c>
      <c r="CG524" s="6">
        <f>VLOOKUP(Table1[[#This Row],[Reference]],metron,21,FALSE)</f>
        <v>12.508162313432839</v>
      </c>
      <c r="CH524" s="6">
        <f>VLOOKUP(Table1[[#This Row],[Reference]],metron,22,FALSE)</f>
        <v>13.36963619402985</v>
      </c>
      <c r="CI524" s="6">
        <f>VLOOKUP(Table1[[#This Row],[Reference]],metron,23,FALSE)</f>
        <v>1.4438014689517029</v>
      </c>
      <c r="CJ524" s="6">
        <f>VLOOKUP(Table1[[#This Row],[Reference]],metron,24,FALSE)</f>
        <v>1.9410193634542621</v>
      </c>
      <c r="CK524" s="6">
        <f>VLOOKUP(Table1[[#This Row],[Reference]],metron,25,FALSE)</f>
        <v>8.4130870242599604E-2</v>
      </c>
      <c r="CL524" s="6">
        <f>VLOOKUP(Table1[[#This Row],[Reference]],metron,26,FALSE)</f>
        <v>0.1275317160026708</v>
      </c>
    </row>
    <row r="525" spans="1:90" x14ac:dyDescent="0.45">
      <c r="A525" t="s">
        <v>1256</v>
      </c>
      <c r="B525">
        <v>1610767800</v>
      </c>
      <c r="C525" s="23" t="s">
        <v>999</v>
      </c>
      <c r="D525" t="s">
        <v>65</v>
      </c>
      <c r="E525" t="s">
        <v>66</v>
      </c>
      <c r="F525" t="s">
        <v>78</v>
      </c>
      <c r="G525" t="s">
        <v>106</v>
      </c>
      <c r="H525" t="s">
        <v>92</v>
      </c>
      <c r="I525">
        <f>MROUND(Table1[[#This Row],[ProbH]]*100,2)/100</f>
        <v>0.38</v>
      </c>
      <c r="J525">
        <f>1/Table1[[#This Row],[odds_ft_home_team_win]]-Table1[[#This Row],[Margin]]</f>
        <v>0.3832199546485261</v>
      </c>
      <c r="K525">
        <f>1/Table1[[#This Row],[odds_ft_draw]]-Table1[[#This Row],[Margin]]</f>
        <v>0.27808699237270673</v>
      </c>
      <c r="L525">
        <f>1/Table1[[#This Row],[odds_ft_away_team_win]]-Table1[[#This Row],[Margin]]</f>
        <v>0.33869305297876734</v>
      </c>
      <c r="M525">
        <v>2</v>
      </c>
      <c r="N525">
        <v>1.44</v>
      </c>
      <c r="O525">
        <v>0.13</v>
      </c>
      <c r="P525">
        <v>1.41</v>
      </c>
      <c r="Q525">
        <v>0.47</v>
      </c>
      <c r="R525" t="str" cm="1">
        <f t="array" ref="R5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AA525">
        <v>8</v>
      </c>
      <c r="AB525">
        <v>2</v>
      </c>
      <c r="AC525">
        <v>1</v>
      </c>
      <c r="AD525">
        <v>0</v>
      </c>
      <c r="AE525">
        <v>4</v>
      </c>
      <c r="AF525">
        <v>0</v>
      </c>
      <c r="AG525">
        <v>0</v>
      </c>
      <c r="AH525">
        <v>1</v>
      </c>
      <c r="AI525">
        <v>2</v>
      </c>
      <c r="AJ525">
        <v>2</v>
      </c>
      <c r="AK525">
        <v>16</v>
      </c>
      <c r="AL525">
        <v>11</v>
      </c>
      <c r="AM525">
        <v>6</v>
      </c>
      <c r="AN525">
        <v>3</v>
      </c>
      <c r="AO525">
        <v>10</v>
      </c>
      <c r="AP525">
        <v>8</v>
      </c>
      <c r="AQ525">
        <v>14</v>
      </c>
      <c r="AR525">
        <v>20</v>
      </c>
      <c r="AS525">
        <v>48</v>
      </c>
      <c r="AT525">
        <v>52</v>
      </c>
      <c r="AU525">
        <v>1.73</v>
      </c>
      <c r="AV525">
        <v>1.1599999999999999</v>
      </c>
      <c r="AW525">
        <v>1.98</v>
      </c>
      <c r="AX525">
        <v>29</v>
      </c>
      <c r="AY525">
        <v>66</v>
      </c>
      <c r="AZ525">
        <v>25</v>
      </c>
      <c r="BA525">
        <v>13</v>
      </c>
      <c r="BB525">
        <v>0</v>
      </c>
      <c r="BC525">
        <v>13</v>
      </c>
      <c r="BD525">
        <v>72</v>
      </c>
      <c r="BE525">
        <v>36</v>
      </c>
      <c r="BF525">
        <v>65</v>
      </c>
      <c r="BG525">
        <v>8.35</v>
      </c>
      <c r="BH525">
        <v>5.0999999999999996</v>
      </c>
      <c r="BI525">
        <v>2.4500000000000002</v>
      </c>
      <c r="BJ525">
        <v>3.3</v>
      </c>
      <c r="BK525">
        <v>2.75</v>
      </c>
      <c r="BL525">
        <f>(1/Table1[[#This Row],[odds_ft_home_team_win]]+1/Table1[[#This Row],[odds_ft_draw]]+1/Table1[[#This Row],[odds_ft_away_team_win]]-1)/3</f>
        <v>2.4943310657596324E-2</v>
      </c>
      <c r="BM525">
        <v>1.38</v>
      </c>
      <c r="BN525">
        <v>2.0499999999999998</v>
      </c>
      <c r="BO525">
        <v>3.3</v>
      </c>
      <c r="BP525">
        <v>5.75</v>
      </c>
      <c r="BQ525">
        <v>1.87</v>
      </c>
      <c r="BR525">
        <v>1.91</v>
      </c>
      <c r="BS525" t="s">
        <v>82</v>
      </c>
      <c r="BT525">
        <f>VLOOKUP(Table1[[#This Row],[Reference]],metron,8,FALSE)</f>
        <v>1.464160929441638</v>
      </c>
      <c r="BU525">
        <f>VLOOKUP(Table1[[#This Row],[Reference]],metron,9,FALSE)</f>
        <v>1.2477119808919459</v>
      </c>
      <c r="BV525">
        <f>VLOOKUP(Table1[[#This Row],[Reference]],metron,10,FALSE)</f>
        <v>2.4900895140664963</v>
      </c>
      <c r="BW525">
        <f>VLOOKUP(Table1[[#This Row],[Reference]],metron,11,FALSE)</f>
        <v>1.330562659846547</v>
      </c>
      <c r="BX525">
        <f>VLOOKUP(Table1[[#This Row],[Reference]],metron,12,FALSE)</f>
        <v>1.1595268542199491</v>
      </c>
      <c r="BY525" s="6">
        <f>VLOOKUP(Table1[[#This Row],[Reference]],metron,13,FALSE)</f>
        <v>0.59053607588191415</v>
      </c>
      <c r="BZ525" s="6">
        <f>VLOOKUP(Table1[[#This Row],[Reference]],metron,14,FALSE)</f>
        <v>0.50069274219332838</v>
      </c>
      <c r="CA525" s="6">
        <f>VLOOKUP(Table1[[#This Row],[Reference]],metron,15,FALSE)</f>
        <v>11.79715236686391</v>
      </c>
      <c r="CB525" s="6">
        <f>VLOOKUP(Table1[[#This Row],[Reference]],metron,16,FALSE)</f>
        <v>10.317122781065089</v>
      </c>
      <c r="CC525" s="6">
        <f>VLOOKUP(Table1[[#This Row],[Reference]],metron,17,FALSE)</f>
        <v>5.0637025966747622</v>
      </c>
      <c r="CD525" s="6">
        <f>VLOOKUP(Table1[[#This Row],[Reference]],metron,18,FALSE)</f>
        <v>4.4674014571268454</v>
      </c>
      <c r="CE525" s="6">
        <f>VLOOKUP(Table1[[#This Row],[Reference]],metron,19,FALSE)</f>
        <v>6.7334497701891483</v>
      </c>
      <c r="CF525" s="6">
        <f>VLOOKUP(Table1[[#This Row],[Reference]],metron,20,FALSE)</f>
        <v>5.849721323938244</v>
      </c>
      <c r="CG525" s="6">
        <f>VLOOKUP(Table1[[#This Row],[Reference]],metron,21,FALSE)</f>
        <v>12.89644194756554</v>
      </c>
      <c r="CH525" s="6">
        <f>VLOOKUP(Table1[[#This Row],[Reference]],metron,22,FALSE)</f>
        <v>13.3434456928839</v>
      </c>
      <c r="CI525" s="6">
        <f>VLOOKUP(Table1[[#This Row],[Reference]],metron,23,FALSE)</f>
        <v>1.6144382124117971</v>
      </c>
      <c r="CJ525" s="6">
        <f>VLOOKUP(Table1[[#This Row],[Reference]],metron,24,FALSE)</f>
        <v>1.9032024606477289</v>
      </c>
      <c r="CK525" s="6">
        <f>VLOOKUP(Table1[[#This Row],[Reference]],metron,25,FALSE)</f>
        <v>9.372172969060974E-2</v>
      </c>
      <c r="CL525" s="6">
        <f>VLOOKUP(Table1[[#This Row],[Reference]],metron,26,FALSE)</f>
        <v>0.11669983716301791</v>
      </c>
    </row>
    <row r="526" spans="1:90" x14ac:dyDescent="0.45">
      <c r="A526" t="s">
        <v>1256</v>
      </c>
      <c r="B526">
        <v>1610838000</v>
      </c>
      <c r="C526" s="23" t="s">
        <v>1000</v>
      </c>
      <c r="D526" t="s">
        <v>65</v>
      </c>
      <c r="E526" t="s">
        <v>66</v>
      </c>
      <c r="F526" t="s">
        <v>90</v>
      </c>
      <c r="G526" t="s">
        <v>79</v>
      </c>
      <c r="H526" t="s">
        <v>158</v>
      </c>
      <c r="I526">
        <f>MROUND(Table1[[#This Row],[ProbH]]*100,2)/100</f>
        <v>0.5</v>
      </c>
      <c r="J526">
        <f>1/Table1[[#This Row],[odds_ft_home_team_win]]-Table1[[#This Row],[Margin]]</f>
        <v>0.50055529113120745</v>
      </c>
      <c r="K526">
        <f>1/Table1[[#This Row],[odds_ft_draw]]-Table1[[#This Row],[Margin]]</f>
        <v>0.26270936742140932</v>
      </c>
      <c r="L526">
        <f>1/Table1[[#This Row],[odds_ft_away_team_win]]-Table1[[#This Row],[Margin]]</f>
        <v>0.23673534144738337</v>
      </c>
      <c r="M526">
        <v>2</v>
      </c>
      <c r="N526">
        <v>1.83</v>
      </c>
      <c r="O526">
        <v>0.5</v>
      </c>
      <c r="P526">
        <v>1.6</v>
      </c>
      <c r="Q526">
        <v>0.55000000000000004</v>
      </c>
      <c r="R526" s="9" t="str" cm="1">
        <f t="array" ref="R5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26">
        <v>1</v>
      </c>
      <c r="T526">
        <v>1</v>
      </c>
      <c r="U526">
        <v>2</v>
      </c>
      <c r="V526">
        <v>2</v>
      </c>
      <c r="W526">
        <v>1</v>
      </c>
      <c r="X526">
        <v>1</v>
      </c>
      <c r="Y526">
        <v>23</v>
      </c>
      <c r="Z526">
        <v>25</v>
      </c>
      <c r="AA526">
        <v>5</v>
      </c>
      <c r="AB526">
        <v>2</v>
      </c>
      <c r="AC526">
        <v>1</v>
      </c>
      <c r="AD526">
        <v>0</v>
      </c>
      <c r="AE526">
        <v>3</v>
      </c>
      <c r="AF526">
        <v>0</v>
      </c>
      <c r="AG526">
        <v>0</v>
      </c>
      <c r="AH526">
        <v>1</v>
      </c>
      <c r="AI526">
        <v>0</v>
      </c>
      <c r="AJ526">
        <v>3</v>
      </c>
      <c r="AK526">
        <v>15</v>
      </c>
      <c r="AL526">
        <v>9</v>
      </c>
      <c r="AM526">
        <v>6</v>
      </c>
      <c r="AN526">
        <v>4</v>
      </c>
      <c r="AO526">
        <v>9</v>
      </c>
      <c r="AP526">
        <v>5</v>
      </c>
      <c r="AQ526">
        <v>15</v>
      </c>
      <c r="AR526">
        <v>19</v>
      </c>
      <c r="AS526">
        <v>60</v>
      </c>
      <c r="AT526">
        <v>40</v>
      </c>
      <c r="AU526">
        <v>1.71</v>
      </c>
      <c r="AV526">
        <v>1.04</v>
      </c>
      <c r="AW526">
        <v>2.5499999999999998</v>
      </c>
      <c r="AX526">
        <v>65</v>
      </c>
      <c r="AY526">
        <v>69</v>
      </c>
      <c r="AZ526">
        <v>52</v>
      </c>
      <c r="BA526">
        <v>29</v>
      </c>
      <c r="BB526">
        <v>19</v>
      </c>
      <c r="BC526">
        <v>49</v>
      </c>
      <c r="BD526">
        <v>65</v>
      </c>
      <c r="BE526">
        <v>33</v>
      </c>
      <c r="BF526">
        <v>73</v>
      </c>
      <c r="BG526">
        <v>9.4700000000000006</v>
      </c>
      <c r="BH526">
        <v>4.3</v>
      </c>
      <c r="BI526">
        <v>1.91</v>
      </c>
      <c r="BJ526">
        <v>3.5</v>
      </c>
      <c r="BK526">
        <v>3.85</v>
      </c>
      <c r="BL526">
        <f>(1/Table1[[#This Row],[odds_ft_home_team_win]]+1/Table1[[#This Row],[odds_ft_draw]]+1/Table1[[#This Row],[odds_ft_away_team_win]]-1)/3</f>
        <v>2.3004918292876358E-2</v>
      </c>
      <c r="BM526">
        <v>1.33</v>
      </c>
      <c r="BN526">
        <v>1.91</v>
      </c>
      <c r="BO526">
        <v>3</v>
      </c>
      <c r="BP526">
        <v>5.25</v>
      </c>
      <c r="BQ526">
        <v>1.8</v>
      </c>
      <c r="BR526">
        <v>1.95</v>
      </c>
      <c r="BS526" t="s">
        <v>94</v>
      </c>
      <c r="BT526">
        <f>VLOOKUP(Table1[[#This Row],[Reference]],metron,8,FALSE)</f>
        <v>1.8001937313313046</v>
      </c>
      <c r="BU526">
        <f>VLOOKUP(Table1[[#This Row],[Reference]],metron,9,FALSE)</f>
        <v>0.9268512077832276</v>
      </c>
      <c r="BV526">
        <f>VLOOKUP(Table1[[#This Row],[Reference]],metron,10,FALSE)</f>
        <v>2.5202079886551649</v>
      </c>
      <c r="BW526">
        <f>VLOOKUP(Table1[[#This Row],[Reference]],metron,11,FALSE)</f>
        <v>1.5342708579532029</v>
      </c>
      <c r="BX526">
        <f>VLOOKUP(Table1[[#This Row],[Reference]],metron,12,FALSE)</f>
        <v>0.98593713070196176</v>
      </c>
      <c r="BY526" s="6">
        <f>VLOOKUP(Table1[[#This Row],[Reference]],metron,13,FALSE)</f>
        <v>0.67513590167809023</v>
      </c>
      <c r="BZ526" s="6">
        <f>VLOOKUP(Table1[[#This Row],[Reference]],metron,14,FALSE)</f>
        <v>0.4286727337194185</v>
      </c>
      <c r="CA526" s="6">
        <f>VLOOKUP(Table1[[#This Row],[Reference]],metron,15,FALSE)</f>
        <v>12.98669114272602</v>
      </c>
      <c r="CB526" s="6">
        <f>VLOOKUP(Table1[[#This Row],[Reference]],metron,16,FALSE)</f>
        <v>9.4167049105094076</v>
      </c>
      <c r="CC526" s="6">
        <f>VLOOKUP(Table1[[#This Row],[Reference]],metron,17,FALSE)</f>
        <v>5.6645716945996272</v>
      </c>
      <c r="CD526" s="6">
        <f>VLOOKUP(Table1[[#This Row],[Reference]],metron,18,FALSE)</f>
        <v>4.0242085661080074</v>
      </c>
      <c r="CE526" s="6">
        <f>VLOOKUP(Table1[[#This Row],[Reference]],metron,19,FALSE)</f>
        <v>7.3221194481263927</v>
      </c>
      <c r="CF526" s="6">
        <f>VLOOKUP(Table1[[#This Row],[Reference]],metron,20,FALSE)</f>
        <v>5.3924963444014002</v>
      </c>
      <c r="CG526" s="6">
        <f>VLOOKUP(Table1[[#This Row],[Reference]],metron,21,FALSE)</f>
        <v>12.508162313432839</v>
      </c>
      <c r="CH526" s="6">
        <f>VLOOKUP(Table1[[#This Row],[Reference]],metron,22,FALSE)</f>
        <v>13.36963619402985</v>
      </c>
      <c r="CI526" s="6">
        <f>VLOOKUP(Table1[[#This Row],[Reference]],metron,23,FALSE)</f>
        <v>1.4438014689517029</v>
      </c>
      <c r="CJ526" s="6">
        <f>VLOOKUP(Table1[[#This Row],[Reference]],metron,24,FALSE)</f>
        <v>1.9410193634542621</v>
      </c>
      <c r="CK526" s="6">
        <f>VLOOKUP(Table1[[#This Row],[Reference]],metron,25,FALSE)</f>
        <v>8.4130870242599604E-2</v>
      </c>
      <c r="CL526" s="6">
        <f>VLOOKUP(Table1[[#This Row],[Reference]],metron,26,FALSE)</f>
        <v>0.1275317160026708</v>
      </c>
    </row>
    <row r="527" spans="1:90" x14ac:dyDescent="0.45">
      <c r="A527" t="s">
        <v>1256</v>
      </c>
      <c r="B527">
        <v>1610845200</v>
      </c>
      <c r="C527" s="23" t="s">
        <v>1001</v>
      </c>
      <c r="D527" t="s">
        <v>65</v>
      </c>
      <c r="E527" t="s">
        <v>66</v>
      </c>
      <c r="F527" t="s">
        <v>112</v>
      </c>
      <c r="G527" t="s">
        <v>102</v>
      </c>
      <c r="H527" t="s">
        <v>229</v>
      </c>
      <c r="I527">
        <f>MROUND(Table1[[#This Row],[ProbH]]*100,2)/100</f>
        <v>0.6</v>
      </c>
      <c r="J527">
        <f>1/Table1[[#This Row],[odds_ft_home_team_win]]-Table1[[#This Row],[Margin]]</f>
        <v>0.59478381700603922</v>
      </c>
      <c r="K527">
        <f>1/Table1[[#This Row],[odds_ft_draw]]-Table1[[#This Row],[Margin]]</f>
        <v>0.23724012612901502</v>
      </c>
      <c r="L527">
        <f>1/Table1[[#This Row],[odds_ft_away_team_win]]-Table1[[#This Row],[Margin]]</f>
        <v>0.16797605686494577</v>
      </c>
      <c r="M527">
        <v>2</v>
      </c>
      <c r="N527">
        <v>1.9</v>
      </c>
      <c r="O527">
        <v>1.18</v>
      </c>
      <c r="P527">
        <v>2.1800000000000002</v>
      </c>
      <c r="Q527">
        <v>1.33</v>
      </c>
      <c r="R527" t="str" cm="1">
        <f t="array" ref="R5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27">
        <v>0</v>
      </c>
      <c r="T527">
        <v>1</v>
      </c>
      <c r="U527">
        <v>1</v>
      </c>
      <c r="V527">
        <v>1</v>
      </c>
      <c r="W527">
        <v>0</v>
      </c>
      <c r="X527">
        <v>1</v>
      </c>
      <c r="Z527">
        <v>9</v>
      </c>
      <c r="AA527">
        <v>6</v>
      </c>
      <c r="AB527">
        <v>1</v>
      </c>
      <c r="AC527">
        <v>2</v>
      </c>
      <c r="AD527">
        <v>0</v>
      </c>
      <c r="AE527">
        <v>3</v>
      </c>
      <c r="AF527">
        <v>0</v>
      </c>
      <c r="AG527">
        <v>0</v>
      </c>
      <c r="AH527">
        <v>2</v>
      </c>
      <c r="AI527">
        <v>1</v>
      </c>
      <c r="AJ527">
        <v>2</v>
      </c>
      <c r="AK527">
        <v>10</v>
      </c>
      <c r="AL527">
        <v>8</v>
      </c>
      <c r="AM527">
        <v>0</v>
      </c>
      <c r="AN527">
        <v>3</v>
      </c>
      <c r="AO527">
        <v>10</v>
      </c>
      <c r="AP527">
        <v>5</v>
      </c>
      <c r="AQ527">
        <v>11</v>
      </c>
      <c r="AR527">
        <v>14</v>
      </c>
      <c r="AS527">
        <v>64</v>
      </c>
      <c r="AT527">
        <v>36</v>
      </c>
      <c r="AU527">
        <v>1.07</v>
      </c>
      <c r="AV527">
        <v>0.89</v>
      </c>
      <c r="AW527">
        <v>2.4300000000000002</v>
      </c>
      <c r="AX527">
        <v>33</v>
      </c>
      <c r="AY527">
        <v>63</v>
      </c>
      <c r="AZ527">
        <v>43</v>
      </c>
      <c r="BA527">
        <v>28</v>
      </c>
      <c r="BB527">
        <v>14</v>
      </c>
      <c r="BC527">
        <v>33</v>
      </c>
      <c r="BD527">
        <v>71</v>
      </c>
      <c r="BE527">
        <v>38</v>
      </c>
      <c r="BF527">
        <v>73</v>
      </c>
      <c r="BG527">
        <v>11</v>
      </c>
      <c r="BH527">
        <v>4.34</v>
      </c>
      <c r="BI527">
        <v>1.62</v>
      </c>
      <c r="BJ527">
        <v>3.85</v>
      </c>
      <c r="BK527">
        <v>5.25</v>
      </c>
      <c r="BL527">
        <f>(1/Table1[[#This Row],[odds_ft_home_team_win]]+1/Table1[[#This Row],[odds_ft_draw]]+1/Table1[[#This Row],[odds_ft_away_team_win]]-1)/3</f>
        <v>2.2500133611244699E-2</v>
      </c>
      <c r="BM527">
        <v>1.3</v>
      </c>
      <c r="BN527">
        <v>1.83</v>
      </c>
      <c r="BO527">
        <v>2.9</v>
      </c>
      <c r="BP527">
        <v>4.9000000000000004</v>
      </c>
      <c r="BQ527">
        <v>1.91</v>
      </c>
      <c r="BR527">
        <v>1.87</v>
      </c>
      <c r="BS527" t="s">
        <v>116</v>
      </c>
      <c r="BT527">
        <f>VLOOKUP(Table1[[#This Row],[Reference]],metron,8,FALSE)</f>
        <v>2.0749792289385525</v>
      </c>
      <c r="BU527">
        <f>VLOOKUP(Table1[[#This Row],[Reference]],metron,9,FALSE)</f>
        <v>0.68220664089703831</v>
      </c>
      <c r="BV527">
        <f>VLOOKUP(Table1[[#This Row],[Reference]],metron,10,FALSE)</f>
        <v>2.7310090702947849</v>
      </c>
      <c r="BW527">
        <f>VLOOKUP(Table1[[#This Row],[Reference]],metron,11,FALSE)</f>
        <v>1.841836734693878</v>
      </c>
      <c r="BX527">
        <f>VLOOKUP(Table1[[#This Row],[Reference]],metron,12,FALSE)</f>
        <v>0.88917233560090703</v>
      </c>
      <c r="BY527" s="6">
        <f>VLOOKUP(Table1[[#This Row],[Reference]],metron,13,FALSE)</f>
        <v>0.804822695035461</v>
      </c>
      <c r="BZ527" s="6">
        <f>VLOOKUP(Table1[[#This Row],[Reference]],metron,14,FALSE)</f>
        <v>0.38099290780141842</v>
      </c>
      <c r="CA527" s="6">
        <f>VLOOKUP(Table1[[#This Row],[Reference]],metron,15,FALSE)</f>
        <v>14.25174825174825</v>
      </c>
      <c r="CB527" s="6">
        <f>VLOOKUP(Table1[[#This Row],[Reference]],metron,16,FALSE)</f>
        <v>8.8316683316683324</v>
      </c>
      <c r="CC527" s="6">
        <f>VLOOKUP(Table1[[#This Row],[Reference]],metron,17,FALSE)</f>
        <v>6.2901265822784813</v>
      </c>
      <c r="CD527" s="6">
        <f>VLOOKUP(Table1[[#This Row],[Reference]],metron,18,FALSE)</f>
        <v>3.6162025316455702</v>
      </c>
      <c r="CE527" s="6">
        <f>VLOOKUP(Table1[[#This Row],[Reference]],metron,19,FALSE)</f>
        <v>7.9616216694697686</v>
      </c>
      <c r="CF527" s="6">
        <f>VLOOKUP(Table1[[#This Row],[Reference]],metron,20,FALSE)</f>
        <v>5.2154658000227627</v>
      </c>
      <c r="CG527" s="6">
        <f>VLOOKUP(Table1[[#This Row],[Reference]],metron,21,FALSE)</f>
        <v>12.444895886236671</v>
      </c>
      <c r="CH527" s="6">
        <f>VLOOKUP(Table1[[#This Row],[Reference]],metron,22,FALSE)</f>
        <v>13.620619603859829</v>
      </c>
      <c r="CI527" s="6">
        <f>VLOOKUP(Table1[[#This Row],[Reference]],metron,23,FALSE)</f>
        <v>1.406084017382907</v>
      </c>
      <c r="CJ527" s="6">
        <f>VLOOKUP(Table1[[#This Row],[Reference]],metron,24,FALSE)</f>
        <v>2.070980202800579</v>
      </c>
      <c r="CK527" s="6">
        <f>VLOOKUP(Table1[[#This Row],[Reference]],metron,25,FALSE)</f>
        <v>6.1323032351521013E-2</v>
      </c>
      <c r="CL527" s="6">
        <f>VLOOKUP(Table1[[#This Row],[Reference]],metron,26,FALSE)</f>
        <v>0.1313375181071946</v>
      </c>
    </row>
    <row r="528" spans="1:90" x14ac:dyDescent="0.45">
      <c r="A528" t="s">
        <v>1256</v>
      </c>
      <c r="B528">
        <v>1610852760</v>
      </c>
      <c r="C528" s="23" t="s">
        <v>1002</v>
      </c>
      <c r="D528" t="s">
        <v>65</v>
      </c>
      <c r="E528" t="s">
        <v>66</v>
      </c>
      <c r="F528" t="s">
        <v>101</v>
      </c>
      <c r="G528" t="s">
        <v>68</v>
      </c>
      <c r="H528" t="s">
        <v>74</v>
      </c>
      <c r="I528">
        <f>MROUND(Table1[[#This Row],[ProbH]]*100,2)/100</f>
        <v>0.56000000000000005</v>
      </c>
      <c r="J528">
        <f>1/Table1[[#This Row],[odds_ft_home_team_win]]-Table1[[#This Row],[Margin]]</f>
        <v>0.56987679730154639</v>
      </c>
      <c r="K528">
        <f>1/Table1[[#This Row],[odds_ft_draw]]-Table1[[#This Row],[Margin]]</f>
        <v>0.23457107738044189</v>
      </c>
      <c r="L528">
        <f>1/Table1[[#This Row],[odds_ft_away_team_win]]-Table1[[#This Row],[Margin]]</f>
        <v>0.19555212531801155</v>
      </c>
      <c r="M528">
        <v>2</v>
      </c>
      <c r="N528">
        <v>1.78</v>
      </c>
      <c r="O528">
        <v>1.33</v>
      </c>
      <c r="P528">
        <v>1.79</v>
      </c>
      <c r="Q528">
        <v>1.63</v>
      </c>
      <c r="R528" t="str" cm="1">
        <f t="array" ref="R5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35</v>
      </c>
      <c r="AA528">
        <v>2</v>
      </c>
      <c r="AB528">
        <v>5</v>
      </c>
      <c r="AC528">
        <v>1</v>
      </c>
      <c r="AD528">
        <v>0</v>
      </c>
      <c r="AE528">
        <v>2</v>
      </c>
      <c r="AF528">
        <v>1</v>
      </c>
      <c r="AG528">
        <v>0</v>
      </c>
      <c r="AH528">
        <v>1</v>
      </c>
      <c r="AI528">
        <v>1</v>
      </c>
      <c r="AJ528">
        <v>2</v>
      </c>
      <c r="AK528">
        <v>9</v>
      </c>
      <c r="AL528">
        <v>6</v>
      </c>
      <c r="AM528">
        <v>3</v>
      </c>
      <c r="AN528">
        <v>2</v>
      </c>
      <c r="AO528">
        <v>6</v>
      </c>
      <c r="AP528">
        <v>4</v>
      </c>
      <c r="AQ528">
        <v>9</v>
      </c>
      <c r="AR528">
        <v>9</v>
      </c>
      <c r="AS528">
        <v>47</v>
      </c>
      <c r="AT528">
        <v>53</v>
      </c>
      <c r="AU528">
        <v>1.1499999999999999</v>
      </c>
      <c r="AV528">
        <v>0.8</v>
      </c>
      <c r="AW528">
        <v>2.89</v>
      </c>
      <c r="AX528">
        <v>78</v>
      </c>
      <c r="AY528">
        <v>84</v>
      </c>
      <c r="AZ528">
        <v>56</v>
      </c>
      <c r="BA528">
        <v>39</v>
      </c>
      <c r="BB528">
        <v>17</v>
      </c>
      <c r="BC528">
        <v>33</v>
      </c>
      <c r="BD528">
        <v>67</v>
      </c>
      <c r="BE528">
        <v>56</v>
      </c>
      <c r="BF528">
        <v>95</v>
      </c>
      <c r="BG528">
        <v>12.11</v>
      </c>
      <c r="BH528">
        <v>3.89</v>
      </c>
      <c r="BI528">
        <v>1.69</v>
      </c>
      <c r="BJ528">
        <v>3.9</v>
      </c>
      <c r="BK528">
        <v>4.5999999999999996</v>
      </c>
      <c r="BL528">
        <f>(1/Table1[[#This Row],[odds_ft_home_team_win]]+1/Table1[[#This Row],[odds_ft_draw]]+1/Table1[[#This Row],[odds_ft_away_team_win]]-1)/3</f>
        <v>2.1839179029814543E-2</v>
      </c>
      <c r="BM528">
        <v>1.25</v>
      </c>
      <c r="BN528">
        <v>1.69</v>
      </c>
      <c r="BO528">
        <v>2.5</v>
      </c>
      <c r="BP528">
        <v>4.0999999999999996</v>
      </c>
      <c r="BQ528">
        <v>1.69</v>
      </c>
      <c r="BR528">
        <v>2.1</v>
      </c>
      <c r="BS528" t="s">
        <v>713</v>
      </c>
      <c r="BT528">
        <f>VLOOKUP(Table1[[#This Row],[Reference]],metron,8,FALSE)</f>
        <v>1.9673156855724254</v>
      </c>
      <c r="BU528">
        <f>VLOOKUP(Table1[[#This Row],[Reference]],metron,9,FALSE)</f>
        <v>0.77729484582409181</v>
      </c>
      <c r="BV528">
        <f>VLOOKUP(Table1[[#This Row],[Reference]],metron,10,FALSE)</f>
        <v>2.6892488954344627</v>
      </c>
      <c r="BW528">
        <f>VLOOKUP(Table1[[#This Row],[Reference]],metron,11,FALSE)</f>
        <v>1.7546812539448771</v>
      </c>
      <c r="BX528">
        <f>VLOOKUP(Table1[[#This Row],[Reference]],metron,12,FALSE)</f>
        <v>0.93456764148958549</v>
      </c>
      <c r="BY528" s="6">
        <f>VLOOKUP(Table1[[#This Row],[Reference]],metron,13,FALSE)</f>
        <v>0.77824531874605507</v>
      </c>
      <c r="BZ528" s="6">
        <f>VLOOKUP(Table1[[#This Row],[Reference]],metron,14,FALSE)</f>
        <v>0.41237113402061848</v>
      </c>
      <c r="CA528" s="6">
        <f>VLOOKUP(Table1[[#This Row],[Reference]],metron,15,FALSE)</f>
        <v>13.77153558052435</v>
      </c>
      <c r="CB528" s="6">
        <f>VLOOKUP(Table1[[#This Row],[Reference]],metron,16,FALSE)</f>
        <v>9.0445692883895124</v>
      </c>
      <c r="CC528" s="6">
        <f>VLOOKUP(Table1[[#This Row],[Reference]],metron,17,FALSE)</f>
        <v>6.0821292775665396</v>
      </c>
      <c r="CD528" s="6">
        <f>VLOOKUP(Table1[[#This Row],[Reference]],metron,18,FALSE)</f>
        <v>3.8201520912547529</v>
      </c>
      <c r="CE528" s="6">
        <f>VLOOKUP(Table1[[#This Row],[Reference]],metron,19,FALSE)</f>
        <v>7.6894063029578108</v>
      </c>
      <c r="CF528" s="6">
        <f>VLOOKUP(Table1[[#This Row],[Reference]],metron,20,FALSE)</f>
        <v>5.224417197134759</v>
      </c>
      <c r="CG528" s="6">
        <f>VLOOKUP(Table1[[#This Row],[Reference]],metron,21,FALSE)</f>
        <v>12.297605473204101</v>
      </c>
      <c r="CH528" s="6">
        <f>VLOOKUP(Table1[[#This Row],[Reference]],metron,22,FALSE)</f>
        <v>13.310908399847969</v>
      </c>
      <c r="CI528" s="6">
        <f>VLOOKUP(Table1[[#This Row],[Reference]],metron,23,FALSE)</f>
        <v>1.3713126843657819</v>
      </c>
      <c r="CJ528" s="6">
        <f>VLOOKUP(Table1[[#This Row],[Reference]],metron,24,FALSE)</f>
        <v>1.9516961651917399</v>
      </c>
      <c r="CK528" s="6">
        <f>VLOOKUP(Table1[[#This Row],[Reference]],metron,25,FALSE)</f>
        <v>6.6002949852507375E-2</v>
      </c>
      <c r="CL528" s="6">
        <f>VLOOKUP(Table1[[#This Row],[Reference]],metron,26,FALSE)</f>
        <v>0.1297935103244838</v>
      </c>
    </row>
    <row r="529" spans="1:90" x14ac:dyDescent="0.45">
      <c r="A529" t="s">
        <v>1256</v>
      </c>
      <c r="B529">
        <v>1610906400</v>
      </c>
      <c r="C529" s="23" t="s">
        <v>1003</v>
      </c>
      <c r="D529" t="s">
        <v>65</v>
      </c>
      <c r="E529" t="s">
        <v>66</v>
      </c>
      <c r="F529" t="s">
        <v>96</v>
      </c>
      <c r="G529" t="s">
        <v>113</v>
      </c>
      <c r="H529" t="s">
        <v>98</v>
      </c>
      <c r="I529">
        <f>MROUND(Table1[[#This Row],[ProbH]]*100,2)/100</f>
        <v>0.46</v>
      </c>
      <c r="J529">
        <f>1/Table1[[#This Row],[odds_ft_home_team_win]]-Table1[[#This Row],[Margin]]</f>
        <v>0.45038588328180967</v>
      </c>
      <c r="K529">
        <f>1/Table1[[#This Row],[odds_ft_draw]]-Table1[[#This Row],[Margin]]</f>
        <v>0.26546957503317259</v>
      </c>
      <c r="L529">
        <f>1/Table1[[#This Row],[odds_ft_away_team_win]]-Table1[[#This Row],[Margin]]</f>
        <v>0.28414454168501785</v>
      </c>
      <c r="M529">
        <v>2</v>
      </c>
      <c r="N529">
        <v>2</v>
      </c>
      <c r="O529">
        <v>0.56000000000000005</v>
      </c>
      <c r="P529">
        <v>1.65</v>
      </c>
      <c r="Q529">
        <v>0.65</v>
      </c>
      <c r="R529" t="str" cm="1">
        <f t="array" ref="R5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9">
        <v>3</v>
      </c>
      <c r="T529">
        <v>0</v>
      </c>
      <c r="U529">
        <v>3</v>
      </c>
      <c r="V529">
        <v>1</v>
      </c>
      <c r="W529">
        <v>1</v>
      </c>
      <c r="X529">
        <v>0</v>
      </c>
      <c r="Y529" t="s">
        <v>1004</v>
      </c>
      <c r="AA529">
        <v>9</v>
      </c>
      <c r="AB529">
        <v>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10</v>
      </c>
      <c r="AL529">
        <v>7</v>
      </c>
      <c r="AM529">
        <v>4</v>
      </c>
      <c r="AN529">
        <v>3</v>
      </c>
      <c r="AO529">
        <v>6</v>
      </c>
      <c r="AP529">
        <v>4</v>
      </c>
      <c r="AQ529">
        <v>15</v>
      </c>
      <c r="AR529">
        <v>9</v>
      </c>
      <c r="AS529">
        <v>47</v>
      </c>
      <c r="AT529">
        <v>53</v>
      </c>
      <c r="AU529">
        <v>1.26</v>
      </c>
      <c r="AV529">
        <v>1</v>
      </c>
      <c r="AW529">
        <v>3.1</v>
      </c>
      <c r="AX529">
        <v>63</v>
      </c>
      <c r="AY529">
        <v>86</v>
      </c>
      <c r="AZ529">
        <v>59</v>
      </c>
      <c r="BA529">
        <v>39</v>
      </c>
      <c r="BB529">
        <v>20</v>
      </c>
      <c r="BC529">
        <v>29</v>
      </c>
      <c r="BD529">
        <v>56</v>
      </c>
      <c r="BE529">
        <v>59</v>
      </c>
      <c r="BF529">
        <v>80</v>
      </c>
      <c r="BG529">
        <v>9.2200000000000006</v>
      </c>
      <c r="BH529">
        <v>5.0199999999999996</v>
      </c>
      <c r="BI529">
        <v>2.11</v>
      </c>
      <c r="BJ529">
        <v>3.46</v>
      </c>
      <c r="BK529">
        <v>3.25</v>
      </c>
      <c r="BL529">
        <f>(1/Table1[[#This Row],[odds_ft_home_team_win]]+1/Table1[[#This Row],[odds_ft_draw]]+1/Table1[[#This Row],[odds_ft_away_team_win]]-1)/3</f>
        <v>2.3547766007289878E-2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 t="s">
        <v>99</v>
      </c>
      <c r="BT529">
        <f>VLOOKUP(Table1[[#This Row],[Reference]],metron,8,FALSE)</f>
        <v>1.6955772349985931</v>
      </c>
      <c r="BU529">
        <f>VLOOKUP(Table1[[#This Row],[Reference]],metron,9,FALSE)</f>
        <v>1.0239029519551039</v>
      </c>
      <c r="BV529">
        <f>VLOOKUP(Table1[[#This Row],[Reference]],metron,10,FALSE)</f>
        <v>2.5405629139072849</v>
      </c>
      <c r="BW529">
        <f>VLOOKUP(Table1[[#This Row],[Reference]],metron,11,FALSE)</f>
        <v>1.4888836329233679</v>
      </c>
      <c r="BX529">
        <f>VLOOKUP(Table1[[#This Row],[Reference]],metron,12,FALSE)</f>
        <v>1.0516792809839171</v>
      </c>
      <c r="BY529" s="6">
        <f>VLOOKUP(Table1[[#This Row],[Reference]],metron,13,FALSE)</f>
        <v>0.64581362346263005</v>
      </c>
      <c r="BZ529" s="6">
        <f>VLOOKUP(Table1[[#This Row],[Reference]],metron,14,FALSE)</f>
        <v>0.45364238410596031</v>
      </c>
      <c r="CA529" s="6">
        <f>VLOOKUP(Table1[[#This Row],[Reference]],metron,15,FALSE)</f>
        <v>12.686892177589851</v>
      </c>
      <c r="CB529" s="6">
        <f>VLOOKUP(Table1[[#This Row],[Reference]],metron,16,FALSE)</f>
        <v>9.8059196617336148</v>
      </c>
      <c r="CC529" s="6">
        <f>VLOOKUP(Table1[[#This Row],[Reference]],metron,17,FALSE)</f>
        <v>5.3198121263877027</v>
      </c>
      <c r="CD529" s="6">
        <f>VLOOKUP(Table1[[#This Row],[Reference]],metron,18,FALSE)</f>
        <v>4.0954312553373189</v>
      </c>
      <c r="CE529" s="6">
        <f>VLOOKUP(Table1[[#This Row],[Reference]],metron,19,FALSE)</f>
        <v>7.3670800512021479</v>
      </c>
      <c r="CF529" s="6">
        <f>VLOOKUP(Table1[[#This Row],[Reference]],metron,20,FALSE)</f>
        <v>5.710488406396296</v>
      </c>
      <c r="CG529" s="6">
        <f>VLOOKUP(Table1[[#This Row],[Reference]],metron,21,FALSE)</f>
        <v>13.0488908033599</v>
      </c>
      <c r="CH529" s="6">
        <f>VLOOKUP(Table1[[#This Row],[Reference]],metron,22,FALSE)</f>
        <v>13.714839543398661</v>
      </c>
      <c r="CI529" s="6">
        <f>VLOOKUP(Table1[[#This Row],[Reference]],metron,23,FALSE)</f>
        <v>1.567523459812322</v>
      </c>
      <c r="CJ529" s="6">
        <f>VLOOKUP(Table1[[#This Row],[Reference]],metron,24,FALSE)</f>
        <v>1.951040391676867</v>
      </c>
      <c r="CK529" s="6">
        <f>VLOOKUP(Table1[[#This Row],[Reference]],metron,25,FALSE)</f>
        <v>8.3027335781313744E-2</v>
      </c>
      <c r="CL529" s="6">
        <f>VLOOKUP(Table1[[#This Row],[Reference]],metron,26,FALSE)</f>
        <v>0.13117095063239501</v>
      </c>
    </row>
    <row r="530" spans="1:90" x14ac:dyDescent="0.45">
      <c r="A530" t="s">
        <v>1256</v>
      </c>
      <c r="B530">
        <v>1610931960</v>
      </c>
      <c r="C530" s="23" t="s">
        <v>1005</v>
      </c>
      <c r="D530" t="s">
        <v>65</v>
      </c>
      <c r="E530" t="s">
        <v>66</v>
      </c>
      <c r="F530" t="s">
        <v>73</v>
      </c>
      <c r="G530" t="s">
        <v>107</v>
      </c>
      <c r="H530" t="s">
        <v>122</v>
      </c>
      <c r="I530">
        <f>MROUND(Table1[[#This Row],[ProbH]]*100,2)/100</f>
        <v>0.38</v>
      </c>
      <c r="J530">
        <f>1/Table1[[#This Row],[odds_ft_home_team_win]]-Table1[[#This Row],[Margin]]</f>
        <v>0.37838827838827843</v>
      </c>
      <c r="K530">
        <f>1/Table1[[#This Row],[odds_ft_draw]]-Table1[[#This Row],[Margin]]</f>
        <v>0.28608058608058612</v>
      </c>
      <c r="L530">
        <f>1/Table1[[#This Row],[odds_ft_away_team_win]]-Table1[[#This Row],[Margin]]</f>
        <v>0.33553113553113556</v>
      </c>
      <c r="M530">
        <v>2</v>
      </c>
      <c r="N530">
        <v>2</v>
      </c>
      <c r="O530">
        <v>1.67</v>
      </c>
      <c r="P530">
        <v>2.09</v>
      </c>
      <c r="Q530">
        <v>1.47</v>
      </c>
      <c r="R530" t="str" cm="1">
        <f t="array" ref="R5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0">
        <v>2</v>
      </c>
      <c r="T530">
        <v>0</v>
      </c>
      <c r="U530">
        <v>2</v>
      </c>
      <c r="V530">
        <v>0</v>
      </c>
      <c r="W530">
        <v>0</v>
      </c>
      <c r="X530">
        <v>0</v>
      </c>
      <c r="Y530" t="s">
        <v>1006</v>
      </c>
      <c r="AA530">
        <v>3</v>
      </c>
      <c r="AB530">
        <v>4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19</v>
      </c>
      <c r="AL530">
        <v>14</v>
      </c>
      <c r="AM530">
        <v>7</v>
      </c>
      <c r="AN530">
        <v>5</v>
      </c>
      <c r="AO530">
        <v>12</v>
      </c>
      <c r="AP530">
        <v>9</v>
      </c>
      <c r="AQ530">
        <v>7</v>
      </c>
      <c r="AR530">
        <v>11</v>
      </c>
      <c r="AS530">
        <v>40</v>
      </c>
      <c r="AT530">
        <v>60</v>
      </c>
      <c r="AU530">
        <v>1.92</v>
      </c>
      <c r="AV530">
        <v>1.6</v>
      </c>
      <c r="AW530">
        <v>2.3199999999999998</v>
      </c>
      <c r="AX530">
        <v>42</v>
      </c>
      <c r="AY530">
        <v>79</v>
      </c>
      <c r="AZ530">
        <v>42</v>
      </c>
      <c r="BA530">
        <v>16</v>
      </c>
      <c r="BB530">
        <v>6</v>
      </c>
      <c r="BC530">
        <v>31</v>
      </c>
      <c r="BD530">
        <v>63</v>
      </c>
      <c r="BE530">
        <v>37</v>
      </c>
      <c r="BF530">
        <v>80</v>
      </c>
      <c r="BG530">
        <v>12.52</v>
      </c>
      <c r="BH530">
        <v>3.62</v>
      </c>
      <c r="BI530">
        <v>2.5</v>
      </c>
      <c r="BJ530">
        <v>3.25</v>
      </c>
      <c r="BK530">
        <v>2.8</v>
      </c>
      <c r="BL530">
        <f>(1/Table1[[#This Row],[odds_ft_home_team_win]]+1/Table1[[#This Row],[odds_ft_draw]]+1/Table1[[#This Row],[odds_ft_away_team_win]]-1)/3</f>
        <v>2.1611721611721608E-2</v>
      </c>
      <c r="BM530">
        <v>1.38</v>
      </c>
      <c r="BN530">
        <v>2</v>
      </c>
      <c r="BO530">
        <v>3.2</v>
      </c>
      <c r="BP530">
        <v>5.5</v>
      </c>
      <c r="BQ530">
        <v>1.8</v>
      </c>
      <c r="BR530">
        <v>1.95</v>
      </c>
      <c r="BS530" t="s">
        <v>142</v>
      </c>
      <c r="BT530">
        <f>VLOOKUP(Table1[[#This Row],[Reference]],metron,8,FALSE)</f>
        <v>1.464160929441638</v>
      </c>
      <c r="BU530">
        <f>VLOOKUP(Table1[[#This Row],[Reference]],metron,9,FALSE)</f>
        <v>1.2477119808919459</v>
      </c>
      <c r="BV530">
        <f>VLOOKUP(Table1[[#This Row],[Reference]],metron,10,FALSE)</f>
        <v>2.4900895140664963</v>
      </c>
      <c r="BW530">
        <f>VLOOKUP(Table1[[#This Row],[Reference]],metron,11,FALSE)</f>
        <v>1.330562659846547</v>
      </c>
      <c r="BX530">
        <f>VLOOKUP(Table1[[#This Row],[Reference]],metron,12,FALSE)</f>
        <v>1.1595268542199491</v>
      </c>
      <c r="BY530" s="6">
        <f>VLOOKUP(Table1[[#This Row],[Reference]],metron,13,FALSE)</f>
        <v>0.59053607588191415</v>
      </c>
      <c r="BZ530" s="6">
        <f>VLOOKUP(Table1[[#This Row],[Reference]],metron,14,FALSE)</f>
        <v>0.50069274219332838</v>
      </c>
      <c r="CA530" s="6">
        <f>VLOOKUP(Table1[[#This Row],[Reference]],metron,15,FALSE)</f>
        <v>11.79715236686391</v>
      </c>
      <c r="CB530" s="6">
        <f>VLOOKUP(Table1[[#This Row],[Reference]],metron,16,FALSE)</f>
        <v>10.317122781065089</v>
      </c>
      <c r="CC530" s="6">
        <f>VLOOKUP(Table1[[#This Row],[Reference]],metron,17,FALSE)</f>
        <v>5.0637025966747622</v>
      </c>
      <c r="CD530" s="6">
        <f>VLOOKUP(Table1[[#This Row],[Reference]],metron,18,FALSE)</f>
        <v>4.4674014571268454</v>
      </c>
      <c r="CE530" s="6">
        <f>VLOOKUP(Table1[[#This Row],[Reference]],metron,19,FALSE)</f>
        <v>6.7334497701891483</v>
      </c>
      <c r="CF530" s="6">
        <f>VLOOKUP(Table1[[#This Row],[Reference]],metron,20,FALSE)</f>
        <v>5.849721323938244</v>
      </c>
      <c r="CG530" s="6">
        <f>VLOOKUP(Table1[[#This Row],[Reference]],metron,21,FALSE)</f>
        <v>12.89644194756554</v>
      </c>
      <c r="CH530" s="6">
        <f>VLOOKUP(Table1[[#This Row],[Reference]],metron,22,FALSE)</f>
        <v>13.3434456928839</v>
      </c>
      <c r="CI530" s="6">
        <f>VLOOKUP(Table1[[#This Row],[Reference]],metron,23,FALSE)</f>
        <v>1.6144382124117971</v>
      </c>
      <c r="CJ530" s="6">
        <f>VLOOKUP(Table1[[#This Row],[Reference]],metron,24,FALSE)</f>
        <v>1.9032024606477289</v>
      </c>
      <c r="CK530" s="6">
        <f>VLOOKUP(Table1[[#This Row],[Reference]],metron,25,FALSE)</f>
        <v>9.372172969060974E-2</v>
      </c>
      <c r="CL530" s="6">
        <f>VLOOKUP(Table1[[#This Row],[Reference]],metron,26,FALSE)</f>
        <v>0.11669983716301791</v>
      </c>
    </row>
    <row r="531" spans="1:90" x14ac:dyDescent="0.45">
      <c r="A531" t="s">
        <v>1256</v>
      </c>
      <c r="B531">
        <v>1610939160</v>
      </c>
      <c r="C531" s="23" t="s">
        <v>1007</v>
      </c>
      <c r="D531" t="s">
        <v>65</v>
      </c>
      <c r="E531" t="s">
        <v>66</v>
      </c>
      <c r="F531" t="s">
        <v>67</v>
      </c>
      <c r="G531" t="s">
        <v>97</v>
      </c>
      <c r="H531" t="s">
        <v>69</v>
      </c>
      <c r="I531">
        <f>MROUND(Table1[[#This Row],[ProbH]]*100,2)/100</f>
        <v>0.4</v>
      </c>
      <c r="J531">
        <f>1/Table1[[#This Row],[odds_ft_home_team_win]]-Table1[[#This Row],[Margin]]</f>
        <v>0.39044677582769555</v>
      </c>
      <c r="K531">
        <f>1/Table1[[#This Row],[odds_ft_draw]]-Table1[[#This Row],[Margin]]</f>
        <v>0.28749550609536884</v>
      </c>
      <c r="L531">
        <f>1/Table1[[#This Row],[odds_ft_away_team_win]]-Table1[[#This Row],[Margin]]</f>
        <v>0.32205771807693567</v>
      </c>
      <c r="M531">
        <v>2</v>
      </c>
      <c r="N531">
        <v>1.38</v>
      </c>
      <c r="O531">
        <v>0.78</v>
      </c>
      <c r="P531">
        <v>1.82</v>
      </c>
      <c r="Q531">
        <v>1.06</v>
      </c>
      <c r="R531" t="str" cm="1">
        <f t="array" ref="R5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87</v>
      </c>
      <c r="AA531">
        <v>6</v>
      </c>
      <c r="AB531">
        <v>6</v>
      </c>
      <c r="AC531">
        <v>2</v>
      </c>
      <c r="AD531">
        <v>0</v>
      </c>
      <c r="AE531">
        <v>2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7</v>
      </c>
      <c r="AL531">
        <v>10</v>
      </c>
      <c r="AM531">
        <v>5</v>
      </c>
      <c r="AN531">
        <v>2</v>
      </c>
      <c r="AO531">
        <v>2</v>
      </c>
      <c r="AP531">
        <v>8</v>
      </c>
      <c r="AQ531">
        <v>13</v>
      </c>
      <c r="AR531">
        <v>10</v>
      </c>
      <c r="AS531">
        <v>48</v>
      </c>
      <c r="AT531">
        <v>52</v>
      </c>
      <c r="AU531">
        <v>0</v>
      </c>
      <c r="AV531">
        <v>0</v>
      </c>
      <c r="AW531">
        <v>2.74</v>
      </c>
      <c r="AX531">
        <v>71</v>
      </c>
      <c r="AY531">
        <v>71</v>
      </c>
      <c r="AZ531">
        <v>48</v>
      </c>
      <c r="BA531">
        <v>36</v>
      </c>
      <c r="BB531">
        <v>25</v>
      </c>
      <c r="BC531">
        <v>29</v>
      </c>
      <c r="BD531">
        <v>71</v>
      </c>
      <c r="BE531">
        <v>54</v>
      </c>
      <c r="BF531">
        <v>66</v>
      </c>
      <c r="BG531">
        <v>8.7100000000000009</v>
      </c>
      <c r="BH531">
        <v>4.53</v>
      </c>
      <c r="BI531">
        <v>2.35</v>
      </c>
      <c r="BJ531">
        <v>3.1</v>
      </c>
      <c r="BK531">
        <v>2.8</v>
      </c>
      <c r="BL531">
        <f>(1/Table1[[#This Row],[odds_ft_home_team_win]]+1/Table1[[#This Row],[odds_ft_draw]]+1/Table1[[#This Row],[odds_ft_away_team_win]]-1)/3</f>
        <v>3.5085139065921478E-2</v>
      </c>
      <c r="BM531">
        <v>1.3</v>
      </c>
      <c r="BN531">
        <v>2.0499999999999998</v>
      </c>
      <c r="BO531">
        <v>3.5</v>
      </c>
      <c r="BP531">
        <v>7</v>
      </c>
      <c r="BQ531">
        <v>1.8</v>
      </c>
      <c r="BR531">
        <v>1.95</v>
      </c>
      <c r="BS531" t="s">
        <v>70</v>
      </c>
      <c r="BT531">
        <f>VLOOKUP(Table1[[#This Row],[Reference]],metron,8,FALSE)</f>
        <v>1.5181603563290151</v>
      </c>
      <c r="BU531">
        <f>VLOOKUP(Table1[[#This Row],[Reference]],metron,9,FALSE)</f>
        <v>1.1952730370775513</v>
      </c>
      <c r="BV531">
        <f>VLOOKUP(Table1[[#This Row],[Reference]],metron,10,FALSE)</f>
        <v>2.4956155335383219</v>
      </c>
      <c r="BW531">
        <f>VLOOKUP(Table1[[#This Row],[Reference]],metron,11,FALSE)</f>
        <v>1.344038264434575</v>
      </c>
      <c r="BX531">
        <f>VLOOKUP(Table1[[#This Row],[Reference]],metron,12,FALSE)</f>
        <v>1.1515772691037469</v>
      </c>
      <c r="BY531" s="6">
        <f>VLOOKUP(Table1[[#This Row],[Reference]],metron,13,FALSE)</f>
        <v>0.59936225942375587</v>
      </c>
      <c r="BZ531" s="6">
        <f>VLOOKUP(Table1[[#This Row],[Reference]],metron,14,FALSE)</f>
        <v>0.50723152260562576</v>
      </c>
      <c r="CA531" s="6">
        <f>VLOOKUP(Table1[[#This Row],[Reference]],metron,15,FALSE)</f>
        <v>11.99278846153846</v>
      </c>
      <c r="CB531" s="6">
        <f>VLOOKUP(Table1[[#This Row],[Reference]],metron,16,FALSE)</f>
        <v>10.0277534965035</v>
      </c>
      <c r="CC531" s="6">
        <f>VLOOKUP(Table1[[#This Row],[Reference]],metron,17,FALSE)</f>
        <v>5.2857459543338514</v>
      </c>
      <c r="CD531" s="6">
        <f>VLOOKUP(Table1[[#This Row],[Reference]],metron,18,FALSE)</f>
        <v>4.4067834183107957</v>
      </c>
      <c r="CE531" s="6">
        <f>VLOOKUP(Table1[[#This Row],[Reference]],metron,19,FALSE)</f>
        <v>6.7070425072046085</v>
      </c>
      <c r="CF531" s="6">
        <f>VLOOKUP(Table1[[#This Row],[Reference]],metron,20,FALSE)</f>
        <v>5.6209700781927046</v>
      </c>
      <c r="CG531" s="6">
        <f>VLOOKUP(Table1[[#This Row],[Reference]],metron,21,FALSE)</f>
        <v>13.04463690872752</v>
      </c>
      <c r="CH531" s="6">
        <f>VLOOKUP(Table1[[#This Row],[Reference]],metron,22,FALSE)</f>
        <v>13.49811236953142</v>
      </c>
      <c r="CI531" s="6">
        <f>VLOOKUP(Table1[[#This Row],[Reference]],metron,23,FALSE)</f>
        <v>1.5836526181353769</v>
      </c>
      <c r="CJ531" s="6">
        <f>VLOOKUP(Table1[[#This Row],[Reference]],metron,24,FALSE)</f>
        <v>1.8744146445295871</v>
      </c>
      <c r="CK531" s="6">
        <f>VLOOKUP(Table1[[#This Row],[Reference]],metron,25,FALSE)</f>
        <v>8.5994040017028525E-2</v>
      </c>
      <c r="CL531" s="6">
        <f>VLOOKUP(Table1[[#This Row],[Reference]],metron,26,FALSE)</f>
        <v>0.13452532992762881</v>
      </c>
    </row>
    <row r="532" spans="1:90" x14ac:dyDescent="0.45">
      <c r="A532" t="s">
        <v>1256</v>
      </c>
      <c r="B532">
        <v>1611025200</v>
      </c>
      <c r="C532" s="23" t="s">
        <v>1008</v>
      </c>
      <c r="D532" t="s">
        <v>65</v>
      </c>
      <c r="E532" t="s">
        <v>66</v>
      </c>
      <c r="F532" t="s">
        <v>85</v>
      </c>
      <c r="G532" t="s">
        <v>84</v>
      </c>
      <c r="H532" t="s">
        <v>80</v>
      </c>
      <c r="I532">
        <f>MROUND(Table1[[#This Row],[ProbH]]*100,2)/100</f>
        <v>0.46</v>
      </c>
      <c r="J532">
        <f>1/Table1[[#This Row],[odds_ft_home_team_win]]-Table1[[#This Row],[Margin]]</f>
        <v>0.46513738418864115</v>
      </c>
      <c r="K532">
        <f>1/Table1[[#This Row],[odds_ft_draw]]-Table1[[#This Row],[Margin]]</f>
        <v>0.27583996882642775</v>
      </c>
      <c r="L532">
        <f>1/Table1[[#This Row],[odds_ft_away_team_win]]-Table1[[#This Row],[Margin]]</f>
        <v>0.25902264698493105</v>
      </c>
      <c r="M532">
        <v>2</v>
      </c>
      <c r="N532">
        <v>2.82</v>
      </c>
      <c r="O532">
        <v>1.7</v>
      </c>
      <c r="P532">
        <v>2.29</v>
      </c>
      <c r="Q532">
        <v>1.38</v>
      </c>
      <c r="R532" t="str" cm="1">
        <f t="array" ref="R5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AA532">
        <v>3</v>
      </c>
      <c r="AB532">
        <v>10</v>
      </c>
      <c r="AC532">
        <v>1</v>
      </c>
      <c r="AD532">
        <v>0</v>
      </c>
      <c r="AE532">
        <v>3</v>
      </c>
      <c r="AF532">
        <v>0</v>
      </c>
      <c r="AG532">
        <v>0</v>
      </c>
      <c r="AH532">
        <v>1</v>
      </c>
      <c r="AI532">
        <v>0</v>
      </c>
      <c r="AJ532">
        <v>3</v>
      </c>
      <c r="AK532">
        <v>7</v>
      </c>
      <c r="AL532">
        <v>12</v>
      </c>
      <c r="AM532">
        <v>2</v>
      </c>
      <c r="AN532">
        <v>5</v>
      </c>
      <c r="AO532">
        <v>5</v>
      </c>
      <c r="AP532">
        <v>7</v>
      </c>
      <c r="AQ532">
        <v>13</v>
      </c>
      <c r="AR532">
        <v>18</v>
      </c>
      <c r="AS532">
        <v>55</v>
      </c>
      <c r="AT532">
        <v>45</v>
      </c>
      <c r="AU532">
        <v>0.79</v>
      </c>
      <c r="AV532">
        <v>1.38</v>
      </c>
      <c r="AW532">
        <v>1.93</v>
      </c>
      <c r="AX532">
        <v>43</v>
      </c>
      <c r="AY532">
        <v>66</v>
      </c>
      <c r="AZ532">
        <v>28</v>
      </c>
      <c r="BA532">
        <v>5</v>
      </c>
      <c r="BB532">
        <v>5</v>
      </c>
      <c r="BC532">
        <v>19</v>
      </c>
      <c r="BD532">
        <v>61</v>
      </c>
      <c r="BE532">
        <v>24</v>
      </c>
      <c r="BF532">
        <v>72</v>
      </c>
      <c r="BG532">
        <v>9.91</v>
      </c>
      <c r="BH532">
        <v>3.25</v>
      </c>
      <c r="BI532">
        <v>2.0499999999999998</v>
      </c>
      <c r="BJ532">
        <v>3.35</v>
      </c>
      <c r="BK532">
        <v>3.55</v>
      </c>
      <c r="BL532">
        <f>(1/Table1[[#This Row],[odds_ft_home_team_win]]+1/Table1[[#This Row],[odds_ft_draw]]+1/Table1[[#This Row],[odds_ft_away_team_win]]-1)/3</f>
        <v>2.266749386013937E-2</v>
      </c>
      <c r="BM532">
        <v>1.36</v>
      </c>
      <c r="BN532">
        <v>1.95</v>
      </c>
      <c r="BO532">
        <v>3.05</v>
      </c>
      <c r="BP532">
        <v>6</v>
      </c>
      <c r="BQ532">
        <v>1.8</v>
      </c>
      <c r="BR532">
        <v>1.95</v>
      </c>
      <c r="BS532" t="s">
        <v>128</v>
      </c>
      <c r="BT532">
        <f>VLOOKUP(Table1[[#This Row],[Reference]],metron,8,FALSE)</f>
        <v>1.6955772349985931</v>
      </c>
      <c r="BU532">
        <f>VLOOKUP(Table1[[#This Row],[Reference]],metron,9,FALSE)</f>
        <v>1.0239029519551039</v>
      </c>
      <c r="BV532">
        <f>VLOOKUP(Table1[[#This Row],[Reference]],metron,10,FALSE)</f>
        <v>2.5405629139072849</v>
      </c>
      <c r="BW532">
        <f>VLOOKUP(Table1[[#This Row],[Reference]],metron,11,FALSE)</f>
        <v>1.4888836329233679</v>
      </c>
      <c r="BX532">
        <f>VLOOKUP(Table1[[#This Row],[Reference]],metron,12,FALSE)</f>
        <v>1.0516792809839171</v>
      </c>
      <c r="BY532" s="6">
        <f>VLOOKUP(Table1[[#This Row],[Reference]],metron,13,FALSE)</f>
        <v>0.64581362346263005</v>
      </c>
      <c r="BZ532" s="6">
        <f>VLOOKUP(Table1[[#This Row],[Reference]],metron,14,FALSE)</f>
        <v>0.45364238410596031</v>
      </c>
      <c r="CA532" s="6">
        <f>VLOOKUP(Table1[[#This Row],[Reference]],metron,15,FALSE)</f>
        <v>12.686892177589851</v>
      </c>
      <c r="CB532" s="6">
        <f>VLOOKUP(Table1[[#This Row],[Reference]],metron,16,FALSE)</f>
        <v>9.8059196617336148</v>
      </c>
      <c r="CC532" s="6">
        <f>VLOOKUP(Table1[[#This Row],[Reference]],metron,17,FALSE)</f>
        <v>5.3198121263877027</v>
      </c>
      <c r="CD532" s="6">
        <f>VLOOKUP(Table1[[#This Row],[Reference]],metron,18,FALSE)</f>
        <v>4.0954312553373189</v>
      </c>
      <c r="CE532" s="6">
        <f>VLOOKUP(Table1[[#This Row],[Reference]],metron,19,FALSE)</f>
        <v>7.3670800512021479</v>
      </c>
      <c r="CF532" s="6">
        <f>VLOOKUP(Table1[[#This Row],[Reference]],metron,20,FALSE)</f>
        <v>5.710488406396296</v>
      </c>
      <c r="CG532" s="6">
        <f>VLOOKUP(Table1[[#This Row],[Reference]],metron,21,FALSE)</f>
        <v>13.0488908033599</v>
      </c>
      <c r="CH532" s="6">
        <f>VLOOKUP(Table1[[#This Row],[Reference]],metron,22,FALSE)</f>
        <v>13.714839543398661</v>
      </c>
      <c r="CI532" s="6">
        <f>VLOOKUP(Table1[[#This Row],[Reference]],metron,23,FALSE)</f>
        <v>1.567523459812322</v>
      </c>
      <c r="CJ532" s="6">
        <f>VLOOKUP(Table1[[#This Row],[Reference]],metron,24,FALSE)</f>
        <v>1.951040391676867</v>
      </c>
      <c r="CK532" s="6">
        <f>VLOOKUP(Table1[[#This Row],[Reference]],metron,25,FALSE)</f>
        <v>8.3027335781313744E-2</v>
      </c>
      <c r="CL532" s="6">
        <f>VLOOKUP(Table1[[#This Row],[Reference]],metron,26,FALSE)</f>
        <v>0.13117095063239501</v>
      </c>
    </row>
    <row r="533" spans="1:90" x14ac:dyDescent="0.45">
      <c r="A533" t="s">
        <v>1256</v>
      </c>
      <c r="B533">
        <v>1611284400</v>
      </c>
      <c r="C533" s="23" t="s">
        <v>1009</v>
      </c>
      <c r="D533" t="s">
        <v>65</v>
      </c>
      <c r="E533" t="s">
        <v>66</v>
      </c>
      <c r="F533" t="s">
        <v>91</v>
      </c>
      <c r="G533" t="s">
        <v>90</v>
      </c>
      <c r="H533" t="s">
        <v>92</v>
      </c>
      <c r="I533">
        <f>MROUND(Table1[[#This Row],[ProbH]]*100,2)/100</f>
        <v>0.26</v>
      </c>
      <c r="J533">
        <f>1/Table1[[#This Row],[odds_ft_home_team_win]]-Table1[[#This Row],[Margin]]</f>
        <v>0.26833740201683098</v>
      </c>
      <c r="K533">
        <f>1/Table1[[#This Row],[odds_ft_draw]]-Table1[[#This Row],[Margin]]</f>
        <v>0.27698979223962999</v>
      </c>
      <c r="L533">
        <f>1/Table1[[#This Row],[odds_ft_away_team_win]]-Table1[[#This Row],[Margin]]</f>
        <v>0.45467280574353902</v>
      </c>
      <c r="M533">
        <v>3</v>
      </c>
      <c r="N533">
        <v>0.89</v>
      </c>
      <c r="O533">
        <v>1.36</v>
      </c>
      <c r="P533">
        <v>1</v>
      </c>
      <c r="Q533">
        <v>1.35</v>
      </c>
      <c r="R533" t="str" cm="1">
        <f t="array" ref="R5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3">
        <v>3</v>
      </c>
      <c r="T533">
        <v>1</v>
      </c>
      <c r="U533">
        <v>4</v>
      </c>
      <c r="V533">
        <v>2</v>
      </c>
      <c r="W533">
        <v>2</v>
      </c>
      <c r="X533">
        <v>0</v>
      </c>
      <c r="Y533" t="s">
        <v>1010</v>
      </c>
      <c r="Z533">
        <v>69</v>
      </c>
      <c r="AA533">
        <v>6</v>
      </c>
      <c r="AB533">
        <v>2</v>
      </c>
      <c r="AC533">
        <v>4</v>
      </c>
      <c r="AD533">
        <v>0</v>
      </c>
      <c r="AE533">
        <v>3</v>
      </c>
      <c r="AF533">
        <v>0</v>
      </c>
      <c r="AG533">
        <v>2</v>
      </c>
      <c r="AH533">
        <v>2</v>
      </c>
      <c r="AI533">
        <v>1</v>
      </c>
      <c r="AJ533">
        <v>2</v>
      </c>
      <c r="AK533">
        <v>14</v>
      </c>
      <c r="AL533">
        <v>11</v>
      </c>
      <c r="AM533">
        <v>8</v>
      </c>
      <c r="AN533">
        <v>4</v>
      </c>
      <c r="AO533">
        <v>6</v>
      </c>
      <c r="AP533">
        <v>7</v>
      </c>
      <c r="AQ533">
        <v>14</v>
      </c>
      <c r="AR533">
        <v>18</v>
      </c>
      <c r="AS533">
        <v>39</v>
      </c>
      <c r="AT533">
        <v>61</v>
      </c>
      <c r="AU533">
        <v>1.72</v>
      </c>
      <c r="AV533">
        <v>1.25</v>
      </c>
      <c r="AW533">
        <v>2.5499999999999998</v>
      </c>
      <c r="AX533">
        <v>62</v>
      </c>
      <c r="AY533">
        <v>82</v>
      </c>
      <c r="AZ533">
        <v>52</v>
      </c>
      <c r="BA533">
        <v>20</v>
      </c>
      <c r="BB533">
        <v>6</v>
      </c>
      <c r="BC533">
        <v>33</v>
      </c>
      <c r="BD533">
        <v>82</v>
      </c>
      <c r="BE533">
        <v>29</v>
      </c>
      <c r="BF533">
        <v>70</v>
      </c>
      <c r="BG533">
        <v>10.64</v>
      </c>
      <c r="BH533">
        <v>5.33</v>
      </c>
      <c r="BI533">
        <v>3.45</v>
      </c>
      <c r="BJ533">
        <v>3.35</v>
      </c>
      <c r="BK533">
        <v>2.1</v>
      </c>
      <c r="BL533">
        <f>(1/Table1[[#This Row],[odds_ft_home_team_win]]+1/Table1[[#This Row],[odds_ft_draw]]+1/Table1[[#This Row],[odds_ft_away_team_win]]-1)/3</f>
        <v>2.151767044693716E-2</v>
      </c>
      <c r="BM533">
        <v>1.42</v>
      </c>
      <c r="BN533">
        <v>2.1</v>
      </c>
      <c r="BO533">
        <v>3.45</v>
      </c>
      <c r="BP533">
        <v>6</v>
      </c>
      <c r="BQ533">
        <v>1.95</v>
      </c>
      <c r="BR533">
        <v>1.8</v>
      </c>
      <c r="BS533" t="s">
        <v>144</v>
      </c>
      <c r="BT533">
        <f>VLOOKUP(Table1[[#This Row],[Reference]],metron,8,FALSE)</f>
        <v>1.0905313574236399</v>
      </c>
      <c r="BU533">
        <f>VLOOKUP(Table1[[#This Row],[Reference]],metron,9,FALSE)</f>
        <v>1.6289415604939639</v>
      </c>
      <c r="BV533">
        <f>VLOOKUP(Table1[[#This Row],[Reference]],metron,10,FALSE)</f>
        <v>2.569449507838133</v>
      </c>
      <c r="BW533">
        <f>VLOOKUP(Table1[[#This Row],[Reference]],metron,11,FALSE)</f>
        <v>1.0936930368209989</v>
      </c>
      <c r="BX533">
        <f>VLOOKUP(Table1[[#This Row],[Reference]],metron,12,FALSE)</f>
        <v>1.475756471017134</v>
      </c>
      <c r="BY533" s="6">
        <f>VLOOKUP(Table1[[#This Row],[Reference]],metron,13,FALSE)</f>
        <v>0.50018228217280347</v>
      </c>
      <c r="BZ533" s="6">
        <f>VLOOKUP(Table1[[#This Row],[Reference]],metron,14,FALSE)</f>
        <v>0.65220561429092239</v>
      </c>
      <c r="CA533" s="6">
        <f>VLOOKUP(Table1[[#This Row],[Reference]],metron,15,FALSE)</f>
        <v>10.905576679340941</v>
      </c>
      <c r="CB533" s="6">
        <f>VLOOKUP(Table1[[#This Row],[Reference]],metron,16,FALSE)</f>
        <v>12.06463878326996</v>
      </c>
      <c r="CC533" s="6">
        <f>VLOOKUP(Table1[[#This Row],[Reference]],metron,17,FALSE)</f>
        <v>4.2920127795527154</v>
      </c>
      <c r="CD533" s="6">
        <f>VLOOKUP(Table1[[#This Row],[Reference]],metron,18,FALSE)</f>
        <v>5.0095846645367406</v>
      </c>
      <c r="CE533" s="6">
        <f>VLOOKUP(Table1[[#This Row],[Reference]],metron,19,FALSE)</f>
        <v>6.6135638997882253</v>
      </c>
      <c r="CF533" s="6">
        <f>VLOOKUP(Table1[[#This Row],[Reference]],metron,20,FALSE)</f>
        <v>7.055054118733219</v>
      </c>
      <c r="CG533" s="6">
        <f>VLOOKUP(Table1[[#This Row],[Reference]],metron,21,FALSE)</f>
        <v>12.94865211810013</v>
      </c>
      <c r="CH533" s="6">
        <f>VLOOKUP(Table1[[#This Row],[Reference]],metron,22,FALSE)</f>
        <v>13.189345314505781</v>
      </c>
      <c r="CI533" s="6">
        <f>VLOOKUP(Table1[[#This Row],[Reference]],metron,23,FALSE)</f>
        <v>1.771446078431373</v>
      </c>
      <c r="CJ533" s="6">
        <f>VLOOKUP(Table1[[#This Row],[Reference]],metron,24,FALSE)</f>
        <v>1.809436274509804</v>
      </c>
      <c r="CK533" s="6">
        <f>VLOOKUP(Table1[[#This Row],[Reference]],metron,25,FALSE)</f>
        <v>0.1060049019607843</v>
      </c>
      <c r="CL533" s="6">
        <f>VLOOKUP(Table1[[#This Row],[Reference]],metron,26,FALSE)</f>
        <v>9.6813725490196081E-2</v>
      </c>
    </row>
    <row r="534" spans="1:90" x14ac:dyDescent="0.45">
      <c r="A534" t="s">
        <v>1256</v>
      </c>
      <c r="B534">
        <v>1611365400</v>
      </c>
      <c r="C534" s="23" t="s">
        <v>1011</v>
      </c>
      <c r="D534" t="s">
        <v>65</v>
      </c>
      <c r="E534" t="s">
        <v>66</v>
      </c>
      <c r="F534" t="s">
        <v>102</v>
      </c>
      <c r="G534" t="s">
        <v>106</v>
      </c>
      <c r="H534" t="s">
        <v>133</v>
      </c>
      <c r="I534">
        <f>MROUND(Table1[[#This Row],[ProbH]]*100,2)/100</f>
        <v>0.44</v>
      </c>
      <c r="J534">
        <f>1/Table1[[#This Row],[odds_ft_home_team_win]]-Table1[[#This Row],[Margin]]</f>
        <v>0.4397416984843226</v>
      </c>
      <c r="K534">
        <f>1/Table1[[#This Row],[odds_ft_draw]]-Table1[[#This Row],[Margin]]</f>
        <v>0.28712541941455516</v>
      </c>
      <c r="L534">
        <f>1/Table1[[#This Row],[odds_ft_away_team_win]]-Table1[[#This Row],[Margin]]</f>
        <v>0.2731328821011223</v>
      </c>
      <c r="M534">
        <v>3</v>
      </c>
      <c r="N534">
        <v>1.2</v>
      </c>
      <c r="O534">
        <v>0.22</v>
      </c>
      <c r="P534">
        <v>1.5</v>
      </c>
      <c r="Q534">
        <v>0.47</v>
      </c>
      <c r="R534" t="str" cm="1">
        <f t="array" ref="R5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Z534">
        <v>14</v>
      </c>
      <c r="AA534">
        <v>8</v>
      </c>
      <c r="AB534">
        <v>4</v>
      </c>
      <c r="AC534">
        <v>2</v>
      </c>
      <c r="AD534">
        <v>0</v>
      </c>
      <c r="AE534">
        <v>3</v>
      </c>
      <c r="AF534">
        <v>0</v>
      </c>
      <c r="AG534">
        <v>1</v>
      </c>
      <c r="AH534">
        <v>1</v>
      </c>
      <c r="AI534">
        <v>2</v>
      </c>
      <c r="AJ534">
        <v>1</v>
      </c>
      <c r="AK534">
        <v>20</v>
      </c>
      <c r="AL534">
        <v>10</v>
      </c>
      <c r="AM534">
        <v>5</v>
      </c>
      <c r="AN534">
        <v>6</v>
      </c>
      <c r="AO534">
        <v>15</v>
      </c>
      <c r="AP534">
        <v>4</v>
      </c>
      <c r="AQ534">
        <v>11</v>
      </c>
      <c r="AR534">
        <v>13</v>
      </c>
      <c r="AS534">
        <v>52</v>
      </c>
      <c r="AT534">
        <v>48</v>
      </c>
      <c r="AU534">
        <v>2.0499999999999998</v>
      </c>
      <c r="AV534">
        <v>1.25</v>
      </c>
      <c r="AW534">
        <v>2.67</v>
      </c>
      <c r="AX534">
        <v>46</v>
      </c>
      <c r="AY534">
        <v>79</v>
      </c>
      <c r="AZ534">
        <v>47</v>
      </c>
      <c r="BA534">
        <v>26</v>
      </c>
      <c r="BB534">
        <v>15</v>
      </c>
      <c r="BC534">
        <v>36</v>
      </c>
      <c r="BD534">
        <v>80</v>
      </c>
      <c r="BE534">
        <v>47</v>
      </c>
      <c r="BF534">
        <v>63</v>
      </c>
      <c r="BG534">
        <v>8.1</v>
      </c>
      <c r="BH534">
        <v>4.8</v>
      </c>
      <c r="BI534">
        <v>2.15</v>
      </c>
      <c r="BJ534">
        <v>3.2</v>
      </c>
      <c r="BK534">
        <v>3.35</v>
      </c>
      <c r="BL534">
        <f>(1/Table1[[#This Row],[odds_ft_home_team_win]]+1/Table1[[#This Row],[odds_ft_draw]]+1/Table1[[#This Row],[odds_ft_away_team_win]]-1)/3</f>
        <v>2.5374580585444839E-2</v>
      </c>
      <c r="BM534">
        <v>1.48</v>
      </c>
      <c r="BN534">
        <v>2.2000000000000002</v>
      </c>
      <c r="BO534">
        <v>3.75</v>
      </c>
      <c r="BP534">
        <v>7</v>
      </c>
      <c r="BQ534">
        <v>2.0499999999999998</v>
      </c>
      <c r="BR534">
        <v>1.71</v>
      </c>
      <c r="BS534" t="s">
        <v>124</v>
      </c>
      <c r="BT534">
        <f>VLOOKUP(Table1[[#This Row],[Reference]],metron,8,FALSE)</f>
        <v>1.6395459745305552</v>
      </c>
      <c r="BU534">
        <f>VLOOKUP(Table1[[#This Row],[Reference]],metron,9,FALSE)</f>
        <v>1.0758429359324786</v>
      </c>
      <c r="BV534">
        <f>VLOOKUP(Table1[[#This Row],[Reference]],metron,10,FALSE)</f>
        <v>2.4807646356033461</v>
      </c>
      <c r="BW534">
        <f>VLOOKUP(Table1[[#This Row],[Reference]],metron,11,FALSE)</f>
        <v>1.4140979689366791</v>
      </c>
      <c r="BX534">
        <f>VLOOKUP(Table1[[#This Row],[Reference]],metron,12,FALSE)</f>
        <v>1.0666666666666671</v>
      </c>
      <c r="BY534" s="6">
        <f>VLOOKUP(Table1[[#This Row],[Reference]],metron,13,FALSE)</f>
        <v>0.62712066905615294</v>
      </c>
      <c r="BZ534" s="6">
        <f>VLOOKUP(Table1[[#This Row],[Reference]],metron,14,FALSE)</f>
        <v>0.46009557945041818</v>
      </c>
      <c r="CA534" s="6">
        <f>VLOOKUP(Table1[[#This Row],[Reference]],metron,15,FALSE)</f>
        <v>12.56969280146722</v>
      </c>
      <c r="CB534" s="6">
        <f>VLOOKUP(Table1[[#This Row],[Reference]],metron,16,FALSE)</f>
        <v>9.8695552498853729</v>
      </c>
      <c r="CC534" s="6">
        <f>VLOOKUP(Table1[[#This Row],[Reference]],metron,17,FALSE)</f>
        <v>5.2754256787850897</v>
      </c>
      <c r="CD534" s="6">
        <f>VLOOKUP(Table1[[#This Row],[Reference]],metron,18,FALSE)</f>
        <v>4.1279337321675103</v>
      </c>
      <c r="CE534" s="6">
        <f>VLOOKUP(Table1[[#This Row],[Reference]],metron,19,FALSE)</f>
        <v>7.2942671226821298</v>
      </c>
      <c r="CF534" s="6">
        <f>VLOOKUP(Table1[[#This Row],[Reference]],metron,20,FALSE)</f>
        <v>5.7416215177178627</v>
      </c>
      <c r="CG534" s="6">
        <f>VLOOKUP(Table1[[#This Row],[Reference]],metron,21,FALSE)</f>
        <v>12.897246007868549</v>
      </c>
      <c r="CH534" s="6">
        <f>VLOOKUP(Table1[[#This Row],[Reference]],metron,22,FALSE)</f>
        <v>13.507058551261281</v>
      </c>
      <c r="CI534" s="6">
        <f>VLOOKUP(Table1[[#This Row],[Reference]],metron,23,FALSE)</f>
        <v>1.576522702104098</v>
      </c>
      <c r="CJ534" s="6">
        <f>VLOOKUP(Table1[[#This Row],[Reference]],metron,24,FALSE)</f>
        <v>1.917165005537099</v>
      </c>
      <c r="CK534" s="6">
        <f>VLOOKUP(Table1[[#This Row],[Reference]],metron,25,FALSE)</f>
        <v>8.4385382059800659E-2</v>
      </c>
      <c r="CL534" s="6">
        <f>VLOOKUP(Table1[[#This Row],[Reference]],metron,26,FALSE)</f>
        <v>0.1233665559246955</v>
      </c>
    </row>
    <row r="535" spans="1:90" x14ac:dyDescent="0.45">
      <c r="A535" t="s">
        <v>1256</v>
      </c>
      <c r="B535">
        <v>1611372600</v>
      </c>
      <c r="C535" s="23" t="s">
        <v>1012</v>
      </c>
      <c r="D535" t="s">
        <v>65</v>
      </c>
      <c r="E535" t="s">
        <v>66</v>
      </c>
      <c r="F535" t="s">
        <v>113</v>
      </c>
      <c r="G535" t="s">
        <v>73</v>
      </c>
      <c r="H535" t="s">
        <v>158</v>
      </c>
      <c r="I535">
        <f>MROUND(Table1[[#This Row],[ProbH]]*100,2)/100</f>
        <v>0.3</v>
      </c>
      <c r="J535">
        <f>1/Table1[[#This Row],[odds_ft_home_team_win]]-Table1[[#This Row],[Margin]]</f>
        <v>0.3078084744606181</v>
      </c>
      <c r="K535">
        <f>1/Table1[[#This Row],[odds_ft_draw]]-Table1[[#This Row],[Margin]]</f>
        <v>0.26908030746476197</v>
      </c>
      <c r="L535">
        <f>1/Table1[[#This Row],[odds_ft_away_team_win]]-Table1[[#This Row],[Margin]]</f>
        <v>0.42311121807461993</v>
      </c>
      <c r="M535">
        <v>3</v>
      </c>
      <c r="N535">
        <v>1.56</v>
      </c>
      <c r="O535">
        <v>0.89</v>
      </c>
      <c r="P535">
        <v>1.53</v>
      </c>
      <c r="Q535">
        <v>0.8</v>
      </c>
      <c r="R535" t="str" cm="1">
        <f t="array" ref="R5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7</v>
      </c>
      <c r="AC535">
        <v>2</v>
      </c>
      <c r="AD535">
        <v>0</v>
      </c>
      <c r="AE535">
        <v>1</v>
      </c>
      <c r="AF535">
        <v>0</v>
      </c>
      <c r="AG535">
        <v>0</v>
      </c>
      <c r="AH535">
        <v>2</v>
      </c>
      <c r="AI535">
        <v>1</v>
      </c>
      <c r="AJ535">
        <v>0</v>
      </c>
      <c r="AK535">
        <v>7</v>
      </c>
      <c r="AL535">
        <v>13</v>
      </c>
      <c r="AM535">
        <v>3</v>
      </c>
      <c r="AN535">
        <v>4</v>
      </c>
      <c r="AO535">
        <v>4</v>
      </c>
      <c r="AP535">
        <v>9</v>
      </c>
      <c r="AQ535">
        <v>18</v>
      </c>
      <c r="AR535">
        <v>18</v>
      </c>
      <c r="AS535">
        <v>40</v>
      </c>
      <c r="AT535">
        <v>60</v>
      </c>
      <c r="AU535">
        <v>0.93</v>
      </c>
      <c r="AV535">
        <v>1.53</v>
      </c>
      <c r="AW535">
        <v>3</v>
      </c>
      <c r="AX535">
        <v>73</v>
      </c>
      <c r="AY535">
        <v>89</v>
      </c>
      <c r="AZ535">
        <v>62</v>
      </c>
      <c r="BA535">
        <v>33</v>
      </c>
      <c r="BB535">
        <v>22</v>
      </c>
      <c r="BC535">
        <v>50</v>
      </c>
      <c r="BD535">
        <v>84</v>
      </c>
      <c r="BE535">
        <v>50</v>
      </c>
      <c r="BF535">
        <v>78</v>
      </c>
      <c r="BG535">
        <v>8.1199999999999992</v>
      </c>
      <c r="BH535">
        <v>4</v>
      </c>
      <c r="BI535">
        <v>3.02</v>
      </c>
      <c r="BJ535">
        <v>3.42</v>
      </c>
      <c r="BK535">
        <v>2.2400000000000002</v>
      </c>
      <c r="BL535">
        <f>(1/Table1[[#This Row],[odds_ft_home_team_win]]+1/Table1[[#This Row],[odds_ft_draw]]+1/Table1[[#This Row],[odds_ft_away_team_win]]-1)/3</f>
        <v>2.3317353353951464E-2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 t="s">
        <v>120</v>
      </c>
      <c r="BT535">
        <f>VLOOKUP(Table1[[#This Row],[Reference]],metron,8,FALSE)</f>
        <v>1.2142445227270171</v>
      </c>
      <c r="BU535">
        <f>VLOOKUP(Table1[[#This Row],[Reference]],metron,9,FALSE)</f>
        <v>1.4993969533036628</v>
      </c>
      <c r="BV535">
        <f>VLOOKUP(Table1[[#This Row],[Reference]],metron,10,FALSE)</f>
        <v>2.5726407816919519</v>
      </c>
      <c r="BW535">
        <f>VLOOKUP(Table1[[#This Row],[Reference]],metron,11,FALSE)</f>
        <v>1.1805091283106199</v>
      </c>
      <c r="BX535">
        <f>VLOOKUP(Table1[[#This Row],[Reference]],metron,12,FALSE)</f>
        <v>1.3921316533813319</v>
      </c>
      <c r="BY535" s="6">
        <f>VLOOKUP(Table1[[#This Row],[Reference]],metron,13,FALSE)</f>
        <v>0.5209673269873939</v>
      </c>
      <c r="BZ535" s="6">
        <f>VLOOKUP(Table1[[#This Row],[Reference]],metron,14,FALSE)</f>
        <v>0.61847182917417032</v>
      </c>
      <c r="CA535" s="6">
        <f>VLOOKUP(Table1[[#This Row],[Reference]],metron,15,FALSE)</f>
        <v>11.149200710479571</v>
      </c>
      <c r="CB535" s="6">
        <f>VLOOKUP(Table1[[#This Row],[Reference]],metron,16,FALSE)</f>
        <v>11.444049733570161</v>
      </c>
      <c r="CC535" s="6">
        <f>VLOOKUP(Table1[[#This Row],[Reference]],metron,17,FALSE)</f>
        <v>4.5257270693512304</v>
      </c>
      <c r="CD535" s="6">
        <f>VLOOKUP(Table1[[#This Row],[Reference]],metron,18,FALSE)</f>
        <v>4.8465324384787474</v>
      </c>
      <c r="CE535" s="6">
        <f>VLOOKUP(Table1[[#This Row],[Reference]],metron,19,FALSE)</f>
        <v>6.6234736411283404</v>
      </c>
      <c r="CF535" s="6">
        <f>VLOOKUP(Table1[[#This Row],[Reference]],metron,20,FALSE)</f>
        <v>6.5975172950914134</v>
      </c>
      <c r="CG535" s="6">
        <f>VLOOKUP(Table1[[#This Row],[Reference]],metron,21,FALSE)</f>
        <v>12.90081154192967</v>
      </c>
      <c r="CH535" s="6">
        <f>VLOOKUP(Table1[[#This Row],[Reference]],metron,22,FALSE)</f>
        <v>13.00360685302074</v>
      </c>
      <c r="CI535" s="6">
        <f>VLOOKUP(Table1[[#This Row],[Reference]],metron,23,FALSE)</f>
        <v>1.7502145922746779</v>
      </c>
      <c r="CJ535" s="6">
        <f>VLOOKUP(Table1[[#This Row],[Reference]],metron,24,FALSE)</f>
        <v>1.831402831402831</v>
      </c>
      <c r="CK535" s="6">
        <f>VLOOKUP(Table1[[#This Row],[Reference]],metron,25,FALSE)</f>
        <v>9.6525096525096526E-2</v>
      </c>
      <c r="CL535" s="6">
        <f>VLOOKUP(Table1[[#This Row],[Reference]],metron,26,FALSE)</f>
        <v>0.1244101244101244</v>
      </c>
    </row>
    <row r="536" spans="1:90" x14ac:dyDescent="0.45">
      <c r="A536" t="s">
        <v>1256</v>
      </c>
      <c r="B536">
        <v>1611450000</v>
      </c>
      <c r="C536" s="23" t="s">
        <v>1013</v>
      </c>
      <c r="D536" t="s">
        <v>65</v>
      </c>
      <c r="E536" t="s">
        <v>66</v>
      </c>
      <c r="F536" t="s">
        <v>97</v>
      </c>
      <c r="G536" t="s">
        <v>107</v>
      </c>
      <c r="H536" t="s">
        <v>215</v>
      </c>
      <c r="I536">
        <f>MROUND(Table1[[#This Row],[ProbH]]*100,2)/100</f>
        <v>0.3</v>
      </c>
      <c r="J536">
        <f>1/Table1[[#This Row],[odds_ft_home_team_win]]-Table1[[#This Row],[Margin]]</f>
        <v>0.30426193259567375</v>
      </c>
      <c r="K536">
        <f>1/Table1[[#This Row],[odds_ft_draw]]-Table1[[#This Row],[Margin]]</f>
        <v>0.27490054282322446</v>
      </c>
      <c r="L536">
        <f>1/Table1[[#This Row],[odds_ft_away_team_win]]-Table1[[#This Row],[Margin]]</f>
        <v>0.42083752458110174</v>
      </c>
      <c r="M536">
        <v>3</v>
      </c>
      <c r="N536">
        <v>0.78</v>
      </c>
      <c r="O536">
        <v>1.5</v>
      </c>
      <c r="P536">
        <v>1.21</v>
      </c>
      <c r="Q536">
        <v>1.47</v>
      </c>
      <c r="R536" t="str" cm="1">
        <f t="array" ref="R5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36">
        <v>0</v>
      </c>
      <c r="T536">
        <v>2</v>
      </c>
      <c r="U536">
        <v>2</v>
      </c>
      <c r="V536">
        <v>1</v>
      </c>
      <c r="W536">
        <v>0</v>
      </c>
      <c r="X536">
        <v>1</v>
      </c>
      <c r="Z536" t="s">
        <v>1014</v>
      </c>
      <c r="AA536">
        <v>3</v>
      </c>
      <c r="AB536">
        <v>3</v>
      </c>
      <c r="AC536">
        <v>3</v>
      </c>
      <c r="AD536">
        <v>0</v>
      </c>
      <c r="AE536">
        <v>3</v>
      </c>
      <c r="AF536">
        <v>0</v>
      </c>
      <c r="AG536">
        <v>0</v>
      </c>
      <c r="AH536">
        <v>3</v>
      </c>
      <c r="AI536">
        <v>1</v>
      </c>
      <c r="AJ536">
        <v>2</v>
      </c>
      <c r="AK536">
        <v>18</v>
      </c>
      <c r="AL536">
        <v>5</v>
      </c>
      <c r="AM536">
        <v>3</v>
      </c>
      <c r="AN536">
        <v>3</v>
      </c>
      <c r="AO536">
        <v>15</v>
      </c>
      <c r="AP536">
        <v>2</v>
      </c>
      <c r="AQ536">
        <v>16</v>
      </c>
      <c r="AR536">
        <v>10</v>
      </c>
      <c r="AS536">
        <v>51</v>
      </c>
      <c r="AT536">
        <v>49</v>
      </c>
      <c r="AU536">
        <v>1.72</v>
      </c>
      <c r="AV536">
        <v>0.69</v>
      </c>
      <c r="AW536">
        <v>1.99</v>
      </c>
      <c r="AX536">
        <v>37</v>
      </c>
      <c r="AY536">
        <v>62</v>
      </c>
      <c r="AZ536">
        <v>26</v>
      </c>
      <c r="BA536">
        <v>10</v>
      </c>
      <c r="BB536">
        <v>5</v>
      </c>
      <c r="BC536">
        <v>21</v>
      </c>
      <c r="BD536">
        <v>53</v>
      </c>
      <c r="BE536">
        <v>36</v>
      </c>
      <c r="BF536">
        <v>79</v>
      </c>
      <c r="BG536">
        <v>10.32</v>
      </c>
      <c r="BH536">
        <v>4.88</v>
      </c>
      <c r="BI536">
        <v>3.05</v>
      </c>
      <c r="BJ536">
        <v>3.35</v>
      </c>
      <c r="BK536">
        <v>2.25</v>
      </c>
      <c r="BL536">
        <f>(1/Table1[[#This Row],[odds_ft_home_team_win]]+1/Table1[[#This Row],[odds_ft_draw]]+1/Table1[[#This Row],[odds_ft_away_team_win]]-1)/3</f>
        <v>2.3606919863342696E-2</v>
      </c>
      <c r="BM536">
        <v>1.45</v>
      </c>
      <c r="BN536">
        <v>2.2000000000000002</v>
      </c>
      <c r="BO536">
        <v>3.65</v>
      </c>
      <c r="BP536">
        <v>6.75</v>
      </c>
      <c r="BQ536">
        <v>2.0499999999999998</v>
      </c>
      <c r="BR536">
        <v>1.74</v>
      </c>
      <c r="BS536" t="s">
        <v>136</v>
      </c>
      <c r="BT536">
        <f>VLOOKUP(Table1[[#This Row],[Reference]],metron,8,FALSE)</f>
        <v>1.2142445227270171</v>
      </c>
      <c r="BU536">
        <f>VLOOKUP(Table1[[#This Row],[Reference]],metron,9,FALSE)</f>
        <v>1.4993969533036628</v>
      </c>
      <c r="BV536">
        <f>VLOOKUP(Table1[[#This Row],[Reference]],metron,10,FALSE)</f>
        <v>2.5726407816919519</v>
      </c>
      <c r="BW536">
        <f>VLOOKUP(Table1[[#This Row],[Reference]],metron,11,FALSE)</f>
        <v>1.1805091283106199</v>
      </c>
      <c r="BX536">
        <f>VLOOKUP(Table1[[#This Row],[Reference]],metron,12,FALSE)</f>
        <v>1.3921316533813319</v>
      </c>
      <c r="BY536" s="6">
        <f>VLOOKUP(Table1[[#This Row],[Reference]],metron,13,FALSE)</f>
        <v>0.5209673269873939</v>
      </c>
      <c r="BZ536" s="6">
        <f>VLOOKUP(Table1[[#This Row],[Reference]],metron,14,FALSE)</f>
        <v>0.61847182917417032</v>
      </c>
      <c r="CA536" s="6">
        <f>VLOOKUP(Table1[[#This Row],[Reference]],metron,15,FALSE)</f>
        <v>11.149200710479571</v>
      </c>
      <c r="CB536" s="6">
        <f>VLOOKUP(Table1[[#This Row],[Reference]],metron,16,FALSE)</f>
        <v>11.444049733570161</v>
      </c>
      <c r="CC536" s="6">
        <f>VLOOKUP(Table1[[#This Row],[Reference]],metron,17,FALSE)</f>
        <v>4.5257270693512304</v>
      </c>
      <c r="CD536" s="6">
        <f>VLOOKUP(Table1[[#This Row],[Reference]],metron,18,FALSE)</f>
        <v>4.8465324384787474</v>
      </c>
      <c r="CE536" s="6">
        <f>VLOOKUP(Table1[[#This Row],[Reference]],metron,19,FALSE)</f>
        <v>6.6234736411283404</v>
      </c>
      <c r="CF536" s="6">
        <f>VLOOKUP(Table1[[#This Row],[Reference]],metron,20,FALSE)</f>
        <v>6.5975172950914134</v>
      </c>
      <c r="CG536" s="6">
        <f>VLOOKUP(Table1[[#This Row],[Reference]],metron,21,FALSE)</f>
        <v>12.90081154192967</v>
      </c>
      <c r="CH536" s="6">
        <f>VLOOKUP(Table1[[#This Row],[Reference]],metron,22,FALSE)</f>
        <v>13.00360685302074</v>
      </c>
      <c r="CI536" s="6">
        <f>VLOOKUP(Table1[[#This Row],[Reference]],metron,23,FALSE)</f>
        <v>1.7502145922746779</v>
      </c>
      <c r="CJ536" s="6">
        <f>VLOOKUP(Table1[[#This Row],[Reference]],metron,24,FALSE)</f>
        <v>1.831402831402831</v>
      </c>
      <c r="CK536" s="6">
        <f>VLOOKUP(Table1[[#This Row],[Reference]],metron,25,FALSE)</f>
        <v>9.6525096525096526E-2</v>
      </c>
      <c r="CL536" s="6">
        <f>VLOOKUP(Table1[[#This Row],[Reference]],metron,26,FALSE)</f>
        <v>0.1244101244101244</v>
      </c>
    </row>
    <row r="537" spans="1:90" x14ac:dyDescent="0.45">
      <c r="A537" t="s">
        <v>1256</v>
      </c>
      <c r="B537">
        <v>1611511200</v>
      </c>
      <c r="C537" s="23" t="s">
        <v>1015</v>
      </c>
      <c r="D537" t="s">
        <v>65</v>
      </c>
      <c r="E537" t="s">
        <v>66</v>
      </c>
      <c r="F537" t="s">
        <v>79</v>
      </c>
      <c r="G537" t="s">
        <v>72</v>
      </c>
      <c r="H537" t="s">
        <v>80</v>
      </c>
      <c r="I537">
        <f>MROUND(Table1[[#This Row],[ProbH]]*100,2)/100</f>
        <v>0.46</v>
      </c>
      <c r="J537">
        <f>1/Table1[[#This Row],[odds_ft_home_team_win]]-Table1[[#This Row],[Margin]]</f>
        <v>0.45325194754518722</v>
      </c>
      <c r="K537">
        <f>1/Table1[[#This Row],[odds_ft_draw]]-Table1[[#This Row],[Margin]]</f>
        <v>0.27556893404127819</v>
      </c>
      <c r="L537">
        <f>1/Table1[[#This Row],[odds_ft_away_team_win]]-Table1[[#This Row],[Margin]]</f>
        <v>0.27117911841353459</v>
      </c>
      <c r="M537">
        <v>3</v>
      </c>
      <c r="N537">
        <v>2.11</v>
      </c>
      <c r="O537">
        <v>1.1000000000000001</v>
      </c>
      <c r="P537">
        <v>2</v>
      </c>
      <c r="Q537">
        <v>0.72</v>
      </c>
      <c r="R537" t="str" cm="1">
        <f t="array" ref="R5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7">
        <v>2</v>
      </c>
      <c r="T537">
        <v>0</v>
      </c>
      <c r="U537">
        <v>2</v>
      </c>
      <c r="V537">
        <v>1</v>
      </c>
      <c r="W537">
        <v>1</v>
      </c>
      <c r="X537">
        <v>0</v>
      </c>
      <c r="Y537" t="s">
        <v>1016</v>
      </c>
      <c r="AA537">
        <v>8</v>
      </c>
      <c r="AB537">
        <v>3</v>
      </c>
      <c r="AC537">
        <v>2</v>
      </c>
      <c r="AD537">
        <v>0</v>
      </c>
      <c r="AE537">
        <v>4</v>
      </c>
      <c r="AF537">
        <v>1</v>
      </c>
      <c r="AG537">
        <v>1</v>
      </c>
      <c r="AH537">
        <v>1</v>
      </c>
      <c r="AI537">
        <v>2</v>
      </c>
      <c r="AJ537">
        <v>3</v>
      </c>
      <c r="AK537">
        <v>21</v>
      </c>
      <c r="AL537">
        <v>13</v>
      </c>
      <c r="AM537">
        <v>11</v>
      </c>
      <c r="AN537">
        <v>6</v>
      </c>
      <c r="AO537">
        <v>10</v>
      </c>
      <c r="AP537">
        <v>7</v>
      </c>
      <c r="AQ537">
        <v>17</v>
      </c>
      <c r="AR537">
        <v>14</v>
      </c>
      <c r="AS537">
        <v>55</v>
      </c>
      <c r="AT537">
        <v>45</v>
      </c>
      <c r="AU537">
        <v>2.41</v>
      </c>
      <c r="AV537">
        <v>1.58</v>
      </c>
      <c r="AW537">
        <v>2.5</v>
      </c>
      <c r="AX537">
        <v>48</v>
      </c>
      <c r="AY537">
        <v>64</v>
      </c>
      <c r="AZ537">
        <v>43</v>
      </c>
      <c r="BA537">
        <v>27</v>
      </c>
      <c r="BB537">
        <v>16</v>
      </c>
      <c r="BC537">
        <v>33</v>
      </c>
      <c r="BD537">
        <v>64</v>
      </c>
      <c r="BE537">
        <v>42</v>
      </c>
      <c r="BF537">
        <v>90</v>
      </c>
      <c r="BG537">
        <v>8.18</v>
      </c>
      <c r="BH537">
        <v>4.68</v>
      </c>
      <c r="BI537">
        <v>2.1</v>
      </c>
      <c r="BJ537">
        <v>3.35</v>
      </c>
      <c r="BK537">
        <v>3.4</v>
      </c>
      <c r="BL537">
        <f>(1/Table1[[#This Row],[odds_ft_home_team_win]]+1/Table1[[#This Row],[odds_ft_draw]]+1/Table1[[#This Row],[odds_ft_away_team_win]]-1)/3</f>
        <v>2.293852864528893E-2</v>
      </c>
      <c r="BM537">
        <v>1.33</v>
      </c>
      <c r="BN537">
        <v>1.91</v>
      </c>
      <c r="BO537">
        <v>2.95</v>
      </c>
      <c r="BP537">
        <v>5</v>
      </c>
      <c r="BQ537">
        <v>1.74</v>
      </c>
      <c r="BR537">
        <v>2</v>
      </c>
      <c r="BS537" t="s">
        <v>140</v>
      </c>
      <c r="BT537">
        <f>VLOOKUP(Table1[[#This Row],[Reference]],metron,8,FALSE)</f>
        <v>1.6955772349985931</v>
      </c>
      <c r="BU537">
        <f>VLOOKUP(Table1[[#This Row],[Reference]],metron,9,FALSE)</f>
        <v>1.0239029519551039</v>
      </c>
      <c r="BV537">
        <f>VLOOKUP(Table1[[#This Row],[Reference]],metron,10,FALSE)</f>
        <v>2.5405629139072849</v>
      </c>
      <c r="BW537">
        <f>VLOOKUP(Table1[[#This Row],[Reference]],metron,11,FALSE)</f>
        <v>1.4888836329233679</v>
      </c>
      <c r="BX537">
        <f>VLOOKUP(Table1[[#This Row],[Reference]],metron,12,FALSE)</f>
        <v>1.0516792809839171</v>
      </c>
      <c r="BY537" s="6">
        <f>VLOOKUP(Table1[[#This Row],[Reference]],metron,13,FALSE)</f>
        <v>0.64581362346263005</v>
      </c>
      <c r="BZ537" s="6">
        <f>VLOOKUP(Table1[[#This Row],[Reference]],metron,14,FALSE)</f>
        <v>0.45364238410596031</v>
      </c>
      <c r="CA537" s="6">
        <f>VLOOKUP(Table1[[#This Row],[Reference]],metron,15,FALSE)</f>
        <v>12.686892177589851</v>
      </c>
      <c r="CB537" s="6">
        <f>VLOOKUP(Table1[[#This Row],[Reference]],metron,16,FALSE)</f>
        <v>9.8059196617336148</v>
      </c>
      <c r="CC537" s="6">
        <f>VLOOKUP(Table1[[#This Row],[Reference]],metron,17,FALSE)</f>
        <v>5.3198121263877027</v>
      </c>
      <c r="CD537" s="6">
        <f>VLOOKUP(Table1[[#This Row],[Reference]],metron,18,FALSE)</f>
        <v>4.0954312553373189</v>
      </c>
      <c r="CE537" s="6">
        <f>VLOOKUP(Table1[[#This Row],[Reference]],metron,19,FALSE)</f>
        <v>7.3670800512021479</v>
      </c>
      <c r="CF537" s="6">
        <f>VLOOKUP(Table1[[#This Row],[Reference]],metron,20,FALSE)</f>
        <v>5.710488406396296</v>
      </c>
      <c r="CG537" s="6">
        <f>VLOOKUP(Table1[[#This Row],[Reference]],metron,21,FALSE)</f>
        <v>13.0488908033599</v>
      </c>
      <c r="CH537" s="6">
        <f>VLOOKUP(Table1[[#This Row],[Reference]],metron,22,FALSE)</f>
        <v>13.714839543398661</v>
      </c>
      <c r="CI537" s="6">
        <f>VLOOKUP(Table1[[#This Row],[Reference]],metron,23,FALSE)</f>
        <v>1.567523459812322</v>
      </c>
      <c r="CJ537" s="6">
        <f>VLOOKUP(Table1[[#This Row],[Reference]],metron,24,FALSE)</f>
        <v>1.951040391676867</v>
      </c>
      <c r="CK537" s="6">
        <f>VLOOKUP(Table1[[#This Row],[Reference]],metron,25,FALSE)</f>
        <v>8.3027335781313744E-2</v>
      </c>
      <c r="CL537" s="6">
        <f>VLOOKUP(Table1[[#This Row],[Reference]],metron,26,FALSE)</f>
        <v>0.13117095063239501</v>
      </c>
    </row>
    <row r="538" spans="1:90" x14ac:dyDescent="0.45">
      <c r="A538" t="s">
        <v>1256</v>
      </c>
      <c r="B538">
        <v>1611536400</v>
      </c>
      <c r="C538" s="23" t="s">
        <v>1017</v>
      </c>
      <c r="D538" t="s">
        <v>65</v>
      </c>
      <c r="E538" t="s">
        <v>66</v>
      </c>
      <c r="F538" t="s">
        <v>67</v>
      </c>
      <c r="G538" t="s">
        <v>96</v>
      </c>
      <c r="H538" t="s">
        <v>122</v>
      </c>
      <c r="I538">
        <f>MROUND(Table1[[#This Row],[ProbH]]*100,2)/100</f>
        <v>0.48</v>
      </c>
      <c r="J538">
        <f>1/Table1[[#This Row],[odds_ft_home_team_win]]-Table1[[#This Row],[Margin]]</f>
        <v>0.47707408901438758</v>
      </c>
      <c r="K538">
        <f>1/Table1[[#This Row],[odds_ft_draw]]-Table1[[#This Row],[Margin]]</f>
        <v>0.27558155170095472</v>
      </c>
      <c r="L538">
        <f>1/Table1[[#This Row],[odds_ft_away_team_win]]-Table1[[#This Row],[Margin]]</f>
        <v>0.24734435928465778</v>
      </c>
      <c r="M538">
        <v>3</v>
      </c>
      <c r="N538">
        <v>1.56</v>
      </c>
      <c r="O538">
        <v>1.42</v>
      </c>
      <c r="P538">
        <v>1.82</v>
      </c>
      <c r="Q538">
        <v>1.25</v>
      </c>
      <c r="R538" t="str" cm="1">
        <f t="array" ref="R5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8">
        <v>2</v>
      </c>
      <c r="T538">
        <v>0</v>
      </c>
      <c r="U538">
        <v>2</v>
      </c>
      <c r="V538">
        <v>2</v>
      </c>
      <c r="W538">
        <v>2</v>
      </c>
      <c r="X538">
        <v>0</v>
      </c>
      <c r="Y538" t="s">
        <v>1018</v>
      </c>
      <c r="AA538">
        <v>5</v>
      </c>
      <c r="AB538">
        <v>4</v>
      </c>
      <c r="AC538">
        <v>3</v>
      </c>
      <c r="AD538">
        <v>0</v>
      </c>
      <c r="AE538">
        <v>1</v>
      </c>
      <c r="AF538">
        <v>0</v>
      </c>
      <c r="AG538">
        <v>0</v>
      </c>
      <c r="AH538">
        <v>3</v>
      </c>
      <c r="AI538">
        <v>0</v>
      </c>
      <c r="AJ538">
        <v>1</v>
      </c>
      <c r="AK538">
        <v>9</v>
      </c>
      <c r="AL538">
        <v>8</v>
      </c>
      <c r="AM538">
        <v>3</v>
      </c>
      <c r="AN538">
        <v>3</v>
      </c>
      <c r="AO538">
        <v>6</v>
      </c>
      <c r="AP538">
        <v>5</v>
      </c>
      <c r="AQ538">
        <v>9</v>
      </c>
      <c r="AR538">
        <v>10</v>
      </c>
      <c r="AS538">
        <v>40</v>
      </c>
      <c r="AT538">
        <v>60</v>
      </c>
      <c r="AU538">
        <v>1.03</v>
      </c>
      <c r="AV538">
        <v>1.02</v>
      </c>
      <c r="AW538">
        <v>2.59</v>
      </c>
      <c r="AX538">
        <v>59</v>
      </c>
      <c r="AY538">
        <v>71</v>
      </c>
      <c r="AZ538">
        <v>49</v>
      </c>
      <c r="BA538">
        <v>31</v>
      </c>
      <c r="BB538">
        <v>17</v>
      </c>
      <c r="BC538">
        <v>18</v>
      </c>
      <c r="BD538">
        <v>67</v>
      </c>
      <c r="BE538">
        <v>55</v>
      </c>
      <c r="BF538">
        <v>73</v>
      </c>
      <c r="BG538">
        <v>9.14</v>
      </c>
      <c r="BH538">
        <v>4.45</v>
      </c>
      <c r="BI538">
        <v>2</v>
      </c>
      <c r="BJ538">
        <v>3.35</v>
      </c>
      <c r="BK538">
        <v>3.7</v>
      </c>
      <c r="BL538">
        <f>(1/Table1[[#This Row],[odds_ft_home_team_win]]+1/Table1[[#This Row],[odds_ft_draw]]+1/Table1[[#This Row],[odds_ft_away_team_win]]-1)/3</f>
        <v>2.2925910985612436E-2</v>
      </c>
      <c r="BM538">
        <v>1.43</v>
      </c>
      <c r="BN538">
        <v>2.1</v>
      </c>
      <c r="BO538">
        <v>3.5</v>
      </c>
      <c r="BP538">
        <v>6</v>
      </c>
      <c r="BQ538">
        <v>2</v>
      </c>
      <c r="BR538">
        <v>1.77</v>
      </c>
      <c r="BS538" t="s">
        <v>70</v>
      </c>
      <c r="BT538">
        <f>VLOOKUP(Table1[[#This Row],[Reference]],metron,8,FALSE)</f>
        <v>1.743992017160418</v>
      </c>
      <c r="BU538">
        <f>VLOOKUP(Table1[[#This Row],[Reference]],metron,9,FALSE)</f>
        <v>0.97803937284245479</v>
      </c>
      <c r="BV538">
        <f>VLOOKUP(Table1[[#This Row],[Reference]],metron,10,FALSE)</f>
        <v>2.5271929824561399</v>
      </c>
      <c r="BW538">
        <f>VLOOKUP(Table1[[#This Row],[Reference]],metron,11,FALSE)</f>
        <v>1.510877192982456</v>
      </c>
      <c r="BX538">
        <f>VLOOKUP(Table1[[#This Row],[Reference]],metron,12,FALSE)</f>
        <v>1.0163157894736841</v>
      </c>
      <c r="BY538" s="6">
        <f>VLOOKUP(Table1[[#This Row],[Reference]],metron,13,FALSE)</f>
        <v>0.67350877192982461</v>
      </c>
      <c r="BZ538" s="6">
        <f>VLOOKUP(Table1[[#This Row],[Reference]],metron,14,FALSE)</f>
        <v>0.4442105263157895</v>
      </c>
      <c r="CA538" s="6">
        <f>VLOOKUP(Table1[[#This Row],[Reference]],metron,15,FALSE)</f>
        <v>12.80980392156863</v>
      </c>
      <c r="CB538" s="6">
        <f>VLOOKUP(Table1[[#This Row],[Reference]],metron,16,FALSE)</f>
        <v>9.6872549019607845</v>
      </c>
      <c r="CC538" s="6">
        <f>VLOOKUP(Table1[[#This Row],[Reference]],metron,17,FALSE)</f>
        <v>5.6491169610129957</v>
      </c>
      <c r="CD538" s="6">
        <f>VLOOKUP(Table1[[#This Row],[Reference]],metron,18,FALSE)</f>
        <v>4.1379540153282237</v>
      </c>
      <c r="CE538" s="6">
        <f>VLOOKUP(Table1[[#This Row],[Reference]],metron,19,FALSE)</f>
        <v>7.1606869605556343</v>
      </c>
      <c r="CF538" s="6">
        <f>VLOOKUP(Table1[[#This Row],[Reference]],metron,20,FALSE)</f>
        <v>5.5493008866325608</v>
      </c>
      <c r="CG538" s="6">
        <f>VLOOKUP(Table1[[#This Row],[Reference]],metron,21,FALSE)</f>
        <v>12.9029029029029</v>
      </c>
      <c r="CH538" s="6">
        <f>VLOOKUP(Table1[[#This Row],[Reference]],metron,22,FALSE)</f>
        <v>13.75508842175509</v>
      </c>
      <c r="CI538" s="6">
        <f>VLOOKUP(Table1[[#This Row],[Reference]],metron,23,FALSE)</f>
        <v>1.5287356321839081</v>
      </c>
      <c r="CJ538" s="6">
        <f>VLOOKUP(Table1[[#This Row],[Reference]],metron,24,FALSE)</f>
        <v>1.9664750957854411</v>
      </c>
      <c r="CK538" s="6">
        <f>VLOOKUP(Table1[[#This Row],[Reference]],metron,25,FALSE)</f>
        <v>8.8441890166028103E-2</v>
      </c>
      <c r="CL538" s="6">
        <f>VLOOKUP(Table1[[#This Row],[Reference]],metron,26,FALSE)</f>
        <v>0.13409961685823751</v>
      </c>
    </row>
    <row r="539" spans="1:90" x14ac:dyDescent="0.45">
      <c r="A539" t="s">
        <v>1256</v>
      </c>
      <c r="B539">
        <v>1611630000</v>
      </c>
      <c r="C539" s="23" t="s">
        <v>1019</v>
      </c>
      <c r="D539" t="s">
        <v>65</v>
      </c>
      <c r="E539" t="s">
        <v>66</v>
      </c>
      <c r="F539" t="s">
        <v>84</v>
      </c>
      <c r="G539" t="s">
        <v>112</v>
      </c>
      <c r="H539" t="s">
        <v>171</v>
      </c>
      <c r="I539">
        <f>MROUND(Table1[[#This Row],[ProbH]]*100,2)/100</f>
        <v>0.5</v>
      </c>
      <c r="J539">
        <f>1/Table1[[#This Row],[odds_ft_home_team_win]]-Table1[[#This Row],[Margin]]</f>
        <v>0.4913230019974778</v>
      </c>
      <c r="K539">
        <f>1/Table1[[#This Row],[odds_ft_draw]]-Table1[[#This Row],[Margin]]</f>
        <v>0.27700995186353206</v>
      </c>
      <c r="L539">
        <f>1/Table1[[#This Row],[odds_ft_away_team_win]]-Table1[[#This Row],[Margin]]</f>
        <v>0.2316670461389902</v>
      </c>
      <c r="M539">
        <v>3</v>
      </c>
      <c r="N539">
        <v>1.18</v>
      </c>
      <c r="O539">
        <v>1.33</v>
      </c>
      <c r="P539">
        <v>1.43</v>
      </c>
      <c r="Q539">
        <v>1.77</v>
      </c>
      <c r="R539" t="str" cm="1">
        <f t="array" ref="R5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0</v>
      </c>
      <c r="Z539">
        <v>62</v>
      </c>
      <c r="AA539">
        <v>9</v>
      </c>
      <c r="AB539">
        <v>4</v>
      </c>
      <c r="AC539">
        <v>1</v>
      </c>
      <c r="AD539">
        <v>0</v>
      </c>
      <c r="AE539">
        <v>2</v>
      </c>
      <c r="AF539">
        <v>0</v>
      </c>
      <c r="AG539">
        <v>0</v>
      </c>
      <c r="AH539">
        <v>1</v>
      </c>
      <c r="AI539">
        <v>2</v>
      </c>
      <c r="AJ539">
        <v>0</v>
      </c>
      <c r="AK539">
        <v>21</v>
      </c>
      <c r="AL539">
        <v>6</v>
      </c>
      <c r="AM539">
        <v>6</v>
      </c>
      <c r="AN539">
        <v>3</v>
      </c>
      <c r="AO539">
        <v>15</v>
      </c>
      <c r="AP539">
        <v>3</v>
      </c>
      <c r="AQ539">
        <v>9</v>
      </c>
      <c r="AR539">
        <v>11</v>
      </c>
      <c r="AS539">
        <v>59</v>
      </c>
      <c r="AT539">
        <v>41</v>
      </c>
      <c r="AU539">
        <v>2.13</v>
      </c>
      <c r="AV539">
        <v>0.78</v>
      </c>
      <c r="AW539">
        <v>2.34</v>
      </c>
      <c r="AX539">
        <v>49</v>
      </c>
      <c r="AY539">
        <v>61</v>
      </c>
      <c r="AZ539">
        <v>35</v>
      </c>
      <c r="BA539">
        <v>26</v>
      </c>
      <c r="BB539">
        <v>9</v>
      </c>
      <c r="BC539">
        <v>26</v>
      </c>
      <c r="BD539">
        <v>66</v>
      </c>
      <c r="BE539">
        <v>30</v>
      </c>
      <c r="BF539">
        <v>78</v>
      </c>
      <c r="BG539">
        <v>11.36</v>
      </c>
      <c r="BH539">
        <v>4.41</v>
      </c>
      <c r="BI539">
        <v>1.95</v>
      </c>
      <c r="BJ539">
        <v>3.35</v>
      </c>
      <c r="BK539">
        <v>3.95</v>
      </c>
      <c r="BL539">
        <f>(1/Table1[[#This Row],[odds_ft_home_team_win]]+1/Table1[[#This Row],[odds_ft_draw]]+1/Table1[[#This Row],[odds_ft_away_team_win]]-1)/3</f>
        <v>2.1497510823035082E-2</v>
      </c>
      <c r="BM539">
        <v>1.45</v>
      </c>
      <c r="BN539">
        <v>2.2000000000000002</v>
      </c>
      <c r="BO539">
        <v>3.65</v>
      </c>
      <c r="BP539">
        <v>6.75</v>
      </c>
      <c r="BQ539">
        <v>2.15</v>
      </c>
      <c r="BR539">
        <v>1.67</v>
      </c>
      <c r="BS539" t="s">
        <v>88</v>
      </c>
      <c r="BT539">
        <f>VLOOKUP(Table1[[#This Row],[Reference]],metron,8,FALSE)</f>
        <v>1.8001937313313046</v>
      </c>
      <c r="BU539">
        <f>VLOOKUP(Table1[[#This Row],[Reference]],metron,9,FALSE)</f>
        <v>0.9268512077832276</v>
      </c>
      <c r="BV539">
        <f>VLOOKUP(Table1[[#This Row],[Reference]],metron,10,FALSE)</f>
        <v>2.5202079886551649</v>
      </c>
      <c r="BW539">
        <f>VLOOKUP(Table1[[#This Row],[Reference]],metron,11,FALSE)</f>
        <v>1.5342708579532029</v>
      </c>
      <c r="BX539">
        <f>VLOOKUP(Table1[[#This Row],[Reference]],metron,12,FALSE)</f>
        <v>0.98593713070196176</v>
      </c>
      <c r="BY539" s="6">
        <f>VLOOKUP(Table1[[#This Row],[Reference]],metron,13,FALSE)</f>
        <v>0.67513590167809023</v>
      </c>
      <c r="BZ539" s="6">
        <f>VLOOKUP(Table1[[#This Row],[Reference]],metron,14,FALSE)</f>
        <v>0.4286727337194185</v>
      </c>
      <c r="CA539" s="6">
        <f>VLOOKUP(Table1[[#This Row],[Reference]],metron,15,FALSE)</f>
        <v>12.98669114272602</v>
      </c>
      <c r="CB539" s="6">
        <f>VLOOKUP(Table1[[#This Row],[Reference]],metron,16,FALSE)</f>
        <v>9.4167049105094076</v>
      </c>
      <c r="CC539" s="6">
        <f>VLOOKUP(Table1[[#This Row],[Reference]],metron,17,FALSE)</f>
        <v>5.6645716945996272</v>
      </c>
      <c r="CD539" s="6">
        <f>VLOOKUP(Table1[[#This Row],[Reference]],metron,18,FALSE)</f>
        <v>4.0242085661080074</v>
      </c>
      <c r="CE539" s="6">
        <f>VLOOKUP(Table1[[#This Row],[Reference]],metron,19,FALSE)</f>
        <v>7.3221194481263927</v>
      </c>
      <c r="CF539" s="6">
        <f>VLOOKUP(Table1[[#This Row],[Reference]],metron,20,FALSE)</f>
        <v>5.3924963444014002</v>
      </c>
      <c r="CG539" s="6">
        <f>VLOOKUP(Table1[[#This Row],[Reference]],metron,21,FALSE)</f>
        <v>12.508162313432839</v>
      </c>
      <c r="CH539" s="6">
        <f>VLOOKUP(Table1[[#This Row],[Reference]],metron,22,FALSE)</f>
        <v>13.36963619402985</v>
      </c>
      <c r="CI539" s="6">
        <f>VLOOKUP(Table1[[#This Row],[Reference]],metron,23,FALSE)</f>
        <v>1.4438014689517029</v>
      </c>
      <c r="CJ539" s="6">
        <f>VLOOKUP(Table1[[#This Row],[Reference]],metron,24,FALSE)</f>
        <v>1.9410193634542621</v>
      </c>
      <c r="CK539" s="6">
        <f>VLOOKUP(Table1[[#This Row],[Reference]],metron,25,FALSE)</f>
        <v>8.4130870242599604E-2</v>
      </c>
      <c r="CL539" s="6">
        <f>VLOOKUP(Table1[[#This Row],[Reference]],metron,26,FALSE)</f>
        <v>0.1275317160026708</v>
      </c>
    </row>
    <row r="540" spans="1:90" x14ac:dyDescent="0.45">
      <c r="A540" t="s">
        <v>1256</v>
      </c>
      <c r="B540">
        <v>1611714600</v>
      </c>
      <c r="C540" s="23" t="s">
        <v>1020</v>
      </c>
      <c r="D540" t="s">
        <v>65</v>
      </c>
      <c r="E540" t="s">
        <v>66</v>
      </c>
      <c r="F540" t="s">
        <v>68</v>
      </c>
      <c r="G540" t="s">
        <v>78</v>
      </c>
      <c r="H540" t="s">
        <v>69</v>
      </c>
      <c r="I540">
        <f>MROUND(Table1[[#This Row],[ProbH]]*100,2)/100</f>
        <v>0.52</v>
      </c>
      <c r="J540">
        <f>1/Table1[[#This Row],[odds_ft_home_team_win]]-Table1[[#This Row],[Margin]]</f>
        <v>0.52260418760775129</v>
      </c>
      <c r="K540">
        <f>1/Table1[[#This Row],[odds_ft_draw]]-Table1[[#This Row],[Margin]]</f>
        <v>0.28384840786836513</v>
      </c>
      <c r="L540">
        <f>1/Table1[[#This Row],[odds_ft_away_team_win]]-Table1[[#This Row],[Margin]]</f>
        <v>0.1935474045238835</v>
      </c>
      <c r="M540">
        <v>3</v>
      </c>
      <c r="N540">
        <v>2.09</v>
      </c>
      <c r="O540">
        <v>0.78</v>
      </c>
      <c r="P540">
        <v>2.37</v>
      </c>
      <c r="Q540">
        <v>0.59</v>
      </c>
      <c r="R540" t="str" cm="1">
        <f t="array" ref="R5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0">
        <v>2</v>
      </c>
      <c r="T540">
        <v>0</v>
      </c>
      <c r="U540">
        <v>2</v>
      </c>
      <c r="V540">
        <v>1</v>
      </c>
      <c r="W540">
        <v>1</v>
      </c>
      <c r="X540">
        <v>0</v>
      </c>
      <c r="Y540" t="s">
        <v>1021</v>
      </c>
      <c r="AA540">
        <v>6</v>
      </c>
      <c r="AB540">
        <v>3</v>
      </c>
      <c r="AC540">
        <v>0</v>
      </c>
      <c r="AD540">
        <v>0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2</v>
      </c>
      <c r="AK540">
        <v>6</v>
      </c>
      <c r="AL540">
        <v>4</v>
      </c>
      <c r="AM540">
        <v>5</v>
      </c>
      <c r="AN540">
        <v>2</v>
      </c>
      <c r="AO540">
        <v>1</v>
      </c>
      <c r="AP540">
        <v>2</v>
      </c>
      <c r="AQ540">
        <v>15</v>
      </c>
      <c r="AR540">
        <v>7</v>
      </c>
      <c r="AS540">
        <v>44</v>
      </c>
      <c r="AT540">
        <v>56</v>
      </c>
      <c r="AU540">
        <v>1.06</v>
      </c>
      <c r="AV540">
        <v>0.74</v>
      </c>
      <c r="AW540">
        <v>2.94</v>
      </c>
      <c r="AX540">
        <v>81</v>
      </c>
      <c r="AY540">
        <v>86</v>
      </c>
      <c r="AZ540">
        <v>59</v>
      </c>
      <c r="BA540">
        <v>39</v>
      </c>
      <c r="BB540">
        <v>11</v>
      </c>
      <c r="BC540">
        <v>35</v>
      </c>
      <c r="BD540">
        <v>75</v>
      </c>
      <c r="BE540">
        <v>54</v>
      </c>
      <c r="BF540">
        <v>91</v>
      </c>
      <c r="BG540">
        <v>8.84</v>
      </c>
      <c r="BH540">
        <v>4.38</v>
      </c>
      <c r="BI540">
        <v>1.83</v>
      </c>
      <c r="BJ540">
        <v>3.25</v>
      </c>
      <c r="BK540">
        <v>4.5999999999999996</v>
      </c>
      <c r="BL540">
        <f>(1/Table1[[#This Row],[odds_ft_home_team_win]]+1/Table1[[#This Row],[odds_ft_draw]]+1/Table1[[#This Row],[odds_ft_away_team_win]]-1)/3</f>
        <v>2.38438998239426E-2</v>
      </c>
      <c r="BM540">
        <v>1.37</v>
      </c>
      <c r="BN540">
        <v>2</v>
      </c>
      <c r="BO540">
        <v>3.5</v>
      </c>
      <c r="BP540">
        <v>6.5</v>
      </c>
      <c r="BQ540">
        <v>1.87</v>
      </c>
      <c r="BR540">
        <v>1.87</v>
      </c>
      <c r="BS540" t="s">
        <v>116</v>
      </c>
      <c r="BT540">
        <f>VLOOKUP(Table1[[#This Row],[Reference]],metron,8,FALSE)</f>
        <v>1.8614830167843088</v>
      </c>
      <c r="BU540">
        <f>VLOOKUP(Table1[[#This Row],[Reference]],metron,9,FALSE)</f>
        <v>0.87079851622593896</v>
      </c>
      <c r="BV540">
        <f>VLOOKUP(Table1[[#This Row],[Reference]],metron,10,FALSE)</f>
        <v>2.5967403582378576</v>
      </c>
      <c r="BW540">
        <f>VLOOKUP(Table1[[#This Row],[Reference]],metron,11,FALSE)</f>
        <v>1.625948039373891</v>
      </c>
      <c r="BX540">
        <f>VLOOKUP(Table1[[#This Row],[Reference]],metron,12,FALSE)</f>
        <v>0.97079231886396644</v>
      </c>
      <c r="BY540" s="6">
        <f>VLOOKUP(Table1[[#This Row],[Reference]],metron,13,FALSE)</f>
        <v>0.71433182698515174</v>
      </c>
      <c r="BZ540" s="6">
        <f>VLOOKUP(Table1[[#This Row],[Reference]],metron,14,FALSE)</f>
        <v>0.43011620400258233</v>
      </c>
      <c r="CA540" s="6">
        <f>VLOOKUP(Table1[[#This Row],[Reference]],metron,15,FALSE)</f>
        <v>13.39951055368614</v>
      </c>
      <c r="CB540" s="6">
        <f>VLOOKUP(Table1[[#This Row],[Reference]],metron,16,FALSE)</f>
        <v>9.4252064851636579</v>
      </c>
      <c r="CC540" s="6">
        <f>VLOOKUP(Table1[[#This Row],[Reference]],metron,17,FALSE)</f>
        <v>5.7628422023992618</v>
      </c>
      <c r="CD540" s="6">
        <f>VLOOKUP(Table1[[#This Row],[Reference]],metron,18,FALSE)</f>
        <v>3.9375576745616732</v>
      </c>
      <c r="CE540" s="6">
        <f>VLOOKUP(Table1[[#This Row],[Reference]],metron,19,FALSE)</f>
        <v>7.636668351286878</v>
      </c>
      <c r="CF540" s="6">
        <f>VLOOKUP(Table1[[#This Row],[Reference]],metron,20,FALSE)</f>
        <v>5.4876488106019847</v>
      </c>
      <c r="CG540" s="6">
        <f>VLOOKUP(Table1[[#This Row],[Reference]],metron,21,FALSE)</f>
        <v>12.460420531849101</v>
      </c>
      <c r="CH540" s="6">
        <f>VLOOKUP(Table1[[#This Row],[Reference]],metron,22,FALSE)</f>
        <v>13.44897959183673</v>
      </c>
      <c r="CI540" s="6">
        <f>VLOOKUP(Table1[[#This Row],[Reference]],metron,23,FALSE)</f>
        <v>1.462202380952381</v>
      </c>
      <c r="CJ540" s="6">
        <f>VLOOKUP(Table1[[#This Row],[Reference]],metron,24,FALSE)</f>
        <v>2.01547619047619</v>
      </c>
      <c r="CK540" s="6">
        <f>VLOOKUP(Table1[[#This Row],[Reference]],metron,25,FALSE)</f>
        <v>7.7380952380952384E-2</v>
      </c>
      <c r="CL540" s="6">
        <f>VLOOKUP(Table1[[#This Row],[Reference]],metron,26,FALSE)</f>
        <v>0.13754093480202439</v>
      </c>
    </row>
    <row r="541" spans="1:90" x14ac:dyDescent="0.45">
      <c r="A541" t="s">
        <v>1256</v>
      </c>
      <c r="B541">
        <v>1611889200</v>
      </c>
      <c r="C541" s="23" t="s">
        <v>1022</v>
      </c>
      <c r="D541" t="s">
        <v>65</v>
      </c>
      <c r="E541" t="s">
        <v>66</v>
      </c>
      <c r="F541" t="s">
        <v>107</v>
      </c>
      <c r="G541" t="s">
        <v>72</v>
      </c>
      <c r="H541" t="s">
        <v>130</v>
      </c>
      <c r="I541">
        <f>MROUND(Table1[[#This Row],[ProbH]]*100,2)/100</f>
        <v>0.6</v>
      </c>
      <c r="J541">
        <f>1/Table1[[#This Row],[odds_ft_home_team_win]]-Table1[[#This Row],[Margin]]</f>
        <v>0.59661835748792269</v>
      </c>
      <c r="K541">
        <f>1/Table1[[#This Row],[odds_ft_draw]]-Table1[[#This Row],[Margin]]</f>
        <v>0.26121463077984813</v>
      </c>
      <c r="L541">
        <f>1/Table1[[#This Row],[odds_ft_away_team_win]]-Table1[[#This Row],[Margin]]</f>
        <v>0.14216701173222912</v>
      </c>
      <c r="M541">
        <v>4</v>
      </c>
      <c r="N541">
        <v>1.83</v>
      </c>
      <c r="O541">
        <v>1</v>
      </c>
      <c r="P541">
        <v>1.53</v>
      </c>
      <c r="Q541">
        <v>0.72</v>
      </c>
      <c r="R541" t="str" cm="1">
        <f t="array" ref="R5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1">
        <v>1</v>
      </c>
      <c r="T541">
        <v>1</v>
      </c>
      <c r="U541">
        <v>2</v>
      </c>
      <c r="V541">
        <v>2</v>
      </c>
      <c r="W541">
        <v>1</v>
      </c>
      <c r="X541">
        <v>1</v>
      </c>
      <c r="Y541">
        <v>45</v>
      </c>
      <c r="Z541">
        <v>34</v>
      </c>
      <c r="AA541">
        <v>8</v>
      </c>
      <c r="AB541">
        <v>2</v>
      </c>
      <c r="AC541">
        <v>3</v>
      </c>
      <c r="AD541">
        <v>0</v>
      </c>
      <c r="AE541">
        <v>3</v>
      </c>
      <c r="AF541">
        <v>0</v>
      </c>
      <c r="AG541">
        <v>1</v>
      </c>
      <c r="AH541">
        <v>2</v>
      </c>
      <c r="AI541">
        <v>1</v>
      </c>
      <c r="AJ541">
        <v>2</v>
      </c>
      <c r="AK541">
        <v>16</v>
      </c>
      <c r="AL541">
        <v>6</v>
      </c>
      <c r="AM541">
        <v>7</v>
      </c>
      <c r="AN541">
        <v>3</v>
      </c>
      <c r="AO541">
        <v>9</v>
      </c>
      <c r="AP541">
        <v>3</v>
      </c>
      <c r="AQ541">
        <v>13</v>
      </c>
      <c r="AR541">
        <v>13</v>
      </c>
      <c r="AS541">
        <v>74</v>
      </c>
      <c r="AT541">
        <v>26</v>
      </c>
      <c r="AU541">
        <v>2.0299999999999998</v>
      </c>
      <c r="AV541">
        <v>0.72</v>
      </c>
      <c r="AW541">
        <v>2.34</v>
      </c>
      <c r="AX541">
        <v>52</v>
      </c>
      <c r="AY541">
        <v>78</v>
      </c>
      <c r="AZ541">
        <v>39</v>
      </c>
      <c r="BA541">
        <v>13</v>
      </c>
      <c r="BB541">
        <v>5</v>
      </c>
      <c r="BC541">
        <v>13</v>
      </c>
      <c r="BD541">
        <v>57</v>
      </c>
      <c r="BE541">
        <v>47</v>
      </c>
      <c r="BF541">
        <v>96</v>
      </c>
      <c r="BG541">
        <v>8.61</v>
      </c>
      <c r="BH541">
        <v>5.26</v>
      </c>
      <c r="BI541">
        <v>1.61</v>
      </c>
      <c r="BJ541">
        <v>3.5</v>
      </c>
      <c r="BK541">
        <v>6</v>
      </c>
      <c r="BL541">
        <f>(1/Table1[[#This Row],[odds_ft_home_team_win]]+1/Table1[[#This Row],[odds_ft_draw]]+1/Table1[[#This Row],[odds_ft_away_team_win]]-1)/3</f>
        <v>2.4499654934437547E-2</v>
      </c>
      <c r="BM541">
        <v>1.47</v>
      </c>
      <c r="BN541">
        <v>2.25</v>
      </c>
      <c r="BO541">
        <v>3.7</v>
      </c>
      <c r="BP541">
        <v>7</v>
      </c>
      <c r="BQ541">
        <v>2.2999999999999998</v>
      </c>
      <c r="BR541">
        <v>1.59</v>
      </c>
      <c r="BS541" t="s">
        <v>161</v>
      </c>
      <c r="BT541">
        <f>VLOOKUP(Table1[[#This Row],[Reference]],metron,8,FALSE)</f>
        <v>2.0749792289385525</v>
      </c>
      <c r="BU541">
        <f>VLOOKUP(Table1[[#This Row],[Reference]],metron,9,FALSE)</f>
        <v>0.68220664089703831</v>
      </c>
      <c r="BV541">
        <f>VLOOKUP(Table1[[#This Row],[Reference]],metron,10,FALSE)</f>
        <v>2.7310090702947849</v>
      </c>
      <c r="BW541">
        <f>VLOOKUP(Table1[[#This Row],[Reference]],metron,11,FALSE)</f>
        <v>1.841836734693878</v>
      </c>
      <c r="BX541">
        <f>VLOOKUP(Table1[[#This Row],[Reference]],metron,12,FALSE)</f>
        <v>0.88917233560090703</v>
      </c>
      <c r="BY541" s="6">
        <f>VLOOKUP(Table1[[#This Row],[Reference]],metron,13,FALSE)</f>
        <v>0.804822695035461</v>
      </c>
      <c r="BZ541" s="6">
        <f>VLOOKUP(Table1[[#This Row],[Reference]],metron,14,FALSE)</f>
        <v>0.38099290780141842</v>
      </c>
      <c r="CA541" s="6">
        <f>VLOOKUP(Table1[[#This Row],[Reference]],metron,15,FALSE)</f>
        <v>14.25174825174825</v>
      </c>
      <c r="CB541" s="6">
        <f>VLOOKUP(Table1[[#This Row],[Reference]],metron,16,FALSE)</f>
        <v>8.8316683316683324</v>
      </c>
      <c r="CC541" s="6">
        <f>VLOOKUP(Table1[[#This Row],[Reference]],metron,17,FALSE)</f>
        <v>6.2901265822784813</v>
      </c>
      <c r="CD541" s="6">
        <f>VLOOKUP(Table1[[#This Row],[Reference]],metron,18,FALSE)</f>
        <v>3.6162025316455702</v>
      </c>
      <c r="CE541" s="6">
        <f>VLOOKUP(Table1[[#This Row],[Reference]],metron,19,FALSE)</f>
        <v>7.9616216694697686</v>
      </c>
      <c r="CF541" s="6">
        <f>VLOOKUP(Table1[[#This Row],[Reference]],metron,20,FALSE)</f>
        <v>5.2154658000227627</v>
      </c>
      <c r="CG541" s="6">
        <f>VLOOKUP(Table1[[#This Row],[Reference]],metron,21,FALSE)</f>
        <v>12.444895886236671</v>
      </c>
      <c r="CH541" s="6">
        <f>VLOOKUP(Table1[[#This Row],[Reference]],metron,22,FALSE)</f>
        <v>13.620619603859829</v>
      </c>
      <c r="CI541" s="6">
        <f>VLOOKUP(Table1[[#This Row],[Reference]],metron,23,FALSE)</f>
        <v>1.406084017382907</v>
      </c>
      <c r="CJ541" s="6">
        <f>VLOOKUP(Table1[[#This Row],[Reference]],metron,24,FALSE)</f>
        <v>2.070980202800579</v>
      </c>
      <c r="CK541" s="6">
        <f>VLOOKUP(Table1[[#This Row],[Reference]],metron,25,FALSE)</f>
        <v>6.1323032351521013E-2</v>
      </c>
      <c r="CL541" s="6">
        <f>VLOOKUP(Table1[[#This Row],[Reference]],metron,26,FALSE)</f>
        <v>0.1313375181071946</v>
      </c>
    </row>
    <row r="542" spans="1:90" x14ac:dyDescent="0.45">
      <c r="A542" t="s">
        <v>1256</v>
      </c>
      <c r="B542">
        <v>1611977400</v>
      </c>
      <c r="C542" s="23" t="s">
        <v>1023</v>
      </c>
      <c r="D542" t="s">
        <v>65</v>
      </c>
      <c r="E542" t="s">
        <v>66</v>
      </c>
      <c r="F542" t="s">
        <v>113</v>
      </c>
      <c r="G542" t="s">
        <v>84</v>
      </c>
      <c r="H542" t="s">
        <v>92</v>
      </c>
      <c r="I542">
        <f>MROUND(Table1[[#This Row],[ProbH]]*100,2)/100</f>
        <v>0.28000000000000003</v>
      </c>
      <c r="J542">
        <f>1/Table1[[#This Row],[odds_ft_home_team_win]]-Table1[[#This Row],[Margin]]</f>
        <v>0.27085333627889985</v>
      </c>
      <c r="K542">
        <f>1/Table1[[#This Row],[odds_ft_draw]]-Table1[[#This Row],[Margin]]</f>
        <v>0.28729469543125641</v>
      </c>
      <c r="L542">
        <f>1/Table1[[#This Row],[odds_ft_away_team_win]]-Table1[[#This Row],[Margin]]</f>
        <v>0.44185196828984374</v>
      </c>
      <c r="M542">
        <v>4</v>
      </c>
      <c r="N542">
        <v>1.5</v>
      </c>
      <c r="O542">
        <v>1.64</v>
      </c>
      <c r="P542">
        <v>1.53</v>
      </c>
      <c r="Q542">
        <v>1.38</v>
      </c>
      <c r="R542" t="str" cm="1">
        <f t="array" ref="R5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44</v>
      </c>
      <c r="AA542">
        <v>8</v>
      </c>
      <c r="AB542">
        <v>5</v>
      </c>
      <c r="AC542">
        <v>3</v>
      </c>
      <c r="AD542">
        <v>0</v>
      </c>
      <c r="AE542">
        <v>3</v>
      </c>
      <c r="AF542">
        <v>0</v>
      </c>
      <c r="AG542">
        <v>0</v>
      </c>
      <c r="AH542">
        <v>3</v>
      </c>
      <c r="AI542">
        <v>0</v>
      </c>
      <c r="AJ542">
        <v>3</v>
      </c>
      <c r="AK542">
        <v>9</v>
      </c>
      <c r="AL542">
        <v>11</v>
      </c>
      <c r="AM542">
        <v>6</v>
      </c>
      <c r="AN542">
        <v>5</v>
      </c>
      <c r="AO542">
        <v>3</v>
      </c>
      <c r="AP542">
        <v>6</v>
      </c>
      <c r="AQ542">
        <v>12</v>
      </c>
      <c r="AR542">
        <v>12</v>
      </c>
      <c r="AS542">
        <v>41</v>
      </c>
      <c r="AT542">
        <v>59</v>
      </c>
      <c r="AU542">
        <v>1.23</v>
      </c>
      <c r="AV542">
        <v>1.56</v>
      </c>
      <c r="AW542">
        <v>2.09</v>
      </c>
      <c r="AX542">
        <v>49</v>
      </c>
      <c r="AY542">
        <v>58</v>
      </c>
      <c r="AZ542">
        <v>35</v>
      </c>
      <c r="BA542">
        <v>20</v>
      </c>
      <c r="BB542">
        <v>20</v>
      </c>
      <c r="BC542">
        <v>35</v>
      </c>
      <c r="BD542">
        <v>53</v>
      </c>
      <c r="BE542">
        <v>29</v>
      </c>
      <c r="BF542">
        <v>62</v>
      </c>
      <c r="BG542">
        <v>9.66</v>
      </c>
      <c r="BH542">
        <v>4.0199999999999996</v>
      </c>
      <c r="BI542">
        <v>3.4</v>
      </c>
      <c r="BJ542">
        <v>3.22</v>
      </c>
      <c r="BK542">
        <v>2.15</v>
      </c>
      <c r="BL542">
        <f>(1/Table1[[#This Row],[odds_ft_home_team_win]]+1/Table1[[#This Row],[odds_ft_draw]]+1/Table1[[#This Row],[odds_ft_away_team_win]]-1)/3</f>
        <v>2.3264310779923674E-2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 t="s">
        <v>120</v>
      </c>
      <c r="BT542">
        <f>VLOOKUP(Table1[[#This Row],[Reference]],metron,8,FALSE)</f>
        <v>1.1529533168233341</v>
      </c>
      <c r="BU542">
        <f>VLOOKUP(Table1[[#This Row],[Reference]],metron,9,FALSE)</f>
        <v>1.5628535554286829</v>
      </c>
      <c r="BV542">
        <f>VLOOKUP(Table1[[#This Row],[Reference]],metron,10,FALSE)</f>
        <v>2.5445607358071678</v>
      </c>
      <c r="BW542">
        <f>VLOOKUP(Table1[[#This Row],[Reference]],metron,11,FALSE)</f>
        <v>1.128766254360926</v>
      </c>
      <c r="BX542">
        <f>VLOOKUP(Table1[[#This Row],[Reference]],metron,12,FALSE)</f>
        <v>1.415794481446242</v>
      </c>
      <c r="BY542" s="6">
        <f>VLOOKUP(Table1[[#This Row],[Reference]],metron,13,FALSE)</f>
        <v>0.49635267998731369</v>
      </c>
      <c r="BZ542" s="6">
        <f>VLOOKUP(Table1[[#This Row],[Reference]],metron,14,FALSE)</f>
        <v>0.61084681255946716</v>
      </c>
      <c r="CA542" s="6">
        <f>VLOOKUP(Table1[[#This Row],[Reference]],metron,15,FALSE)</f>
        <v>11.04442036836403</v>
      </c>
      <c r="CB542" s="6">
        <f>VLOOKUP(Table1[[#This Row],[Reference]],metron,16,FALSE)</f>
        <v>11.38840736728061</v>
      </c>
      <c r="CC542" s="6">
        <f>VLOOKUP(Table1[[#This Row],[Reference]],metron,17,FALSE)</f>
        <v>4.5379574003276897</v>
      </c>
      <c r="CD542" s="6">
        <f>VLOOKUP(Table1[[#This Row],[Reference]],metron,18,FALSE)</f>
        <v>4.8481703986892413</v>
      </c>
      <c r="CE542" s="6">
        <f>VLOOKUP(Table1[[#This Row],[Reference]],metron,19,FALSE)</f>
        <v>6.5064629680363399</v>
      </c>
      <c r="CF542" s="6">
        <f>VLOOKUP(Table1[[#This Row],[Reference]],metron,20,FALSE)</f>
        <v>6.540236968591369</v>
      </c>
      <c r="CG542" s="6">
        <f>VLOOKUP(Table1[[#This Row],[Reference]],metron,21,FALSE)</f>
        <v>13.117582417582421</v>
      </c>
      <c r="CH542" s="6">
        <f>VLOOKUP(Table1[[#This Row],[Reference]],metron,22,FALSE)</f>
        <v>13.28241758241758</v>
      </c>
      <c r="CI542" s="6">
        <f>VLOOKUP(Table1[[#This Row],[Reference]],metron,23,FALSE)</f>
        <v>1.792592592592593</v>
      </c>
      <c r="CJ542" s="6">
        <f>VLOOKUP(Table1[[#This Row],[Reference]],metron,24,FALSE)</f>
        <v>1.806980433632998</v>
      </c>
      <c r="CK542" s="6">
        <f>VLOOKUP(Table1[[#This Row],[Reference]],metron,25,FALSE)</f>
        <v>0.1047065044949762</v>
      </c>
      <c r="CL542" s="6">
        <f>VLOOKUP(Table1[[#This Row],[Reference]],metron,26,FALSE)</f>
        <v>0.1073506081438392</v>
      </c>
    </row>
    <row r="543" spans="1:90" x14ac:dyDescent="0.45">
      <c r="A543" t="s">
        <v>1256</v>
      </c>
      <c r="B543">
        <v>1612054800</v>
      </c>
      <c r="C543" s="23" t="s">
        <v>1024</v>
      </c>
      <c r="D543" t="s">
        <v>65</v>
      </c>
      <c r="E543" t="s">
        <v>66</v>
      </c>
      <c r="F543" t="s">
        <v>90</v>
      </c>
      <c r="G543" t="s">
        <v>78</v>
      </c>
      <c r="H543" t="s">
        <v>80</v>
      </c>
      <c r="I543">
        <f>MROUND(Table1[[#This Row],[ProbH]]*100,2)/100</f>
        <v>0.5</v>
      </c>
      <c r="J543">
        <f>1/Table1[[#This Row],[odds_ft_home_team_win]]-Table1[[#This Row],[Margin]]</f>
        <v>0.49953765205386685</v>
      </c>
      <c r="K543">
        <f>1/Table1[[#This Row],[odds_ft_draw]]-Table1[[#This Row],[Margin]]</f>
        <v>0.27448490531635023</v>
      </c>
      <c r="L543">
        <f>1/Table1[[#This Row],[odds_ft_away_team_win]]-Table1[[#This Row],[Margin]]</f>
        <v>0.22597744262978306</v>
      </c>
      <c r="M543">
        <v>4</v>
      </c>
      <c r="N543">
        <v>1.77</v>
      </c>
      <c r="O543">
        <v>0.7</v>
      </c>
      <c r="P543">
        <v>1.6</v>
      </c>
      <c r="Q543">
        <v>0.59</v>
      </c>
      <c r="R543" t="str" cm="1">
        <f t="array" ref="R5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43">
        <v>1</v>
      </c>
      <c r="T543">
        <v>2</v>
      </c>
      <c r="U543">
        <v>3</v>
      </c>
      <c r="V543">
        <v>2</v>
      </c>
      <c r="W543">
        <v>0</v>
      </c>
      <c r="X543">
        <v>2</v>
      </c>
      <c r="Y543">
        <v>77</v>
      </c>
      <c r="Z543" t="s">
        <v>1025</v>
      </c>
      <c r="AA543">
        <v>13</v>
      </c>
      <c r="AB543">
        <v>2</v>
      </c>
      <c r="AC543">
        <v>0</v>
      </c>
      <c r="AD543">
        <v>0</v>
      </c>
      <c r="AE543">
        <v>4</v>
      </c>
      <c r="AF543">
        <v>0</v>
      </c>
      <c r="AG543">
        <v>0</v>
      </c>
      <c r="AH543">
        <v>0</v>
      </c>
      <c r="AI543">
        <v>1</v>
      </c>
      <c r="AJ543">
        <v>3</v>
      </c>
      <c r="AK543">
        <v>13</v>
      </c>
      <c r="AL543">
        <v>7</v>
      </c>
      <c r="AM543">
        <v>3</v>
      </c>
      <c r="AN543">
        <v>6</v>
      </c>
      <c r="AO543">
        <v>10</v>
      </c>
      <c r="AP543">
        <v>1</v>
      </c>
      <c r="AQ543">
        <v>9</v>
      </c>
      <c r="AR543">
        <v>14</v>
      </c>
      <c r="AS543">
        <v>69</v>
      </c>
      <c r="AT543">
        <v>31</v>
      </c>
      <c r="AU543">
        <v>1.46</v>
      </c>
      <c r="AV543">
        <v>1</v>
      </c>
      <c r="AW543">
        <v>2.35</v>
      </c>
      <c r="AX543">
        <v>67</v>
      </c>
      <c r="AY543">
        <v>76</v>
      </c>
      <c r="AZ543">
        <v>36</v>
      </c>
      <c r="BA543">
        <v>18</v>
      </c>
      <c r="BB543">
        <v>14</v>
      </c>
      <c r="BC543">
        <v>27</v>
      </c>
      <c r="BD543">
        <v>62</v>
      </c>
      <c r="BE543">
        <v>32</v>
      </c>
      <c r="BF543">
        <v>85</v>
      </c>
      <c r="BG543">
        <v>8.23</v>
      </c>
      <c r="BH543">
        <v>3.96</v>
      </c>
      <c r="BI543">
        <v>1.91</v>
      </c>
      <c r="BJ543">
        <v>3.35</v>
      </c>
      <c r="BK543">
        <v>4</v>
      </c>
      <c r="BL543">
        <f>(1/Table1[[#This Row],[odds_ft_home_team_win]]+1/Table1[[#This Row],[odds_ft_draw]]+1/Table1[[#This Row],[odds_ft_away_team_win]]-1)/3</f>
        <v>2.402255737021693E-2</v>
      </c>
      <c r="BM543">
        <v>1.48</v>
      </c>
      <c r="BN543">
        <v>2.25</v>
      </c>
      <c r="BO543">
        <v>3.8</v>
      </c>
      <c r="BP543">
        <v>8</v>
      </c>
      <c r="BQ543">
        <v>2.2000000000000002</v>
      </c>
      <c r="BR543">
        <v>1.65</v>
      </c>
      <c r="BS543" t="s">
        <v>94</v>
      </c>
      <c r="BT543">
        <f>VLOOKUP(Table1[[#This Row],[Reference]],metron,8,FALSE)</f>
        <v>1.8001937313313046</v>
      </c>
      <c r="BU543">
        <f>VLOOKUP(Table1[[#This Row],[Reference]],metron,9,FALSE)</f>
        <v>0.9268512077832276</v>
      </c>
      <c r="BV543">
        <f>VLOOKUP(Table1[[#This Row],[Reference]],metron,10,FALSE)</f>
        <v>2.5202079886551649</v>
      </c>
      <c r="BW543">
        <f>VLOOKUP(Table1[[#This Row],[Reference]],metron,11,FALSE)</f>
        <v>1.5342708579532029</v>
      </c>
      <c r="BX543">
        <f>VLOOKUP(Table1[[#This Row],[Reference]],metron,12,FALSE)</f>
        <v>0.98593713070196176</v>
      </c>
      <c r="BY543" s="6">
        <f>VLOOKUP(Table1[[#This Row],[Reference]],metron,13,FALSE)</f>
        <v>0.67513590167809023</v>
      </c>
      <c r="BZ543" s="6">
        <f>VLOOKUP(Table1[[#This Row],[Reference]],metron,14,FALSE)</f>
        <v>0.4286727337194185</v>
      </c>
      <c r="CA543" s="6">
        <f>VLOOKUP(Table1[[#This Row],[Reference]],metron,15,FALSE)</f>
        <v>12.98669114272602</v>
      </c>
      <c r="CB543" s="6">
        <f>VLOOKUP(Table1[[#This Row],[Reference]],metron,16,FALSE)</f>
        <v>9.4167049105094076</v>
      </c>
      <c r="CC543" s="6">
        <f>VLOOKUP(Table1[[#This Row],[Reference]],metron,17,FALSE)</f>
        <v>5.6645716945996272</v>
      </c>
      <c r="CD543" s="6">
        <f>VLOOKUP(Table1[[#This Row],[Reference]],metron,18,FALSE)</f>
        <v>4.0242085661080074</v>
      </c>
      <c r="CE543" s="6">
        <f>VLOOKUP(Table1[[#This Row],[Reference]],metron,19,FALSE)</f>
        <v>7.3221194481263927</v>
      </c>
      <c r="CF543" s="6">
        <f>VLOOKUP(Table1[[#This Row],[Reference]],metron,20,FALSE)</f>
        <v>5.3924963444014002</v>
      </c>
      <c r="CG543" s="6">
        <f>VLOOKUP(Table1[[#This Row],[Reference]],metron,21,FALSE)</f>
        <v>12.508162313432839</v>
      </c>
      <c r="CH543" s="6">
        <f>VLOOKUP(Table1[[#This Row],[Reference]],metron,22,FALSE)</f>
        <v>13.36963619402985</v>
      </c>
      <c r="CI543" s="6">
        <f>VLOOKUP(Table1[[#This Row],[Reference]],metron,23,FALSE)</f>
        <v>1.4438014689517029</v>
      </c>
      <c r="CJ543" s="6">
        <f>VLOOKUP(Table1[[#This Row],[Reference]],metron,24,FALSE)</f>
        <v>1.9410193634542621</v>
      </c>
      <c r="CK543" s="6">
        <f>VLOOKUP(Table1[[#This Row],[Reference]],metron,25,FALSE)</f>
        <v>8.4130870242599604E-2</v>
      </c>
      <c r="CL543" s="6">
        <f>VLOOKUP(Table1[[#This Row],[Reference]],metron,26,FALSE)</f>
        <v>0.1275317160026708</v>
      </c>
    </row>
    <row r="544" spans="1:90" x14ac:dyDescent="0.45">
      <c r="A544" t="s">
        <v>1256</v>
      </c>
      <c r="B544">
        <v>1612062000</v>
      </c>
      <c r="C544" s="23" t="s">
        <v>1026</v>
      </c>
      <c r="D544" t="s">
        <v>65</v>
      </c>
      <c r="E544" t="s">
        <v>66</v>
      </c>
      <c r="F544" t="s">
        <v>112</v>
      </c>
      <c r="G544" t="s">
        <v>67</v>
      </c>
      <c r="H544" t="s">
        <v>98</v>
      </c>
      <c r="I544">
        <f>MROUND(Table1[[#This Row],[ProbH]]*100,2)/100</f>
        <v>0.52</v>
      </c>
      <c r="J544">
        <f>1/Table1[[#This Row],[odds_ft_home_team_win]]-Table1[[#This Row],[Margin]]</f>
        <v>0.52132889967850859</v>
      </c>
      <c r="K544">
        <f>1/Table1[[#This Row],[odds_ft_draw]]-Table1[[#This Row],[Margin]]</f>
        <v>0.25107417022074308</v>
      </c>
      <c r="L544">
        <f>1/Table1[[#This Row],[odds_ft_away_team_win]]-Table1[[#This Row],[Margin]]</f>
        <v>0.22759693010074836</v>
      </c>
      <c r="M544">
        <v>4</v>
      </c>
      <c r="N544">
        <v>1.73</v>
      </c>
      <c r="O544">
        <v>0.2</v>
      </c>
      <c r="P544">
        <v>2.1800000000000002</v>
      </c>
      <c r="Q544">
        <v>0.17</v>
      </c>
      <c r="R544" t="str" cm="1">
        <f t="array" ref="R5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4">
        <v>4</v>
      </c>
      <c r="T544">
        <v>1</v>
      </c>
      <c r="U544">
        <v>5</v>
      </c>
      <c r="V544">
        <v>4</v>
      </c>
      <c r="W544">
        <v>3</v>
      </c>
      <c r="X544">
        <v>1</v>
      </c>
      <c r="Y544" t="s">
        <v>1027</v>
      </c>
      <c r="Z544">
        <v>42</v>
      </c>
      <c r="AA544">
        <v>6</v>
      </c>
      <c r="AB544">
        <v>5</v>
      </c>
      <c r="AC544">
        <v>0</v>
      </c>
      <c r="AD544">
        <v>0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16</v>
      </c>
      <c r="AL544">
        <v>5</v>
      </c>
      <c r="AM544">
        <v>5</v>
      </c>
      <c r="AN544">
        <v>2</v>
      </c>
      <c r="AO544">
        <v>11</v>
      </c>
      <c r="AP544">
        <v>3</v>
      </c>
      <c r="AQ544">
        <v>19</v>
      </c>
      <c r="AR544">
        <v>10</v>
      </c>
      <c r="AS544">
        <v>55</v>
      </c>
      <c r="AT544">
        <v>45</v>
      </c>
      <c r="AU544">
        <v>1.67</v>
      </c>
      <c r="AV544">
        <v>0.63</v>
      </c>
      <c r="AW544">
        <v>2.54</v>
      </c>
      <c r="AX544">
        <v>39</v>
      </c>
      <c r="AY544">
        <v>67</v>
      </c>
      <c r="AZ544">
        <v>48</v>
      </c>
      <c r="BA544">
        <v>24</v>
      </c>
      <c r="BB544">
        <v>15</v>
      </c>
      <c r="BC544">
        <v>24</v>
      </c>
      <c r="BD544">
        <v>68</v>
      </c>
      <c r="BE544">
        <v>38</v>
      </c>
      <c r="BF544">
        <v>81</v>
      </c>
      <c r="BG544">
        <v>11.41</v>
      </c>
      <c r="BH544">
        <v>4.7300000000000004</v>
      </c>
      <c r="BI544">
        <v>1.86</v>
      </c>
      <c r="BJ544">
        <v>3.74</v>
      </c>
      <c r="BK544">
        <v>4.0999999999999996</v>
      </c>
      <c r="BL544">
        <f>(1/Table1[[#This Row],[odds_ft_home_team_win]]+1/Table1[[#This Row],[odds_ft_draw]]+1/Table1[[#This Row],[odds_ft_away_team_win]]-1)/3</f>
        <v>1.6305508923641909E-2</v>
      </c>
      <c r="BM544">
        <v>1.38</v>
      </c>
      <c r="BN544">
        <v>1.87</v>
      </c>
      <c r="BO544">
        <v>3.1</v>
      </c>
      <c r="BP544">
        <v>5.75</v>
      </c>
      <c r="BQ544">
        <v>2.1</v>
      </c>
      <c r="BR544">
        <v>1.69</v>
      </c>
      <c r="BS544" t="s">
        <v>116</v>
      </c>
      <c r="BT544">
        <f>VLOOKUP(Table1[[#This Row],[Reference]],metron,8,FALSE)</f>
        <v>1.8614830167843088</v>
      </c>
      <c r="BU544">
        <f>VLOOKUP(Table1[[#This Row],[Reference]],metron,9,FALSE)</f>
        <v>0.87079851622593896</v>
      </c>
      <c r="BV544">
        <f>VLOOKUP(Table1[[#This Row],[Reference]],metron,10,FALSE)</f>
        <v>2.5967403582378576</v>
      </c>
      <c r="BW544">
        <f>VLOOKUP(Table1[[#This Row],[Reference]],metron,11,FALSE)</f>
        <v>1.625948039373891</v>
      </c>
      <c r="BX544">
        <f>VLOOKUP(Table1[[#This Row],[Reference]],metron,12,FALSE)</f>
        <v>0.97079231886396644</v>
      </c>
      <c r="BY544" s="6">
        <f>VLOOKUP(Table1[[#This Row],[Reference]],metron,13,FALSE)</f>
        <v>0.71433182698515174</v>
      </c>
      <c r="BZ544" s="6">
        <f>VLOOKUP(Table1[[#This Row],[Reference]],metron,14,FALSE)</f>
        <v>0.43011620400258233</v>
      </c>
      <c r="CA544" s="6">
        <f>VLOOKUP(Table1[[#This Row],[Reference]],metron,15,FALSE)</f>
        <v>13.39951055368614</v>
      </c>
      <c r="CB544" s="6">
        <f>VLOOKUP(Table1[[#This Row],[Reference]],metron,16,FALSE)</f>
        <v>9.4252064851636579</v>
      </c>
      <c r="CC544" s="6">
        <f>VLOOKUP(Table1[[#This Row],[Reference]],metron,17,FALSE)</f>
        <v>5.7628422023992618</v>
      </c>
      <c r="CD544" s="6">
        <f>VLOOKUP(Table1[[#This Row],[Reference]],metron,18,FALSE)</f>
        <v>3.9375576745616732</v>
      </c>
      <c r="CE544" s="6">
        <f>VLOOKUP(Table1[[#This Row],[Reference]],metron,19,FALSE)</f>
        <v>7.636668351286878</v>
      </c>
      <c r="CF544" s="6">
        <f>VLOOKUP(Table1[[#This Row],[Reference]],metron,20,FALSE)</f>
        <v>5.4876488106019847</v>
      </c>
      <c r="CG544" s="6">
        <f>VLOOKUP(Table1[[#This Row],[Reference]],metron,21,FALSE)</f>
        <v>12.460420531849101</v>
      </c>
      <c r="CH544" s="6">
        <f>VLOOKUP(Table1[[#This Row],[Reference]],metron,22,FALSE)</f>
        <v>13.44897959183673</v>
      </c>
      <c r="CI544" s="6">
        <f>VLOOKUP(Table1[[#This Row],[Reference]],metron,23,FALSE)</f>
        <v>1.462202380952381</v>
      </c>
      <c r="CJ544" s="6">
        <f>VLOOKUP(Table1[[#This Row],[Reference]],metron,24,FALSE)</f>
        <v>2.01547619047619</v>
      </c>
      <c r="CK544" s="6">
        <f>VLOOKUP(Table1[[#This Row],[Reference]],metron,25,FALSE)</f>
        <v>7.7380952380952384E-2</v>
      </c>
      <c r="CL544" s="6">
        <f>VLOOKUP(Table1[[#This Row],[Reference]],metron,26,FALSE)</f>
        <v>0.13754093480202439</v>
      </c>
    </row>
    <row r="545" spans="1:90" x14ac:dyDescent="0.45">
      <c r="A545" t="s">
        <v>1256</v>
      </c>
      <c r="B545">
        <v>1612062360</v>
      </c>
      <c r="C545" s="23" t="s">
        <v>1028</v>
      </c>
      <c r="D545" t="s">
        <v>65</v>
      </c>
      <c r="E545" t="s">
        <v>66</v>
      </c>
      <c r="F545" t="s">
        <v>106</v>
      </c>
      <c r="G545" t="s">
        <v>79</v>
      </c>
      <c r="H545" t="s">
        <v>122</v>
      </c>
      <c r="I545">
        <f>MROUND(Table1[[#This Row],[ProbH]]*100,2)/100</f>
        <v>0.44</v>
      </c>
      <c r="J545">
        <f>1/Table1[[#This Row],[odds_ft_home_team_win]]-Table1[[#This Row],[Margin]]</f>
        <v>0.43476999726999727</v>
      </c>
      <c r="K545">
        <f>1/Table1[[#This Row],[odds_ft_draw]]-Table1[[#This Row],[Margin]]</f>
        <v>0.26841045591045598</v>
      </c>
      <c r="L545">
        <f>1/Table1[[#This Row],[odds_ft_away_team_win]]-Table1[[#This Row],[Margin]]</f>
        <v>0.29681954681954686</v>
      </c>
      <c r="M545">
        <v>4</v>
      </c>
      <c r="N545">
        <v>1.5</v>
      </c>
      <c r="O545">
        <v>0.55000000000000004</v>
      </c>
      <c r="P545">
        <v>1.59</v>
      </c>
      <c r="Q545">
        <v>0.55000000000000004</v>
      </c>
      <c r="R545" t="str" cm="1">
        <f t="array" ref="R5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5">
        <v>3</v>
      </c>
      <c r="T545">
        <v>2</v>
      </c>
      <c r="U545">
        <v>5</v>
      </c>
      <c r="V545">
        <v>4</v>
      </c>
      <c r="W545">
        <v>3</v>
      </c>
      <c r="X545">
        <v>1</v>
      </c>
      <c r="Y545" t="s">
        <v>1029</v>
      </c>
      <c r="Z545" t="s">
        <v>1030</v>
      </c>
      <c r="AA545">
        <v>5</v>
      </c>
      <c r="AB545">
        <v>2</v>
      </c>
      <c r="AC545">
        <v>3</v>
      </c>
      <c r="AD545">
        <v>0</v>
      </c>
      <c r="AE545">
        <v>3</v>
      </c>
      <c r="AF545">
        <v>0</v>
      </c>
      <c r="AG545">
        <v>1</v>
      </c>
      <c r="AH545">
        <v>2</v>
      </c>
      <c r="AI545">
        <v>0</v>
      </c>
      <c r="AJ545">
        <v>3</v>
      </c>
      <c r="AK545">
        <v>15</v>
      </c>
      <c r="AL545">
        <v>9</v>
      </c>
      <c r="AM545">
        <v>7</v>
      </c>
      <c r="AN545">
        <v>4</v>
      </c>
      <c r="AO545">
        <v>8</v>
      </c>
      <c r="AP545">
        <v>5</v>
      </c>
      <c r="AQ545">
        <v>26</v>
      </c>
      <c r="AR545">
        <v>19</v>
      </c>
      <c r="AS545">
        <v>54</v>
      </c>
      <c r="AT545">
        <v>46</v>
      </c>
      <c r="AU545">
        <v>1.68</v>
      </c>
      <c r="AV545">
        <v>1.06</v>
      </c>
      <c r="AW545">
        <v>2.4</v>
      </c>
      <c r="AX545">
        <v>61</v>
      </c>
      <c r="AY545">
        <v>71</v>
      </c>
      <c r="AZ545">
        <v>52</v>
      </c>
      <c r="BA545">
        <v>23</v>
      </c>
      <c r="BB545">
        <v>14</v>
      </c>
      <c r="BC545">
        <v>56</v>
      </c>
      <c r="BD545">
        <v>76</v>
      </c>
      <c r="BE545">
        <v>28</v>
      </c>
      <c r="BF545">
        <v>62</v>
      </c>
      <c r="BG545">
        <v>9.1</v>
      </c>
      <c r="BH545">
        <v>4.72</v>
      </c>
      <c r="BI545">
        <v>2.2200000000000002</v>
      </c>
      <c r="BJ545">
        <v>3.52</v>
      </c>
      <c r="BK545">
        <v>3.2</v>
      </c>
      <c r="BL545">
        <f>(1/Table1[[#This Row],[odds_ft_home_team_win]]+1/Table1[[#This Row],[odds_ft_draw]]+1/Table1[[#This Row],[odds_ft_away_team_win]]-1)/3</f>
        <v>1.5680453180453153E-2</v>
      </c>
      <c r="BM545">
        <v>1.27</v>
      </c>
      <c r="BN545">
        <v>1.91</v>
      </c>
      <c r="BO545">
        <v>3.1</v>
      </c>
      <c r="BP545">
        <v>4.8499999999999996</v>
      </c>
      <c r="BQ545">
        <v>1.74</v>
      </c>
      <c r="BR545">
        <v>2.0499999999999998</v>
      </c>
      <c r="BS545" t="s">
        <v>110</v>
      </c>
      <c r="BT545">
        <f>VLOOKUP(Table1[[#This Row],[Reference]],metron,8,FALSE)</f>
        <v>1.6395459745305552</v>
      </c>
      <c r="BU545">
        <f>VLOOKUP(Table1[[#This Row],[Reference]],metron,9,FALSE)</f>
        <v>1.0758429359324786</v>
      </c>
      <c r="BV545">
        <f>VLOOKUP(Table1[[#This Row],[Reference]],metron,10,FALSE)</f>
        <v>2.4807646356033461</v>
      </c>
      <c r="BW545">
        <f>VLOOKUP(Table1[[#This Row],[Reference]],metron,11,FALSE)</f>
        <v>1.4140979689366791</v>
      </c>
      <c r="BX545">
        <f>VLOOKUP(Table1[[#This Row],[Reference]],metron,12,FALSE)</f>
        <v>1.0666666666666671</v>
      </c>
      <c r="BY545" s="6">
        <f>VLOOKUP(Table1[[#This Row],[Reference]],metron,13,FALSE)</f>
        <v>0.62712066905615294</v>
      </c>
      <c r="BZ545" s="6">
        <f>VLOOKUP(Table1[[#This Row],[Reference]],metron,14,FALSE)</f>
        <v>0.46009557945041818</v>
      </c>
      <c r="CA545" s="6">
        <f>VLOOKUP(Table1[[#This Row],[Reference]],metron,15,FALSE)</f>
        <v>12.56969280146722</v>
      </c>
      <c r="CB545" s="6">
        <f>VLOOKUP(Table1[[#This Row],[Reference]],metron,16,FALSE)</f>
        <v>9.8695552498853729</v>
      </c>
      <c r="CC545" s="6">
        <f>VLOOKUP(Table1[[#This Row],[Reference]],metron,17,FALSE)</f>
        <v>5.2754256787850897</v>
      </c>
      <c r="CD545" s="6">
        <f>VLOOKUP(Table1[[#This Row],[Reference]],metron,18,FALSE)</f>
        <v>4.1279337321675103</v>
      </c>
      <c r="CE545" s="6">
        <f>VLOOKUP(Table1[[#This Row],[Reference]],metron,19,FALSE)</f>
        <v>7.2942671226821298</v>
      </c>
      <c r="CF545" s="6">
        <f>VLOOKUP(Table1[[#This Row],[Reference]],metron,20,FALSE)</f>
        <v>5.7416215177178627</v>
      </c>
      <c r="CG545" s="6">
        <f>VLOOKUP(Table1[[#This Row],[Reference]],metron,21,FALSE)</f>
        <v>12.897246007868549</v>
      </c>
      <c r="CH545" s="6">
        <f>VLOOKUP(Table1[[#This Row],[Reference]],metron,22,FALSE)</f>
        <v>13.507058551261281</v>
      </c>
      <c r="CI545" s="6">
        <f>VLOOKUP(Table1[[#This Row],[Reference]],metron,23,FALSE)</f>
        <v>1.576522702104098</v>
      </c>
      <c r="CJ545" s="6">
        <f>VLOOKUP(Table1[[#This Row],[Reference]],metron,24,FALSE)</f>
        <v>1.917165005537099</v>
      </c>
      <c r="CK545" s="6">
        <f>VLOOKUP(Table1[[#This Row],[Reference]],metron,25,FALSE)</f>
        <v>8.4385382059800659E-2</v>
      </c>
      <c r="CL545" s="6">
        <f>VLOOKUP(Table1[[#This Row],[Reference]],metron,26,FALSE)</f>
        <v>0.1233665559246955</v>
      </c>
    </row>
    <row r="546" spans="1:90" x14ac:dyDescent="0.45">
      <c r="A546" t="s">
        <v>1256</v>
      </c>
      <c r="B546">
        <v>1612116000</v>
      </c>
      <c r="C546" s="23" t="s">
        <v>1031</v>
      </c>
      <c r="D546" t="s">
        <v>65</v>
      </c>
      <c r="E546" t="s">
        <v>66</v>
      </c>
      <c r="F546" t="s">
        <v>96</v>
      </c>
      <c r="G546" t="s">
        <v>97</v>
      </c>
      <c r="H546" t="s">
        <v>158</v>
      </c>
      <c r="I546">
        <f>MROUND(Table1[[#This Row],[ProbH]]*100,2)/100</f>
        <v>0.34</v>
      </c>
      <c r="J546">
        <f>1/Table1[[#This Row],[odds_ft_home_team_win]]-Table1[[#This Row],[Margin]]</f>
        <v>0.33686067019400351</v>
      </c>
      <c r="K546">
        <f>1/Table1[[#This Row],[odds_ft_draw]]-Table1[[#This Row],[Margin]]</f>
        <v>0.31305114638447967</v>
      </c>
      <c r="L546">
        <f>1/Table1[[#This Row],[odds_ft_away_team_win]]-Table1[[#This Row],[Margin]]</f>
        <v>0.35008818342151671</v>
      </c>
      <c r="M546">
        <v>4</v>
      </c>
      <c r="N546">
        <v>2.08</v>
      </c>
      <c r="O546">
        <v>0.7</v>
      </c>
      <c r="P546">
        <v>1.65</v>
      </c>
      <c r="Q546">
        <v>1.06</v>
      </c>
      <c r="R546" s="9" t="str" cm="1">
        <f t="array" ref="R5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AA546">
        <v>4</v>
      </c>
      <c r="AB546">
        <v>6</v>
      </c>
      <c r="AC546">
        <v>2</v>
      </c>
      <c r="AD546">
        <v>0</v>
      </c>
      <c r="AE546">
        <v>2</v>
      </c>
      <c r="AF546">
        <v>0</v>
      </c>
      <c r="AG546">
        <v>0</v>
      </c>
      <c r="AH546">
        <v>2</v>
      </c>
      <c r="AI546">
        <v>0</v>
      </c>
      <c r="AJ546">
        <v>2</v>
      </c>
      <c r="AK546">
        <v>6</v>
      </c>
      <c r="AL546">
        <v>11</v>
      </c>
      <c r="AM546">
        <v>0</v>
      </c>
      <c r="AN546">
        <v>3</v>
      </c>
      <c r="AO546">
        <v>6</v>
      </c>
      <c r="AP546">
        <v>8</v>
      </c>
      <c r="AQ546">
        <v>9</v>
      </c>
      <c r="AR546">
        <v>13</v>
      </c>
      <c r="AS546">
        <v>54</v>
      </c>
      <c r="AT546">
        <v>46</v>
      </c>
      <c r="AU546">
        <v>0.65</v>
      </c>
      <c r="AV546">
        <v>1.18</v>
      </c>
      <c r="AW546">
        <v>2.44</v>
      </c>
      <c r="AX546">
        <v>57</v>
      </c>
      <c r="AY546">
        <v>73</v>
      </c>
      <c r="AZ546">
        <v>42</v>
      </c>
      <c r="BA546">
        <v>26</v>
      </c>
      <c r="BB546">
        <v>13</v>
      </c>
      <c r="BC546">
        <v>32</v>
      </c>
      <c r="BD546">
        <v>65</v>
      </c>
      <c r="BE546">
        <v>42</v>
      </c>
      <c r="BF546">
        <v>76</v>
      </c>
      <c r="BG546">
        <v>11.04</v>
      </c>
      <c r="BH546">
        <v>5.08</v>
      </c>
      <c r="BI546">
        <v>2.8</v>
      </c>
      <c r="BJ546">
        <v>3</v>
      </c>
      <c r="BK546">
        <v>2.7</v>
      </c>
      <c r="BL546">
        <f>(1/Table1[[#This Row],[odds_ft_home_team_win]]+1/Table1[[#This Row],[odds_ft_draw]]+1/Table1[[#This Row],[odds_ft_away_team_win]]-1)/3</f>
        <v>2.0282186948853642E-2</v>
      </c>
      <c r="BM546">
        <v>1.47</v>
      </c>
      <c r="BN546">
        <v>2.35</v>
      </c>
      <c r="BO546">
        <v>3.95</v>
      </c>
      <c r="BP546">
        <v>6.5</v>
      </c>
      <c r="BQ546">
        <v>1.91</v>
      </c>
      <c r="BR546">
        <v>1.83</v>
      </c>
      <c r="BS546" t="s">
        <v>99</v>
      </c>
      <c r="BT546">
        <f>VLOOKUP(Table1[[#This Row],[Reference]],metron,8,FALSE)</f>
        <v>1.3382439854569812</v>
      </c>
      <c r="BU546">
        <f>VLOOKUP(Table1[[#This Row],[Reference]],metron,9,FALSE)</f>
        <v>1.3740319615582339</v>
      </c>
      <c r="BV546">
        <f>VLOOKUP(Table1[[#This Row],[Reference]],metron,10,FALSE)</f>
        <v>2.5229727551184897</v>
      </c>
      <c r="BW546">
        <f>VLOOKUP(Table1[[#This Row],[Reference]],metron,11,FALSE)</f>
        <v>1.228921489601805</v>
      </c>
      <c r="BX546">
        <f>VLOOKUP(Table1[[#This Row],[Reference]],metron,12,FALSE)</f>
        <v>1.2940512655166849</v>
      </c>
      <c r="BY546" s="6">
        <f>VLOOKUP(Table1[[#This Row],[Reference]],metron,13,FALSE)</f>
        <v>0.53240890035472432</v>
      </c>
      <c r="BZ546" s="6">
        <f>VLOOKUP(Table1[[#This Row],[Reference]],metron,14,FALSE)</f>
        <v>0.56514027732989358</v>
      </c>
      <c r="CA546" s="6">
        <f>VLOOKUP(Table1[[#This Row],[Reference]],metron,15,FALSE)</f>
        <v>11.417888124439131</v>
      </c>
      <c r="CB546" s="6">
        <f>VLOOKUP(Table1[[#This Row],[Reference]],metron,16,FALSE)</f>
        <v>10.76308704756207</v>
      </c>
      <c r="CC546" s="6">
        <f>VLOOKUP(Table1[[#This Row],[Reference]],metron,17,FALSE)</f>
        <v>4.8317672021824798</v>
      </c>
      <c r="CD546" s="6">
        <f>VLOOKUP(Table1[[#This Row],[Reference]],metron,18,FALSE)</f>
        <v>4.6698999696877843</v>
      </c>
      <c r="CE546" s="6">
        <f>VLOOKUP(Table1[[#This Row],[Reference]],metron,19,FALSE)</f>
        <v>6.5861209222566508</v>
      </c>
      <c r="CF546" s="6">
        <f>VLOOKUP(Table1[[#This Row],[Reference]],metron,20,FALSE)</f>
        <v>6.093187077874286</v>
      </c>
      <c r="CG546" s="6">
        <f>VLOOKUP(Table1[[#This Row],[Reference]],metron,21,FALSE)</f>
        <v>12.685679611650491</v>
      </c>
      <c r="CH546" s="6">
        <f>VLOOKUP(Table1[[#This Row],[Reference]],metron,22,FALSE)</f>
        <v>13.02639563106796</v>
      </c>
      <c r="CI546" s="6">
        <f>VLOOKUP(Table1[[#This Row],[Reference]],metron,23,FALSE)</f>
        <v>1.6481211768132831</v>
      </c>
      <c r="CJ546" s="6">
        <f>VLOOKUP(Table1[[#This Row],[Reference]],metron,24,FALSE)</f>
        <v>1.8572676958928049</v>
      </c>
      <c r="CK546" s="6">
        <f>VLOOKUP(Table1[[#This Row],[Reference]],metron,25,FALSE)</f>
        <v>9.641712787649287E-2</v>
      </c>
      <c r="CL546" s="6">
        <f>VLOOKUP(Table1[[#This Row],[Reference]],metron,26,FALSE)</f>
        <v>0.11302068161957469</v>
      </c>
    </row>
    <row r="547" spans="1:90" x14ac:dyDescent="0.45">
      <c r="A547" t="s">
        <v>1256</v>
      </c>
      <c r="B547">
        <v>1612141560</v>
      </c>
      <c r="C547" s="23" t="s">
        <v>1032</v>
      </c>
      <c r="D547" t="s">
        <v>65</v>
      </c>
      <c r="E547" t="s">
        <v>66</v>
      </c>
      <c r="F547" t="s">
        <v>73</v>
      </c>
      <c r="G547" t="s">
        <v>68</v>
      </c>
      <c r="H547" t="s">
        <v>114</v>
      </c>
      <c r="I547">
        <f>MROUND(Table1[[#This Row],[ProbH]]*100,2)/100</f>
        <v>0.54</v>
      </c>
      <c r="J547">
        <f>1/Table1[[#This Row],[odds_ft_home_team_win]]-Table1[[#This Row],[Margin]]</f>
        <v>0.53107868978233164</v>
      </c>
      <c r="K547">
        <f>1/Table1[[#This Row],[odds_ft_draw]]-Table1[[#This Row],[Margin]]</f>
        <v>0.24949573696650207</v>
      </c>
      <c r="L547">
        <f>1/Table1[[#This Row],[odds_ft_away_team_win]]-Table1[[#This Row],[Margin]]</f>
        <v>0.21942557325116632</v>
      </c>
      <c r="M547">
        <v>4</v>
      </c>
      <c r="N547">
        <v>2.09</v>
      </c>
      <c r="O547">
        <v>1.2</v>
      </c>
      <c r="P547">
        <v>2.09</v>
      </c>
      <c r="Q547">
        <v>1.63</v>
      </c>
      <c r="R547" t="str" cm="1">
        <f t="array" ref="R5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7">
        <v>1</v>
      </c>
      <c r="T547">
        <v>1</v>
      </c>
      <c r="U547">
        <v>2</v>
      </c>
      <c r="V547">
        <v>1</v>
      </c>
      <c r="W547">
        <v>0</v>
      </c>
      <c r="X547">
        <v>1</v>
      </c>
      <c r="Y547">
        <v>82</v>
      </c>
      <c r="Z547">
        <v>44</v>
      </c>
      <c r="AA547">
        <v>3</v>
      </c>
      <c r="AB547">
        <v>8</v>
      </c>
      <c r="AC547">
        <v>1</v>
      </c>
      <c r="AD547">
        <v>0</v>
      </c>
      <c r="AE547">
        <v>2</v>
      </c>
      <c r="AF547">
        <v>0</v>
      </c>
      <c r="AG547">
        <v>0</v>
      </c>
      <c r="AH547">
        <v>1</v>
      </c>
      <c r="AI547">
        <v>0</v>
      </c>
      <c r="AJ547">
        <v>2</v>
      </c>
      <c r="AK547">
        <v>13</v>
      </c>
      <c r="AL547">
        <v>12</v>
      </c>
      <c r="AM547">
        <v>4</v>
      </c>
      <c r="AN547">
        <v>3</v>
      </c>
      <c r="AO547">
        <v>9</v>
      </c>
      <c r="AP547">
        <v>9</v>
      </c>
      <c r="AQ547">
        <v>20</v>
      </c>
      <c r="AR547">
        <v>14</v>
      </c>
      <c r="AS547">
        <v>47</v>
      </c>
      <c r="AT547">
        <v>53</v>
      </c>
      <c r="AU547">
        <v>1.34</v>
      </c>
      <c r="AV547">
        <v>1.3</v>
      </c>
      <c r="AW547">
        <v>2.4900000000000002</v>
      </c>
      <c r="AX547">
        <v>53</v>
      </c>
      <c r="AY547">
        <v>76</v>
      </c>
      <c r="AZ547">
        <v>48</v>
      </c>
      <c r="BA547">
        <v>20</v>
      </c>
      <c r="BB547">
        <v>15</v>
      </c>
      <c r="BC547">
        <v>33</v>
      </c>
      <c r="BD547">
        <v>67</v>
      </c>
      <c r="BE547">
        <v>33</v>
      </c>
      <c r="BF547">
        <v>77</v>
      </c>
      <c r="BG547">
        <v>11.91</v>
      </c>
      <c r="BH547">
        <v>3.26</v>
      </c>
      <c r="BI547">
        <v>1.8</v>
      </c>
      <c r="BJ547">
        <v>3.65</v>
      </c>
      <c r="BK547">
        <v>4.0999999999999996</v>
      </c>
      <c r="BL547">
        <f>(1/Table1[[#This Row],[odds_ft_home_team_win]]+1/Table1[[#This Row],[odds_ft_draw]]+1/Table1[[#This Row],[odds_ft_away_team_win]]-1)/3</f>
        <v>2.4476865773223944E-2</v>
      </c>
      <c r="BM547">
        <v>1.32</v>
      </c>
      <c r="BN547">
        <v>1.87</v>
      </c>
      <c r="BO547">
        <v>3</v>
      </c>
      <c r="BP547">
        <v>5.25</v>
      </c>
      <c r="BQ547">
        <v>1.83</v>
      </c>
      <c r="BR547">
        <v>1.95</v>
      </c>
      <c r="BS547" t="s">
        <v>142</v>
      </c>
      <c r="BT547">
        <f>VLOOKUP(Table1[[#This Row],[Reference]],metron,8,FALSE)</f>
        <v>1.915666026436746</v>
      </c>
      <c r="BU547">
        <f>VLOOKUP(Table1[[#This Row],[Reference]],metron,9,FALSE)</f>
        <v>0.82283834599204153</v>
      </c>
      <c r="BV547">
        <f>VLOOKUP(Table1[[#This Row],[Reference]],metron,10,FALSE)</f>
        <v>2.6359702267612941</v>
      </c>
      <c r="BW547">
        <f>VLOOKUP(Table1[[#This Row],[Reference]],metron,11,FALSE)</f>
        <v>1.684957590444867</v>
      </c>
      <c r="BX547">
        <f>VLOOKUP(Table1[[#This Row],[Reference]],metron,12,FALSE)</f>
        <v>0.95101263631642718</v>
      </c>
      <c r="BY547" s="6">
        <f>VLOOKUP(Table1[[#This Row],[Reference]],metron,13,FALSE)</f>
        <v>0.72650164445213783</v>
      </c>
      <c r="BZ547" s="6">
        <f>VLOOKUP(Table1[[#This Row],[Reference]],metron,14,FALSE)</f>
        <v>0.42097974727367138</v>
      </c>
      <c r="CA547" s="6">
        <f>VLOOKUP(Table1[[#This Row],[Reference]],metron,15,FALSE)</f>
        <v>13.338806970509379</v>
      </c>
      <c r="CB547" s="6">
        <f>VLOOKUP(Table1[[#This Row],[Reference]],metron,16,FALSE)</f>
        <v>9.2530160857908843</v>
      </c>
      <c r="CC547" s="6">
        <f>VLOOKUP(Table1[[#This Row],[Reference]],metron,17,FALSE)</f>
        <v>5.9915081521739131</v>
      </c>
      <c r="CD547" s="6">
        <f>VLOOKUP(Table1[[#This Row],[Reference]],metron,18,FALSE)</f>
        <v>3.9772418478260869</v>
      </c>
      <c r="CE547" s="6">
        <f>VLOOKUP(Table1[[#This Row],[Reference]],metron,19,FALSE)</f>
        <v>7.3472988183354664</v>
      </c>
      <c r="CF547" s="6">
        <f>VLOOKUP(Table1[[#This Row],[Reference]],metron,20,FALSE)</f>
        <v>5.2757742379647974</v>
      </c>
      <c r="CG547" s="6">
        <f>VLOOKUP(Table1[[#This Row],[Reference]],metron,21,FALSE)</f>
        <v>12.59428182437032</v>
      </c>
      <c r="CH547" s="6">
        <f>VLOOKUP(Table1[[#This Row],[Reference]],metron,22,FALSE)</f>
        <v>13.577944179714089</v>
      </c>
      <c r="CI547" s="6">
        <f>VLOOKUP(Table1[[#This Row],[Reference]],metron,23,FALSE)</f>
        <v>1.4276913099870301</v>
      </c>
      <c r="CJ547" s="6">
        <f>VLOOKUP(Table1[[#This Row],[Reference]],metron,24,FALSE)</f>
        <v>1.940985732814527</v>
      </c>
      <c r="CK547" s="6">
        <f>VLOOKUP(Table1[[#This Row],[Reference]],metron,25,FALSE)</f>
        <v>8.0739299610894946E-2</v>
      </c>
      <c r="CL547" s="6">
        <f>VLOOKUP(Table1[[#This Row],[Reference]],metron,26,FALSE)</f>
        <v>0.12743190661478601</v>
      </c>
    </row>
    <row r="548" spans="1:90" hidden="1" x14ac:dyDescent="0.45">
      <c r="A548" t="s">
        <v>1256</v>
      </c>
      <c r="B548">
        <v>1612234800</v>
      </c>
      <c r="C548" s="23" t="s">
        <v>1033</v>
      </c>
      <c r="D548" t="s">
        <v>65</v>
      </c>
      <c r="E548" t="s">
        <v>66</v>
      </c>
      <c r="F548" t="s">
        <v>85</v>
      </c>
      <c r="G548" t="s">
        <v>91</v>
      </c>
      <c r="H548" t="s">
        <v>133</v>
      </c>
      <c r="I548">
        <f>MROUND(Table1[[#This Row],[ProbH]]*100,2)/100</f>
        <v>0.62</v>
      </c>
      <c r="J548">
        <f>1/Table1[[#This Row],[odds_ft_home_team_win]]-Table1[[#This Row],[Margin]]</f>
        <v>0.6202647565773548</v>
      </c>
      <c r="K548">
        <f>1/Table1[[#This Row],[odds_ft_draw]]-Table1[[#This Row],[Margin]]</f>
        <v>0.2448867099664315</v>
      </c>
      <c r="L548">
        <f>1/Table1[[#This Row],[odds_ft_away_team_win]]-Table1[[#This Row],[Margin]]</f>
        <v>0.1348485334562137</v>
      </c>
      <c r="M548">
        <v>4</v>
      </c>
      <c r="N548">
        <v>2.67</v>
      </c>
      <c r="O548">
        <v>0.3</v>
      </c>
      <c r="P548">
        <v>2.29</v>
      </c>
      <c r="Q548">
        <v>0.35</v>
      </c>
      <c r="R548" t="str" cm="1">
        <f t="array" ref="R5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8">
        <v>3</v>
      </c>
      <c r="T548">
        <v>1</v>
      </c>
      <c r="U548">
        <v>4</v>
      </c>
      <c r="V548">
        <v>0</v>
      </c>
      <c r="W548">
        <v>0</v>
      </c>
      <c r="X548">
        <v>0</v>
      </c>
      <c r="Y548" t="s">
        <v>1034</v>
      </c>
      <c r="Z548">
        <v>74</v>
      </c>
      <c r="AA548">
        <v>4</v>
      </c>
      <c r="AB548">
        <v>2</v>
      </c>
      <c r="AC548">
        <v>3</v>
      </c>
      <c r="AD548">
        <v>0</v>
      </c>
      <c r="AE548">
        <v>3</v>
      </c>
      <c r="AF548">
        <v>0</v>
      </c>
      <c r="AG548">
        <v>1</v>
      </c>
      <c r="AH548">
        <v>2</v>
      </c>
      <c r="AI548">
        <v>2</v>
      </c>
      <c r="AJ548">
        <v>1</v>
      </c>
      <c r="AK548">
        <v>13</v>
      </c>
      <c r="AL548">
        <v>7</v>
      </c>
      <c r="AM548">
        <v>7</v>
      </c>
      <c r="AN548">
        <v>2</v>
      </c>
      <c r="AO548">
        <v>6</v>
      </c>
      <c r="AP548">
        <v>5</v>
      </c>
      <c r="AQ548">
        <v>10</v>
      </c>
      <c r="AR548">
        <v>16</v>
      </c>
      <c r="AS548">
        <v>71</v>
      </c>
      <c r="AT548">
        <v>29</v>
      </c>
      <c r="AU548">
        <v>1.58</v>
      </c>
      <c r="AV548">
        <v>0.86</v>
      </c>
      <c r="AW548">
        <v>2.5299999999999998</v>
      </c>
      <c r="AX548">
        <v>50</v>
      </c>
      <c r="AY548">
        <v>78</v>
      </c>
      <c r="AZ548">
        <v>56</v>
      </c>
      <c r="BA548">
        <v>14</v>
      </c>
      <c r="BB548">
        <v>9</v>
      </c>
      <c r="BC548">
        <v>28</v>
      </c>
      <c r="BD548">
        <v>73</v>
      </c>
      <c r="BE548">
        <v>43</v>
      </c>
      <c r="BF548">
        <v>79</v>
      </c>
      <c r="BG548">
        <v>7.93</v>
      </c>
      <c r="BH548">
        <v>4.2</v>
      </c>
      <c r="BI548">
        <v>1.54</v>
      </c>
      <c r="BJ548">
        <v>3.65</v>
      </c>
      <c r="BK548">
        <v>6.1</v>
      </c>
      <c r="BL548">
        <f>(1/Table1[[#This Row],[odds_ft_home_team_win]]+1/Table1[[#This Row],[odds_ft_draw]]+1/Table1[[#This Row],[odds_ft_away_team_win]]-1)/3</f>
        <v>2.9085892773294503E-2</v>
      </c>
      <c r="BM548">
        <v>1.22</v>
      </c>
      <c r="BN548">
        <v>1.83</v>
      </c>
      <c r="BO548">
        <v>2.85</v>
      </c>
      <c r="BP548">
        <v>5.25</v>
      </c>
      <c r="BQ548">
        <v>1.74</v>
      </c>
      <c r="BR548">
        <v>2</v>
      </c>
      <c r="BS548" t="s">
        <v>128</v>
      </c>
      <c r="BT548">
        <f>VLOOKUP(Table1[[#This Row],[Reference]],metron,8,FALSE)</f>
        <v>2.1234388909289978</v>
      </c>
      <c r="BU548">
        <f>VLOOKUP(Table1[[#This Row],[Reference]],metron,9,FALSE)</f>
        <v>0.63925141338926716</v>
      </c>
      <c r="BV548">
        <f>VLOOKUP(Table1[[#This Row],[Reference]],metron,10,FALSE)</f>
        <v>2.7366666666666664</v>
      </c>
      <c r="BW548">
        <f>VLOOKUP(Table1[[#This Row],[Reference]],metron,11,FALSE)</f>
        <v>1.8681481481481479</v>
      </c>
      <c r="BX548">
        <f>VLOOKUP(Table1[[#This Row],[Reference]],metron,12,FALSE)</f>
        <v>0.86851851851851847</v>
      </c>
      <c r="BY548" s="6">
        <f>VLOOKUP(Table1[[#This Row],[Reference]],metron,13,FALSE)</f>
        <v>0.81333333333333335</v>
      </c>
      <c r="BZ548" s="6">
        <f>VLOOKUP(Table1[[#This Row],[Reference]],metron,14,FALSE)</f>
        <v>0.38925925925925919</v>
      </c>
      <c r="CA548" s="6">
        <f>VLOOKUP(Table1[[#This Row],[Reference]],metron,15,FALSE)</f>
        <v>14.53422724064926</v>
      </c>
      <c r="CB548" s="6">
        <f>VLOOKUP(Table1[[#This Row],[Reference]],metron,16,FALSE)</f>
        <v>8.7882851093860275</v>
      </c>
      <c r="CC548" s="6">
        <f>VLOOKUP(Table1[[#This Row],[Reference]],metron,17,FALSE)</f>
        <v>6.3007953723788868</v>
      </c>
      <c r="CD548" s="6">
        <f>VLOOKUP(Table1[[#This Row],[Reference]],metron,18,FALSE)</f>
        <v>3.681851048445409</v>
      </c>
      <c r="CE548" s="6">
        <f>VLOOKUP(Table1[[#This Row],[Reference]],metron,19,FALSE)</f>
        <v>8.2334318682703724</v>
      </c>
      <c r="CF548" s="6">
        <f>VLOOKUP(Table1[[#This Row],[Reference]],metron,20,FALSE)</f>
        <v>5.106434060940618</v>
      </c>
      <c r="CG548" s="6">
        <f>VLOOKUP(Table1[[#This Row],[Reference]],metron,21,FALSE)</f>
        <v>12.32150615496017</v>
      </c>
      <c r="CH548" s="6">
        <f>VLOOKUP(Table1[[#This Row],[Reference]],metron,22,FALSE)</f>
        <v>13.337436640115859</v>
      </c>
      <c r="CI548" s="6">
        <f>VLOOKUP(Table1[[#This Row],[Reference]],metron,23,FALSE)</f>
        <v>1.346101231190151</v>
      </c>
      <c r="CJ548" s="6">
        <f>VLOOKUP(Table1[[#This Row],[Reference]],metron,24,FALSE)</f>
        <v>1.995212038303694</v>
      </c>
      <c r="CK548" s="6">
        <f>VLOOKUP(Table1[[#This Row],[Reference]],metron,25,FALSE)</f>
        <v>6.1559507523939808E-2</v>
      </c>
      <c r="CL548" s="6">
        <f>VLOOKUP(Table1[[#This Row],[Reference]],metron,26,FALSE)</f>
        <v>0.13201094391244869</v>
      </c>
    </row>
    <row r="549" spans="1:90" hidden="1" x14ac:dyDescent="0.45">
      <c r="A549" t="s">
        <v>1256</v>
      </c>
      <c r="B549">
        <v>1612321200</v>
      </c>
      <c r="C549" s="23" t="s">
        <v>1035</v>
      </c>
      <c r="D549" t="s">
        <v>65</v>
      </c>
      <c r="E549" t="s">
        <v>66</v>
      </c>
      <c r="F549" t="s">
        <v>102</v>
      </c>
      <c r="G549" t="s">
        <v>101</v>
      </c>
      <c r="H549" t="s">
        <v>184</v>
      </c>
      <c r="I549">
        <f>MROUND(Table1[[#This Row],[ProbH]]*100,2)/100</f>
        <v>0.22</v>
      </c>
      <c r="J549">
        <f>1/Table1[[#This Row],[odds_ft_home_team_win]]-Table1[[#This Row],[Margin]]</f>
        <v>0.21910442669694516</v>
      </c>
      <c r="K549">
        <f>1/Table1[[#This Row],[odds_ft_draw]]-Table1[[#This Row],[Margin]]</f>
        <v>0.26799564373902657</v>
      </c>
      <c r="L549">
        <f>1/Table1[[#This Row],[odds_ft_away_team_win]]-Table1[[#This Row],[Margin]]</f>
        <v>0.51289992956402841</v>
      </c>
      <c r="M549">
        <v>4</v>
      </c>
      <c r="N549">
        <v>1.0900000000000001</v>
      </c>
      <c r="O549">
        <v>1.7</v>
      </c>
      <c r="P549">
        <v>1.5</v>
      </c>
      <c r="Q549">
        <v>1.39</v>
      </c>
      <c r="R549" t="str" cm="1">
        <f t="array" ref="R5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AA549">
        <v>2</v>
      </c>
      <c r="AB549">
        <v>8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11</v>
      </c>
      <c r="AL549">
        <v>15</v>
      </c>
      <c r="AM549">
        <v>4</v>
      </c>
      <c r="AN549">
        <v>4</v>
      </c>
      <c r="AO549">
        <v>7</v>
      </c>
      <c r="AP549">
        <v>11</v>
      </c>
      <c r="AQ549">
        <v>14</v>
      </c>
      <c r="AR549">
        <v>12</v>
      </c>
      <c r="AS549">
        <v>48</v>
      </c>
      <c r="AT549">
        <v>52</v>
      </c>
      <c r="AU549">
        <v>1.22</v>
      </c>
      <c r="AV549">
        <v>1.55</v>
      </c>
      <c r="AW549">
        <v>2.76</v>
      </c>
      <c r="AX549">
        <v>72</v>
      </c>
      <c r="AY549">
        <v>82</v>
      </c>
      <c r="AZ549">
        <v>53</v>
      </c>
      <c r="BA549">
        <v>24</v>
      </c>
      <c r="BB549">
        <v>14</v>
      </c>
      <c r="BC549">
        <v>48</v>
      </c>
      <c r="BD549">
        <v>77</v>
      </c>
      <c r="BE549">
        <v>38</v>
      </c>
      <c r="BF549">
        <v>72</v>
      </c>
      <c r="BG549">
        <v>9.86</v>
      </c>
      <c r="BH549">
        <v>4.12</v>
      </c>
      <c r="BI549">
        <v>4.1500000000000004</v>
      </c>
      <c r="BJ549">
        <v>3.45</v>
      </c>
      <c r="BK549">
        <v>1.87</v>
      </c>
      <c r="BL549">
        <f>(1/Table1[[#This Row],[odds_ft_home_team_win]]+1/Table1[[#This Row],[odds_ft_draw]]+1/Table1[[#This Row],[odds_ft_away_team_win]]-1)/3</f>
        <v>2.1859428724741559E-2</v>
      </c>
      <c r="BM549">
        <v>1.31</v>
      </c>
      <c r="BN549">
        <v>1.87</v>
      </c>
      <c r="BO549">
        <v>3</v>
      </c>
      <c r="BP549">
        <v>5.5</v>
      </c>
      <c r="BQ549">
        <v>1.74</v>
      </c>
      <c r="BR549">
        <v>2</v>
      </c>
      <c r="BS549" t="s">
        <v>124</v>
      </c>
      <c r="BT549">
        <f>VLOOKUP(Table1[[#This Row],[Reference]],metron,8,FALSE)</f>
        <v>0.95722909461760497</v>
      </c>
      <c r="BU549">
        <f>VLOOKUP(Table1[[#This Row],[Reference]],metron,9,FALSE)</f>
        <v>1.7723830340511415</v>
      </c>
      <c r="BV549">
        <f>VLOOKUP(Table1[[#This Row],[Reference]],metron,10,FALSE)</f>
        <v>2.7115135834411381</v>
      </c>
      <c r="BW549">
        <f>VLOOKUP(Table1[[#This Row],[Reference]],metron,11,FALSE)</f>
        <v>1.0633893919793009</v>
      </c>
      <c r="BX549">
        <f>VLOOKUP(Table1[[#This Row],[Reference]],metron,12,FALSE)</f>
        <v>1.648124191461837</v>
      </c>
      <c r="BY549" s="6">
        <f>VLOOKUP(Table1[[#This Row],[Reference]],metron,13,FALSE)</f>
        <v>0.47218628719275552</v>
      </c>
      <c r="BZ549" s="6">
        <f>VLOOKUP(Table1[[#This Row],[Reference]],metron,14,FALSE)</f>
        <v>0.70181112548512292</v>
      </c>
      <c r="CA549" s="6">
        <f>VLOOKUP(Table1[[#This Row],[Reference]],metron,15,FALSE)</f>
        <v>10.38488783943329</v>
      </c>
      <c r="CB549" s="6">
        <f>VLOOKUP(Table1[[#This Row],[Reference]],metron,16,FALSE)</f>
        <v>12.349468713105081</v>
      </c>
      <c r="CC549" s="6">
        <f>VLOOKUP(Table1[[#This Row],[Reference]],metron,17,FALSE)</f>
        <v>4.0990453460620522</v>
      </c>
      <c r="CD549" s="6">
        <f>VLOOKUP(Table1[[#This Row],[Reference]],metron,18,FALSE)</f>
        <v>5.2720763723150359</v>
      </c>
      <c r="CE549" s="6">
        <f>VLOOKUP(Table1[[#This Row],[Reference]],metron,19,FALSE)</f>
        <v>6.2858424933712378</v>
      </c>
      <c r="CF549" s="6">
        <f>VLOOKUP(Table1[[#This Row],[Reference]],metron,20,FALSE)</f>
        <v>7.0773923407900448</v>
      </c>
      <c r="CG549" s="6">
        <f>VLOOKUP(Table1[[#This Row],[Reference]],metron,21,FALSE)</f>
        <v>13.235083532219569</v>
      </c>
      <c r="CH549" s="6">
        <f>VLOOKUP(Table1[[#This Row],[Reference]],metron,22,FALSE)</f>
        <v>13.05131264916468</v>
      </c>
      <c r="CI549" s="6">
        <f>VLOOKUP(Table1[[#This Row],[Reference]],metron,23,FALSE)</f>
        <v>1.834292289988493</v>
      </c>
      <c r="CJ549" s="6">
        <f>VLOOKUP(Table1[[#This Row],[Reference]],metron,24,FALSE)</f>
        <v>1.806674338319908</v>
      </c>
      <c r="CK549" s="6">
        <f>VLOOKUP(Table1[[#This Row],[Reference]],metron,25,FALSE)</f>
        <v>0.1196777905638665</v>
      </c>
      <c r="CL549" s="6">
        <f>VLOOKUP(Table1[[#This Row],[Reference]],metron,26,FALSE)</f>
        <v>0.1185270425776755</v>
      </c>
    </row>
    <row r="550" spans="1:90" x14ac:dyDescent="0.45">
      <c r="A550" t="s">
        <v>1256</v>
      </c>
      <c r="B550">
        <v>1612486800</v>
      </c>
      <c r="C550" s="23" t="s">
        <v>1036</v>
      </c>
      <c r="D550" t="s">
        <v>65</v>
      </c>
      <c r="E550" t="s">
        <v>66</v>
      </c>
      <c r="F550" t="s">
        <v>91</v>
      </c>
      <c r="G550" t="s">
        <v>106</v>
      </c>
      <c r="H550" t="s">
        <v>98</v>
      </c>
      <c r="I550">
        <f>MROUND(Table1[[#This Row],[ProbH]]*100,2)/100</f>
        <v>0.4</v>
      </c>
      <c r="J550">
        <f>1/Table1[[#This Row],[odds_ft_home_team_win]]-Table1[[#This Row],[Margin]]</f>
        <v>0.40146282374915626</v>
      </c>
      <c r="K550">
        <f>1/Table1[[#This Row],[odds_ft_draw]]-Table1[[#This Row],[Margin]]</f>
        <v>0.28362321654784695</v>
      </c>
      <c r="L550">
        <f>1/Table1[[#This Row],[odds_ft_away_team_win]]-Table1[[#This Row],[Margin]]</f>
        <v>0.31491395970299685</v>
      </c>
      <c r="M550">
        <v>5</v>
      </c>
      <c r="N550">
        <v>1.1000000000000001</v>
      </c>
      <c r="O550">
        <v>0.5</v>
      </c>
      <c r="P550">
        <v>1</v>
      </c>
      <c r="Q550">
        <v>0.47</v>
      </c>
      <c r="R550" t="str" cm="1">
        <f t="array" ref="R5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50">
        <v>2</v>
      </c>
      <c r="T550">
        <v>2</v>
      </c>
      <c r="U550">
        <v>4</v>
      </c>
      <c r="V550">
        <v>3</v>
      </c>
      <c r="W550">
        <v>1</v>
      </c>
      <c r="X550">
        <v>2</v>
      </c>
      <c r="Y550" t="s">
        <v>1037</v>
      </c>
      <c r="Z550" t="s">
        <v>1038</v>
      </c>
      <c r="AA550">
        <v>6</v>
      </c>
      <c r="AB550">
        <v>5</v>
      </c>
      <c r="AC550">
        <v>3</v>
      </c>
      <c r="AD550">
        <v>0</v>
      </c>
      <c r="AE550">
        <v>4</v>
      </c>
      <c r="AF550">
        <v>0</v>
      </c>
      <c r="AG550">
        <v>0</v>
      </c>
      <c r="AH550">
        <v>3</v>
      </c>
      <c r="AI550">
        <v>0</v>
      </c>
      <c r="AJ550">
        <v>4</v>
      </c>
      <c r="AK550">
        <v>18</v>
      </c>
      <c r="AL550">
        <v>9</v>
      </c>
      <c r="AM550">
        <v>5</v>
      </c>
      <c r="AN550">
        <v>3</v>
      </c>
      <c r="AO550">
        <v>13</v>
      </c>
      <c r="AP550">
        <v>6</v>
      </c>
      <c r="AQ550">
        <v>13</v>
      </c>
      <c r="AR550">
        <v>16</v>
      </c>
      <c r="AS550">
        <v>53</v>
      </c>
      <c r="AT550">
        <v>47</v>
      </c>
      <c r="AU550">
        <v>1.95</v>
      </c>
      <c r="AV550">
        <v>0.95</v>
      </c>
      <c r="AW550">
        <v>2.65</v>
      </c>
      <c r="AX550">
        <v>50</v>
      </c>
      <c r="AY550">
        <v>85</v>
      </c>
      <c r="AZ550">
        <v>55</v>
      </c>
      <c r="BA550">
        <v>25</v>
      </c>
      <c r="BB550">
        <v>5</v>
      </c>
      <c r="BC550">
        <v>40</v>
      </c>
      <c r="BD550">
        <v>95</v>
      </c>
      <c r="BE550">
        <v>35</v>
      </c>
      <c r="BF550">
        <v>60</v>
      </c>
      <c r="BG550">
        <v>9.1</v>
      </c>
      <c r="BH550">
        <v>5.9</v>
      </c>
      <c r="BI550">
        <v>2.35</v>
      </c>
      <c r="BJ550">
        <v>3.25</v>
      </c>
      <c r="BK550">
        <v>2.95</v>
      </c>
      <c r="BL550">
        <f>(1/Table1[[#This Row],[odds_ft_home_team_win]]+1/Table1[[#This Row],[odds_ft_draw]]+1/Table1[[#This Row],[odds_ft_away_team_win]]-1)/3</f>
        <v>2.4069091144460764E-2</v>
      </c>
      <c r="BM550">
        <v>1.37</v>
      </c>
      <c r="BN550">
        <v>1.95</v>
      </c>
      <c r="BO550">
        <v>3.35</v>
      </c>
      <c r="BP550">
        <v>6.5</v>
      </c>
      <c r="BQ550">
        <v>1.8</v>
      </c>
      <c r="BR550">
        <v>1.95</v>
      </c>
      <c r="BS550" t="s">
        <v>144</v>
      </c>
      <c r="BT550">
        <f>VLOOKUP(Table1[[#This Row],[Reference]],metron,8,FALSE)</f>
        <v>1.5181603563290151</v>
      </c>
      <c r="BU550">
        <f>VLOOKUP(Table1[[#This Row],[Reference]],metron,9,FALSE)</f>
        <v>1.1952730370775513</v>
      </c>
      <c r="BV550">
        <f>VLOOKUP(Table1[[#This Row],[Reference]],metron,10,FALSE)</f>
        <v>2.4956155335383219</v>
      </c>
      <c r="BW550">
        <f>VLOOKUP(Table1[[#This Row],[Reference]],metron,11,FALSE)</f>
        <v>1.344038264434575</v>
      </c>
      <c r="BX550">
        <f>VLOOKUP(Table1[[#This Row],[Reference]],metron,12,FALSE)</f>
        <v>1.1515772691037469</v>
      </c>
      <c r="BY550" s="6">
        <f>VLOOKUP(Table1[[#This Row],[Reference]],metron,13,FALSE)</f>
        <v>0.59936225942375587</v>
      </c>
      <c r="BZ550" s="6">
        <f>VLOOKUP(Table1[[#This Row],[Reference]],metron,14,FALSE)</f>
        <v>0.50723152260562576</v>
      </c>
      <c r="CA550" s="6">
        <f>VLOOKUP(Table1[[#This Row],[Reference]],metron,15,FALSE)</f>
        <v>11.99278846153846</v>
      </c>
      <c r="CB550" s="6">
        <f>VLOOKUP(Table1[[#This Row],[Reference]],metron,16,FALSE)</f>
        <v>10.0277534965035</v>
      </c>
      <c r="CC550" s="6">
        <f>VLOOKUP(Table1[[#This Row],[Reference]],metron,17,FALSE)</f>
        <v>5.2857459543338514</v>
      </c>
      <c r="CD550" s="6">
        <f>VLOOKUP(Table1[[#This Row],[Reference]],metron,18,FALSE)</f>
        <v>4.4067834183107957</v>
      </c>
      <c r="CE550" s="6">
        <f>VLOOKUP(Table1[[#This Row],[Reference]],metron,19,FALSE)</f>
        <v>6.7070425072046085</v>
      </c>
      <c r="CF550" s="6">
        <f>VLOOKUP(Table1[[#This Row],[Reference]],metron,20,FALSE)</f>
        <v>5.6209700781927046</v>
      </c>
      <c r="CG550" s="6">
        <f>VLOOKUP(Table1[[#This Row],[Reference]],metron,21,FALSE)</f>
        <v>13.04463690872752</v>
      </c>
      <c r="CH550" s="6">
        <f>VLOOKUP(Table1[[#This Row],[Reference]],metron,22,FALSE)</f>
        <v>13.49811236953142</v>
      </c>
      <c r="CI550" s="6">
        <f>VLOOKUP(Table1[[#This Row],[Reference]],metron,23,FALSE)</f>
        <v>1.5836526181353769</v>
      </c>
      <c r="CJ550" s="6">
        <f>VLOOKUP(Table1[[#This Row],[Reference]],metron,24,FALSE)</f>
        <v>1.8744146445295871</v>
      </c>
      <c r="CK550" s="6">
        <f>VLOOKUP(Table1[[#This Row],[Reference]],metron,25,FALSE)</f>
        <v>8.5994040017028525E-2</v>
      </c>
      <c r="CL550" s="6">
        <f>VLOOKUP(Table1[[#This Row],[Reference]],metron,26,FALSE)</f>
        <v>0.13452532992762881</v>
      </c>
    </row>
    <row r="551" spans="1:90" x14ac:dyDescent="0.45">
      <c r="A551" t="s">
        <v>1256</v>
      </c>
      <c r="B551">
        <v>1612494000</v>
      </c>
      <c r="C551" s="23" t="s">
        <v>1039</v>
      </c>
      <c r="D551" t="s">
        <v>65</v>
      </c>
      <c r="E551" t="s">
        <v>66</v>
      </c>
      <c r="F551" t="s">
        <v>67</v>
      </c>
      <c r="G551" t="s">
        <v>84</v>
      </c>
      <c r="H551" t="s">
        <v>103</v>
      </c>
      <c r="I551">
        <f>MROUND(Table1[[#This Row],[ProbH]]*100,2)/100</f>
        <v>0.44</v>
      </c>
      <c r="J551">
        <f>1/Table1[[#This Row],[odds_ft_home_team_win]]-Table1[[#This Row],[Margin]]</f>
        <v>0.44327102941393071</v>
      </c>
      <c r="K551">
        <f>1/Table1[[#This Row],[odds_ft_draw]]-Table1[[#This Row],[Margin]]</f>
        <v>0.25728720192066928</v>
      </c>
      <c r="L551">
        <f>1/Table1[[#This Row],[odds_ft_away_team_win]]-Table1[[#This Row],[Margin]]</f>
        <v>0.29944176866540001</v>
      </c>
      <c r="M551">
        <v>5</v>
      </c>
      <c r="N551">
        <v>1.7</v>
      </c>
      <c r="O551">
        <v>1.5</v>
      </c>
      <c r="P551">
        <v>1.82</v>
      </c>
      <c r="Q551">
        <v>1.38</v>
      </c>
      <c r="R551" t="str" cm="1">
        <f t="array" ref="R5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1">
        <v>3</v>
      </c>
      <c r="T551">
        <v>1</v>
      </c>
      <c r="U551">
        <v>4</v>
      </c>
      <c r="V551">
        <v>2</v>
      </c>
      <c r="W551">
        <v>2</v>
      </c>
      <c r="X551">
        <v>0</v>
      </c>
      <c r="Y551" t="s">
        <v>1040</v>
      </c>
      <c r="Z551">
        <v>80</v>
      </c>
      <c r="AA551">
        <v>3</v>
      </c>
      <c r="AB551">
        <v>14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10</v>
      </c>
      <c r="AL551">
        <v>24</v>
      </c>
      <c r="AM551">
        <v>5</v>
      </c>
      <c r="AN551">
        <v>7</v>
      </c>
      <c r="AO551">
        <v>5</v>
      </c>
      <c r="AP551">
        <v>17</v>
      </c>
      <c r="AQ551">
        <v>12</v>
      </c>
      <c r="AR551">
        <v>14</v>
      </c>
      <c r="AS551">
        <v>34</v>
      </c>
      <c r="AT551">
        <v>66</v>
      </c>
      <c r="AU551">
        <v>1.17</v>
      </c>
      <c r="AV551">
        <v>2.4700000000000002</v>
      </c>
      <c r="AW551">
        <v>2.08</v>
      </c>
      <c r="AX551">
        <v>43</v>
      </c>
      <c r="AY551">
        <v>56</v>
      </c>
      <c r="AZ551">
        <v>29</v>
      </c>
      <c r="BA551">
        <v>20</v>
      </c>
      <c r="BB551">
        <v>15</v>
      </c>
      <c r="BC551">
        <v>14</v>
      </c>
      <c r="BD551">
        <v>56</v>
      </c>
      <c r="BE551">
        <v>39</v>
      </c>
      <c r="BF551">
        <v>64</v>
      </c>
      <c r="BG551">
        <v>10.85</v>
      </c>
      <c r="BH551">
        <v>3.82</v>
      </c>
      <c r="BI551">
        <v>2.12</v>
      </c>
      <c r="BJ551">
        <v>3.5</v>
      </c>
      <c r="BK551">
        <v>3.05</v>
      </c>
      <c r="BL551">
        <f>(1/Table1[[#This Row],[odds_ft_home_team_win]]+1/Table1[[#This Row],[odds_ft_draw]]+1/Table1[[#This Row],[odds_ft_away_team_win]]-1)/3</f>
        <v>2.8427083793616397E-2</v>
      </c>
      <c r="BM551">
        <v>1.33</v>
      </c>
      <c r="BN551">
        <v>2.02</v>
      </c>
      <c r="BO551">
        <v>3.45</v>
      </c>
      <c r="BP551">
        <v>7</v>
      </c>
      <c r="BQ551">
        <v>1.91</v>
      </c>
      <c r="BR551">
        <v>1.83</v>
      </c>
      <c r="BS551" t="s">
        <v>70</v>
      </c>
      <c r="BT551">
        <f>VLOOKUP(Table1[[#This Row],[Reference]],metron,8,FALSE)</f>
        <v>1.6395459745305552</v>
      </c>
      <c r="BU551">
        <f>VLOOKUP(Table1[[#This Row],[Reference]],metron,9,FALSE)</f>
        <v>1.0758429359324786</v>
      </c>
      <c r="BV551">
        <f>VLOOKUP(Table1[[#This Row],[Reference]],metron,10,FALSE)</f>
        <v>2.4807646356033461</v>
      </c>
      <c r="BW551">
        <f>VLOOKUP(Table1[[#This Row],[Reference]],metron,11,FALSE)</f>
        <v>1.4140979689366791</v>
      </c>
      <c r="BX551">
        <f>VLOOKUP(Table1[[#This Row],[Reference]],metron,12,FALSE)</f>
        <v>1.0666666666666671</v>
      </c>
      <c r="BY551" s="6">
        <f>VLOOKUP(Table1[[#This Row],[Reference]],metron,13,FALSE)</f>
        <v>0.62712066905615294</v>
      </c>
      <c r="BZ551" s="6">
        <f>VLOOKUP(Table1[[#This Row],[Reference]],metron,14,FALSE)</f>
        <v>0.46009557945041818</v>
      </c>
      <c r="CA551" s="6">
        <f>VLOOKUP(Table1[[#This Row],[Reference]],metron,15,FALSE)</f>
        <v>12.56969280146722</v>
      </c>
      <c r="CB551" s="6">
        <f>VLOOKUP(Table1[[#This Row],[Reference]],metron,16,FALSE)</f>
        <v>9.8695552498853729</v>
      </c>
      <c r="CC551" s="6">
        <f>VLOOKUP(Table1[[#This Row],[Reference]],metron,17,FALSE)</f>
        <v>5.2754256787850897</v>
      </c>
      <c r="CD551" s="6">
        <f>VLOOKUP(Table1[[#This Row],[Reference]],metron,18,FALSE)</f>
        <v>4.1279337321675103</v>
      </c>
      <c r="CE551" s="6">
        <f>VLOOKUP(Table1[[#This Row],[Reference]],metron,19,FALSE)</f>
        <v>7.2942671226821298</v>
      </c>
      <c r="CF551" s="6">
        <f>VLOOKUP(Table1[[#This Row],[Reference]],metron,20,FALSE)</f>
        <v>5.7416215177178627</v>
      </c>
      <c r="CG551" s="6">
        <f>VLOOKUP(Table1[[#This Row],[Reference]],metron,21,FALSE)</f>
        <v>12.897246007868549</v>
      </c>
      <c r="CH551" s="6">
        <f>VLOOKUP(Table1[[#This Row],[Reference]],metron,22,FALSE)</f>
        <v>13.507058551261281</v>
      </c>
      <c r="CI551" s="6">
        <f>VLOOKUP(Table1[[#This Row],[Reference]],metron,23,FALSE)</f>
        <v>1.576522702104098</v>
      </c>
      <c r="CJ551" s="6">
        <f>VLOOKUP(Table1[[#This Row],[Reference]],metron,24,FALSE)</f>
        <v>1.917165005537099</v>
      </c>
      <c r="CK551" s="6">
        <f>VLOOKUP(Table1[[#This Row],[Reference]],metron,25,FALSE)</f>
        <v>8.4385382059800659E-2</v>
      </c>
      <c r="CL551" s="6">
        <f>VLOOKUP(Table1[[#This Row],[Reference]],metron,26,FALSE)</f>
        <v>0.1233665559246955</v>
      </c>
    </row>
    <row r="552" spans="1:90" x14ac:dyDescent="0.45">
      <c r="A552" t="s">
        <v>1256</v>
      </c>
      <c r="B552">
        <v>1612582200</v>
      </c>
      <c r="C552" s="23" t="s">
        <v>1041</v>
      </c>
      <c r="D552" t="s">
        <v>65</v>
      </c>
      <c r="E552" t="s">
        <v>66</v>
      </c>
      <c r="F552" t="s">
        <v>72</v>
      </c>
      <c r="G552" t="s">
        <v>112</v>
      </c>
      <c r="H552" t="s">
        <v>138</v>
      </c>
      <c r="I552">
        <f>MROUND(Table1[[#This Row],[ProbH]]*100,2)/100</f>
        <v>0.26</v>
      </c>
      <c r="J552">
        <f>1/Table1[[#This Row],[odds_ft_home_team_win]]-Table1[[#This Row],[Margin]]</f>
        <v>0.25746465281348996</v>
      </c>
      <c r="K552">
        <f>1/Table1[[#This Row],[odds_ft_draw]]-Table1[[#This Row],[Margin]]</f>
        <v>0.29022468557352277</v>
      </c>
      <c r="L552">
        <f>1/Table1[[#This Row],[odds_ft_away_team_win]]-Table1[[#This Row],[Margin]]</f>
        <v>0.45231066161298716</v>
      </c>
      <c r="M552">
        <v>5</v>
      </c>
      <c r="N552">
        <v>1.6</v>
      </c>
      <c r="O552">
        <v>1.46</v>
      </c>
      <c r="P552">
        <v>1.29</v>
      </c>
      <c r="Q552">
        <v>1.77</v>
      </c>
      <c r="R552" t="str" cm="1">
        <f t="array" ref="R5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52">
        <v>0</v>
      </c>
      <c r="T552">
        <v>2</v>
      </c>
      <c r="U552">
        <v>2</v>
      </c>
      <c r="V552">
        <v>2</v>
      </c>
      <c r="W552">
        <v>0</v>
      </c>
      <c r="X552">
        <v>2</v>
      </c>
      <c r="Z552" t="s">
        <v>1042</v>
      </c>
      <c r="AA552">
        <v>1</v>
      </c>
      <c r="AB552">
        <v>6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13</v>
      </c>
      <c r="AL552">
        <v>18</v>
      </c>
      <c r="AM552">
        <v>5</v>
      </c>
      <c r="AN552">
        <v>5</v>
      </c>
      <c r="AO552">
        <v>8</v>
      </c>
      <c r="AP552">
        <v>13</v>
      </c>
      <c r="AQ552">
        <v>13</v>
      </c>
      <c r="AR552">
        <v>23</v>
      </c>
      <c r="AS552">
        <v>55</v>
      </c>
      <c r="AT552">
        <v>45</v>
      </c>
      <c r="AU552">
        <v>1.45</v>
      </c>
      <c r="AV552">
        <v>1.82</v>
      </c>
      <c r="AW552">
        <v>2.34</v>
      </c>
      <c r="AX552">
        <v>39</v>
      </c>
      <c r="AY552">
        <v>66</v>
      </c>
      <c r="AZ552">
        <v>39</v>
      </c>
      <c r="BA552">
        <v>21</v>
      </c>
      <c r="BB552">
        <v>9</v>
      </c>
      <c r="BC552">
        <v>22</v>
      </c>
      <c r="BD552">
        <v>71</v>
      </c>
      <c r="BE552">
        <v>31</v>
      </c>
      <c r="BF552">
        <v>86</v>
      </c>
      <c r="BG552">
        <v>10.25</v>
      </c>
      <c r="BH552">
        <v>4.6399999999999997</v>
      </c>
      <c r="BI552">
        <v>3.7</v>
      </c>
      <c r="BJ552">
        <v>3.3</v>
      </c>
      <c r="BK552">
        <v>2.15</v>
      </c>
      <c r="BL552">
        <f>(1/Table1[[#This Row],[odds_ft_home_team_win]]+1/Table1[[#This Row],[odds_ft_draw]]+1/Table1[[#This Row],[odds_ft_away_team_win]]-1)/3</f>
        <v>1.2805617456780253E-2</v>
      </c>
      <c r="BM552">
        <v>1.33</v>
      </c>
      <c r="BN552">
        <v>2</v>
      </c>
      <c r="BO552">
        <v>3.75</v>
      </c>
      <c r="BP552">
        <v>6.75</v>
      </c>
      <c r="BQ552">
        <v>1.91</v>
      </c>
      <c r="BR552">
        <v>1.83</v>
      </c>
      <c r="BS552" t="s">
        <v>76</v>
      </c>
      <c r="BT552">
        <f>VLOOKUP(Table1[[#This Row],[Reference]],metron,8,FALSE)</f>
        <v>1.0905313574236399</v>
      </c>
      <c r="BU552">
        <f>VLOOKUP(Table1[[#This Row],[Reference]],metron,9,FALSE)</f>
        <v>1.6289415604939639</v>
      </c>
      <c r="BV552">
        <f>VLOOKUP(Table1[[#This Row],[Reference]],metron,10,FALSE)</f>
        <v>2.569449507838133</v>
      </c>
      <c r="BW552">
        <f>VLOOKUP(Table1[[#This Row],[Reference]],metron,11,FALSE)</f>
        <v>1.0936930368209989</v>
      </c>
      <c r="BX552">
        <f>VLOOKUP(Table1[[#This Row],[Reference]],metron,12,FALSE)</f>
        <v>1.475756471017134</v>
      </c>
      <c r="BY552" s="6">
        <f>VLOOKUP(Table1[[#This Row],[Reference]],metron,13,FALSE)</f>
        <v>0.50018228217280347</v>
      </c>
      <c r="BZ552" s="6">
        <f>VLOOKUP(Table1[[#This Row],[Reference]],metron,14,FALSE)</f>
        <v>0.65220561429092239</v>
      </c>
      <c r="CA552" s="6">
        <f>VLOOKUP(Table1[[#This Row],[Reference]],metron,15,FALSE)</f>
        <v>10.905576679340941</v>
      </c>
      <c r="CB552" s="6">
        <f>VLOOKUP(Table1[[#This Row],[Reference]],metron,16,FALSE)</f>
        <v>12.06463878326996</v>
      </c>
      <c r="CC552" s="6">
        <f>VLOOKUP(Table1[[#This Row],[Reference]],metron,17,FALSE)</f>
        <v>4.2920127795527154</v>
      </c>
      <c r="CD552" s="6">
        <f>VLOOKUP(Table1[[#This Row],[Reference]],metron,18,FALSE)</f>
        <v>5.0095846645367406</v>
      </c>
      <c r="CE552" s="6">
        <f>VLOOKUP(Table1[[#This Row],[Reference]],metron,19,FALSE)</f>
        <v>6.6135638997882253</v>
      </c>
      <c r="CF552" s="6">
        <f>VLOOKUP(Table1[[#This Row],[Reference]],metron,20,FALSE)</f>
        <v>7.055054118733219</v>
      </c>
      <c r="CG552" s="6">
        <f>VLOOKUP(Table1[[#This Row],[Reference]],metron,21,FALSE)</f>
        <v>12.94865211810013</v>
      </c>
      <c r="CH552" s="6">
        <f>VLOOKUP(Table1[[#This Row],[Reference]],metron,22,FALSE)</f>
        <v>13.189345314505781</v>
      </c>
      <c r="CI552" s="6">
        <f>VLOOKUP(Table1[[#This Row],[Reference]],metron,23,FALSE)</f>
        <v>1.771446078431373</v>
      </c>
      <c r="CJ552" s="6">
        <f>VLOOKUP(Table1[[#This Row],[Reference]],metron,24,FALSE)</f>
        <v>1.809436274509804</v>
      </c>
      <c r="CK552" s="6">
        <f>VLOOKUP(Table1[[#This Row],[Reference]],metron,25,FALSE)</f>
        <v>0.1060049019607843</v>
      </c>
      <c r="CL552" s="6">
        <f>VLOOKUP(Table1[[#This Row],[Reference]],metron,26,FALSE)</f>
        <v>9.6813725490196081E-2</v>
      </c>
    </row>
    <row r="553" spans="1:90" x14ac:dyDescent="0.45">
      <c r="A553" t="s">
        <v>1256</v>
      </c>
      <c r="B553">
        <v>1612652400</v>
      </c>
      <c r="C553" s="23" t="s">
        <v>1043</v>
      </c>
      <c r="D553" t="s">
        <v>65</v>
      </c>
      <c r="E553" t="s">
        <v>66</v>
      </c>
      <c r="F553" t="s">
        <v>97</v>
      </c>
      <c r="G553" t="s">
        <v>73</v>
      </c>
      <c r="H553" t="s">
        <v>130</v>
      </c>
      <c r="I553">
        <f>MROUND(Table1[[#This Row],[ProbH]]*100,2)/100</f>
        <v>0.32</v>
      </c>
      <c r="J553">
        <f>1/Table1[[#This Row],[odds_ft_home_team_win]]-Table1[[#This Row],[Margin]]</f>
        <v>0.31626647834274951</v>
      </c>
      <c r="K553">
        <f>1/Table1[[#This Row],[odds_ft_draw]]-Table1[[#This Row],[Margin]]</f>
        <v>0.2897834274952919</v>
      </c>
      <c r="L553">
        <f>1/Table1[[#This Row],[odds_ft_away_team_win]]-Table1[[#This Row],[Margin]]</f>
        <v>0.39395009416195859</v>
      </c>
      <c r="M553">
        <v>5</v>
      </c>
      <c r="N553">
        <v>0.7</v>
      </c>
      <c r="O553">
        <v>0.9</v>
      </c>
      <c r="P553">
        <v>1.21</v>
      </c>
      <c r="Q553">
        <v>0.8</v>
      </c>
      <c r="R553" t="str" cm="1">
        <f t="array" ref="R5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53">
        <v>1</v>
      </c>
      <c r="T553">
        <v>1</v>
      </c>
      <c r="U553">
        <v>2</v>
      </c>
      <c r="V553">
        <v>1</v>
      </c>
      <c r="W553">
        <v>0</v>
      </c>
      <c r="X553">
        <v>1</v>
      </c>
      <c r="Y553" t="s">
        <v>329</v>
      </c>
      <c r="Z553">
        <v>10</v>
      </c>
      <c r="AA553">
        <v>7</v>
      </c>
      <c r="AB553">
        <v>3</v>
      </c>
      <c r="AC553">
        <v>3</v>
      </c>
      <c r="AD553">
        <v>0</v>
      </c>
      <c r="AE553">
        <v>3</v>
      </c>
      <c r="AF553">
        <v>0</v>
      </c>
      <c r="AG553">
        <v>1</v>
      </c>
      <c r="AH553">
        <v>2</v>
      </c>
      <c r="AI553">
        <v>1</v>
      </c>
      <c r="AJ553">
        <v>2</v>
      </c>
      <c r="AK553">
        <v>23</v>
      </c>
      <c r="AL553">
        <v>8</v>
      </c>
      <c r="AM553">
        <v>8</v>
      </c>
      <c r="AN553">
        <v>2</v>
      </c>
      <c r="AO553">
        <v>15</v>
      </c>
      <c r="AP553">
        <v>6</v>
      </c>
      <c r="AQ553">
        <v>13</v>
      </c>
      <c r="AR553">
        <v>16</v>
      </c>
      <c r="AS553">
        <v>56</v>
      </c>
      <c r="AT553">
        <v>44</v>
      </c>
      <c r="AU553">
        <v>2.69</v>
      </c>
      <c r="AV553">
        <v>0.82</v>
      </c>
      <c r="AW553">
        <v>2.1</v>
      </c>
      <c r="AX553">
        <v>45</v>
      </c>
      <c r="AY553">
        <v>70</v>
      </c>
      <c r="AZ553">
        <v>35</v>
      </c>
      <c r="BA553">
        <v>10</v>
      </c>
      <c r="BB553">
        <v>0</v>
      </c>
      <c r="BC553">
        <v>25</v>
      </c>
      <c r="BD553">
        <v>70</v>
      </c>
      <c r="BE553">
        <v>35</v>
      </c>
      <c r="BF553">
        <v>75</v>
      </c>
      <c r="BG553">
        <v>9.8000000000000007</v>
      </c>
      <c r="BH553">
        <v>4.5</v>
      </c>
      <c r="BI553">
        <v>2.95</v>
      </c>
      <c r="BJ553">
        <v>3.2</v>
      </c>
      <c r="BK553">
        <v>2.4</v>
      </c>
      <c r="BL553">
        <f>(1/Table1[[#This Row],[odds_ft_home_team_win]]+1/Table1[[#This Row],[odds_ft_draw]]+1/Table1[[#This Row],[odds_ft_away_team_win]]-1)/3</f>
        <v>2.2716572504708116E-2</v>
      </c>
      <c r="BM553">
        <v>1.43</v>
      </c>
      <c r="BN553">
        <v>2.15</v>
      </c>
      <c r="BO553">
        <v>3.55</v>
      </c>
      <c r="BP553">
        <v>6.75</v>
      </c>
      <c r="BQ553">
        <v>1.95</v>
      </c>
      <c r="BR553">
        <v>1.8</v>
      </c>
      <c r="BS553" t="s">
        <v>136</v>
      </c>
      <c r="BT553">
        <f>VLOOKUP(Table1[[#This Row],[Reference]],metron,8,FALSE)</f>
        <v>1.274681051426811</v>
      </c>
      <c r="BU553">
        <f>VLOOKUP(Table1[[#This Row],[Reference]],metron,9,FALSE)</f>
        <v>1.4392482240810365</v>
      </c>
      <c r="BV553">
        <f>VLOOKUP(Table1[[#This Row],[Reference]],metron,10,FALSE)</f>
        <v>2.5313454284174597</v>
      </c>
      <c r="BW553">
        <f>VLOOKUP(Table1[[#This Row],[Reference]],metron,11,FALSE)</f>
        <v>1.210167055864918</v>
      </c>
      <c r="BX553">
        <f>VLOOKUP(Table1[[#This Row],[Reference]],metron,12,FALSE)</f>
        <v>1.3211783725525419</v>
      </c>
      <c r="BY553" s="6">
        <f>VLOOKUP(Table1[[#This Row],[Reference]],metron,13,FALSE)</f>
        <v>0.53135669362084459</v>
      </c>
      <c r="BZ553" s="6">
        <f>VLOOKUP(Table1[[#This Row],[Reference]],metron,14,FALSE)</f>
        <v>0.55633423180592989</v>
      </c>
      <c r="CA553" s="6">
        <f>VLOOKUP(Table1[[#This Row],[Reference]],metron,15,FALSE)</f>
        <v>11.21109010712035</v>
      </c>
      <c r="CB553" s="6">
        <f>VLOOKUP(Table1[[#This Row],[Reference]],metron,16,FALSE)</f>
        <v>11.01700787401575</v>
      </c>
      <c r="CC553" s="6">
        <f>VLOOKUP(Table1[[#This Row],[Reference]],metron,17,FALSE)</f>
        <v>4.6792332268370611</v>
      </c>
      <c r="CD553" s="6">
        <f>VLOOKUP(Table1[[#This Row],[Reference]],metron,18,FALSE)</f>
        <v>4.7080804854679013</v>
      </c>
      <c r="CE553" s="6">
        <f>VLOOKUP(Table1[[#This Row],[Reference]],metron,19,FALSE)</f>
        <v>6.5318568802832893</v>
      </c>
      <c r="CF553" s="6">
        <f>VLOOKUP(Table1[[#This Row],[Reference]],metron,20,FALSE)</f>
        <v>6.3089273885478487</v>
      </c>
      <c r="CG553" s="6">
        <f>VLOOKUP(Table1[[#This Row],[Reference]],metron,21,FALSE)</f>
        <v>12.72547770700637</v>
      </c>
      <c r="CH553" s="6">
        <f>VLOOKUP(Table1[[#This Row],[Reference]],metron,22,FALSE)</f>
        <v>13.06847133757962</v>
      </c>
      <c r="CI553" s="6">
        <f>VLOOKUP(Table1[[#This Row],[Reference]],metron,23,FALSE)</f>
        <v>1.6902356902356901</v>
      </c>
      <c r="CJ553" s="6">
        <f>VLOOKUP(Table1[[#This Row],[Reference]],metron,24,FALSE)</f>
        <v>1.8050198959289869</v>
      </c>
      <c r="CK553" s="6">
        <f>VLOOKUP(Table1[[#This Row],[Reference]],metron,25,FALSE)</f>
        <v>0.105907560453015</v>
      </c>
      <c r="CL553" s="6">
        <f>VLOOKUP(Table1[[#This Row],[Reference]],metron,26,FALSE)</f>
        <v>0.1141720232629324</v>
      </c>
    </row>
    <row r="554" spans="1:90" x14ac:dyDescent="0.45">
      <c r="A554" t="s">
        <v>1256</v>
      </c>
      <c r="B554">
        <v>1612659600</v>
      </c>
      <c r="C554" s="23" t="s">
        <v>1044</v>
      </c>
      <c r="D554" t="s">
        <v>65</v>
      </c>
      <c r="E554" t="s">
        <v>66</v>
      </c>
      <c r="F554" t="s">
        <v>68</v>
      </c>
      <c r="G554" t="s">
        <v>102</v>
      </c>
      <c r="H554" t="s">
        <v>158</v>
      </c>
      <c r="I554">
        <f>MROUND(Table1[[#This Row],[ProbH]]*100,2)/100</f>
        <v>0.54</v>
      </c>
      <c r="J554">
        <f>1/Table1[[#This Row],[odds_ft_home_team_win]]-Table1[[#This Row],[Margin]]</f>
        <v>0.54331450094161959</v>
      </c>
      <c r="K554">
        <f>1/Table1[[#This Row],[odds_ft_draw]]-Table1[[#This Row],[Margin]]</f>
        <v>0.25612052730696794</v>
      </c>
      <c r="L554">
        <f>1/Table1[[#This Row],[odds_ft_away_team_win]]-Table1[[#This Row],[Margin]]</f>
        <v>0.20056497175141239</v>
      </c>
      <c r="M554">
        <v>5</v>
      </c>
      <c r="N554">
        <v>2.17</v>
      </c>
      <c r="O554">
        <v>1.33</v>
      </c>
      <c r="P554">
        <v>2.37</v>
      </c>
      <c r="Q554">
        <v>1.33</v>
      </c>
      <c r="R554" s="9" t="str" cm="1">
        <f t="array" ref="R5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66</v>
      </c>
      <c r="AA554">
        <v>0</v>
      </c>
      <c r="AB554">
        <v>3</v>
      </c>
      <c r="AC554">
        <v>0</v>
      </c>
      <c r="AD554">
        <v>0</v>
      </c>
      <c r="AE554">
        <v>2</v>
      </c>
      <c r="AF554">
        <v>1</v>
      </c>
      <c r="AG554">
        <v>0</v>
      </c>
      <c r="AH554">
        <v>0</v>
      </c>
      <c r="AI554">
        <v>2</v>
      </c>
      <c r="AJ554">
        <v>1</v>
      </c>
      <c r="AK554">
        <v>6</v>
      </c>
      <c r="AL554">
        <v>12</v>
      </c>
      <c r="AM554">
        <v>3</v>
      </c>
      <c r="AN554">
        <v>2</v>
      </c>
      <c r="AO554">
        <v>3</v>
      </c>
      <c r="AP554">
        <v>10</v>
      </c>
      <c r="AQ554">
        <v>14</v>
      </c>
      <c r="AR554">
        <v>23</v>
      </c>
      <c r="AS554">
        <v>52</v>
      </c>
      <c r="AT554">
        <v>48</v>
      </c>
      <c r="AU554">
        <v>0.77</v>
      </c>
      <c r="AV554">
        <v>1.25</v>
      </c>
      <c r="AW554">
        <v>2.71</v>
      </c>
      <c r="AX554">
        <v>55</v>
      </c>
      <c r="AY554">
        <v>67</v>
      </c>
      <c r="AZ554">
        <v>55</v>
      </c>
      <c r="BA554">
        <v>42</v>
      </c>
      <c r="BB554">
        <v>9</v>
      </c>
      <c r="BC554">
        <v>38</v>
      </c>
      <c r="BD554">
        <v>88</v>
      </c>
      <c r="BE554">
        <v>46</v>
      </c>
      <c r="BF554">
        <v>67</v>
      </c>
      <c r="BG554">
        <v>8.58</v>
      </c>
      <c r="BH554">
        <v>4.34</v>
      </c>
      <c r="BI554">
        <v>1.77</v>
      </c>
      <c r="BJ554">
        <v>3.6</v>
      </c>
      <c r="BK554">
        <v>4.5</v>
      </c>
      <c r="BL554">
        <f>(1/Table1[[#This Row],[odds_ft_home_team_win]]+1/Table1[[#This Row],[odds_ft_draw]]+1/Table1[[#This Row],[odds_ft_away_team_win]]-1)/3</f>
        <v>2.1657250470809835E-2</v>
      </c>
      <c r="BM554">
        <v>1.36</v>
      </c>
      <c r="BN554">
        <v>2</v>
      </c>
      <c r="BO554">
        <v>3.2</v>
      </c>
      <c r="BP554">
        <v>5.75</v>
      </c>
      <c r="BQ554">
        <v>1.95</v>
      </c>
      <c r="BR554">
        <v>1.8</v>
      </c>
      <c r="BS554" t="s">
        <v>116</v>
      </c>
      <c r="BT554">
        <f>VLOOKUP(Table1[[#This Row],[Reference]],metron,8,FALSE)</f>
        <v>1.915666026436746</v>
      </c>
      <c r="BU554">
        <f>VLOOKUP(Table1[[#This Row],[Reference]],metron,9,FALSE)</f>
        <v>0.82283834599204153</v>
      </c>
      <c r="BV554">
        <f>VLOOKUP(Table1[[#This Row],[Reference]],metron,10,FALSE)</f>
        <v>2.6359702267612941</v>
      </c>
      <c r="BW554">
        <f>VLOOKUP(Table1[[#This Row],[Reference]],metron,11,FALSE)</f>
        <v>1.684957590444867</v>
      </c>
      <c r="BX554">
        <f>VLOOKUP(Table1[[#This Row],[Reference]],metron,12,FALSE)</f>
        <v>0.95101263631642718</v>
      </c>
      <c r="BY554" s="6">
        <f>VLOOKUP(Table1[[#This Row],[Reference]],metron,13,FALSE)</f>
        <v>0.72650164445213783</v>
      </c>
      <c r="BZ554" s="6">
        <f>VLOOKUP(Table1[[#This Row],[Reference]],metron,14,FALSE)</f>
        <v>0.42097974727367138</v>
      </c>
      <c r="CA554" s="6">
        <f>VLOOKUP(Table1[[#This Row],[Reference]],metron,15,FALSE)</f>
        <v>13.338806970509379</v>
      </c>
      <c r="CB554" s="6">
        <f>VLOOKUP(Table1[[#This Row],[Reference]],metron,16,FALSE)</f>
        <v>9.2530160857908843</v>
      </c>
      <c r="CC554" s="6">
        <f>VLOOKUP(Table1[[#This Row],[Reference]],metron,17,FALSE)</f>
        <v>5.9915081521739131</v>
      </c>
      <c r="CD554" s="6">
        <f>VLOOKUP(Table1[[#This Row],[Reference]],metron,18,FALSE)</f>
        <v>3.9772418478260869</v>
      </c>
      <c r="CE554" s="6">
        <f>VLOOKUP(Table1[[#This Row],[Reference]],metron,19,FALSE)</f>
        <v>7.3472988183354664</v>
      </c>
      <c r="CF554" s="6">
        <f>VLOOKUP(Table1[[#This Row],[Reference]],metron,20,FALSE)</f>
        <v>5.2757742379647974</v>
      </c>
      <c r="CG554" s="6">
        <f>VLOOKUP(Table1[[#This Row],[Reference]],metron,21,FALSE)</f>
        <v>12.59428182437032</v>
      </c>
      <c r="CH554" s="6">
        <f>VLOOKUP(Table1[[#This Row],[Reference]],metron,22,FALSE)</f>
        <v>13.577944179714089</v>
      </c>
      <c r="CI554" s="6">
        <f>VLOOKUP(Table1[[#This Row],[Reference]],metron,23,FALSE)</f>
        <v>1.4276913099870301</v>
      </c>
      <c r="CJ554" s="6">
        <f>VLOOKUP(Table1[[#This Row],[Reference]],metron,24,FALSE)</f>
        <v>1.940985732814527</v>
      </c>
      <c r="CK554" s="6">
        <f>VLOOKUP(Table1[[#This Row],[Reference]],metron,25,FALSE)</f>
        <v>8.0739299610894946E-2</v>
      </c>
      <c r="CL554" s="6">
        <f>VLOOKUP(Table1[[#This Row],[Reference]],metron,26,FALSE)</f>
        <v>0.12743190661478601</v>
      </c>
    </row>
    <row r="555" spans="1:90" x14ac:dyDescent="0.45">
      <c r="A555" t="s">
        <v>1256</v>
      </c>
      <c r="B555">
        <v>1612667160</v>
      </c>
      <c r="C555" s="23" t="s">
        <v>1045</v>
      </c>
      <c r="D555" t="s">
        <v>65</v>
      </c>
      <c r="E555" t="s">
        <v>66</v>
      </c>
      <c r="F555" t="s">
        <v>101</v>
      </c>
      <c r="G555" t="s">
        <v>96</v>
      </c>
      <c r="H555" t="s">
        <v>92</v>
      </c>
      <c r="I555">
        <f>MROUND(Table1[[#This Row],[ProbH]]*100,2)/100</f>
        <v>0.54</v>
      </c>
      <c r="J555">
        <f>1/Table1[[#This Row],[odds_ft_home_team_win]]-Table1[[#This Row],[Margin]]</f>
        <v>0.54887218045112784</v>
      </c>
      <c r="K555">
        <f>1/Table1[[#This Row],[odds_ft_draw]]-Table1[[#This Row],[Margin]]</f>
        <v>0.26315789473684215</v>
      </c>
      <c r="L555">
        <f>1/Table1[[#This Row],[odds_ft_away_team_win]]-Table1[[#This Row],[Margin]]</f>
        <v>0.18796992481203012</v>
      </c>
      <c r="M555">
        <v>5</v>
      </c>
      <c r="N555">
        <v>1.9</v>
      </c>
      <c r="O555">
        <v>1.31</v>
      </c>
      <c r="P555">
        <v>1.79</v>
      </c>
      <c r="Q555">
        <v>1.25</v>
      </c>
      <c r="R555" t="str" cm="1">
        <f t="array" ref="R5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31</v>
      </c>
      <c r="AA555">
        <v>4</v>
      </c>
      <c r="AB555">
        <v>3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0</v>
      </c>
      <c r="AK555">
        <v>14</v>
      </c>
      <c r="AL555">
        <v>3</v>
      </c>
      <c r="AM555">
        <v>8</v>
      </c>
      <c r="AN555">
        <v>0</v>
      </c>
      <c r="AO555">
        <v>6</v>
      </c>
      <c r="AP555">
        <v>3</v>
      </c>
      <c r="AQ555">
        <v>18</v>
      </c>
      <c r="AR555">
        <v>13</v>
      </c>
      <c r="AS555">
        <v>62</v>
      </c>
      <c r="AT555">
        <v>38</v>
      </c>
      <c r="AU555">
        <v>1.95</v>
      </c>
      <c r="AV555">
        <v>0.28000000000000003</v>
      </c>
      <c r="AW555">
        <v>2.4300000000000002</v>
      </c>
      <c r="AX555">
        <v>58</v>
      </c>
      <c r="AY555">
        <v>79</v>
      </c>
      <c r="AZ555">
        <v>44</v>
      </c>
      <c r="BA555">
        <v>28</v>
      </c>
      <c r="BB555">
        <v>0</v>
      </c>
      <c r="BC555">
        <v>31</v>
      </c>
      <c r="BD555">
        <v>70</v>
      </c>
      <c r="BE555">
        <v>54</v>
      </c>
      <c r="BF555">
        <v>76</v>
      </c>
      <c r="BG555">
        <v>11.14</v>
      </c>
      <c r="BH555">
        <v>4.6399999999999997</v>
      </c>
      <c r="BI555">
        <v>1.75</v>
      </c>
      <c r="BJ555">
        <v>3.5</v>
      </c>
      <c r="BK555">
        <v>4.75</v>
      </c>
      <c r="BL555">
        <f>(1/Table1[[#This Row],[odds_ft_home_team_win]]+1/Table1[[#This Row],[odds_ft_draw]]+1/Table1[[#This Row],[odds_ft_away_team_win]]-1)/3</f>
        <v>2.2556390977443552E-2</v>
      </c>
      <c r="BM555">
        <v>1.33</v>
      </c>
      <c r="BN555">
        <v>1.82</v>
      </c>
      <c r="BO555">
        <v>3.4</v>
      </c>
      <c r="BP555">
        <v>6.5</v>
      </c>
      <c r="BQ555">
        <v>0</v>
      </c>
      <c r="BR555">
        <v>0</v>
      </c>
      <c r="BS555" t="s">
        <v>713</v>
      </c>
      <c r="BT555">
        <f>VLOOKUP(Table1[[#This Row],[Reference]],metron,8,FALSE)</f>
        <v>1.915666026436746</v>
      </c>
      <c r="BU555">
        <f>VLOOKUP(Table1[[#This Row],[Reference]],metron,9,FALSE)</f>
        <v>0.82283834599204153</v>
      </c>
      <c r="BV555">
        <f>VLOOKUP(Table1[[#This Row],[Reference]],metron,10,FALSE)</f>
        <v>2.6359702267612941</v>
      </c>
      <c r="BW555">
        <f>VLOOKUP(Table1[[#This Row],[Reference]],metron,11,FALSE)</f>
        <v>1.684957590444867</v>
      </c>
      <c r="BX555">
        <f>VLOOKUP(Table1[[#This Row],[Reference]],metron,12,FALSE)</f>
        <v>0.95101263631642718</v>
      </c>
      <c r="BY555" s="6">
        <f>VLOOKUP(Table1[[#This Row],[Reference]],metron,13,FALSE)</f>
        <v>0.72650164445213783</v>
      </c>
      <c r="BZ555" s="6">
        <f>VLOOKUP(Table1[[#This Row],[Reference]],metron,14,FALSE)</f>
        <v>0.42097974727367138</v>
      </c>
      <c r="CA555" s="6">
        <f>VLOOKUP(Table1[[#This Row],[Reference]],metron,15,FALSE)</f>
        <v>13.338806970509379</v>
      </c>
      <c r="CB555" s="6">
        <f>VLOOKUP(Table1[[#This Row],[Reference]],metron,16,FALSE)</f>
        <v>9.2530160857908843</v>
      </c>
      <c r="CC555" s="6">
        <f>VLOOKUP(Table1[[#This Row],[Reference]],metron,17,FALSE)</f>
        <v>5.9915081521739131</v>
      </c>
      <c r="CD555" s="6">
        <f>VLOOKUP(Table1[[#This Row],[Reference]],metron,18,FALSE)</f>
        <v>3.9772418478260869</v>
      </c>
      <c r="CE555" s="6">
        <f>VLOOKUP(Table1[[#This Row],[Reference]],metron,19,FALSE)</f>
        <v>7.3472988183354664</v>
      </c>
      <c r="CF555" s="6">
        <f>VLOOKUP(Table1[[#This Row],[Reference]],metron,20,FALSE)</f>
        <v>5.2757742379647974</v>
      </c>
      <c r="CG555" s="6">
        <f>VLOOKUP(Table1[[#This Row],[Reference]],metron,21,FALSE)</f>
        <v>12.59428182437032</v>
      </c>
      <c r="CH555" s="6">
        <f>VLOOKUP(Table1[[#This Row],[Reference]],metron,22,FALSE)</f>
        <v>13.577944179714089</v>
      </c>
      <c r="CI555" s="6">
        <f>VLOOKUP(Table1[[#This Row],[Reference]],metron,23,FALSE)</f>
        <v>1.4276913099870301</v>
      </c>
      <c r="CJ555" s="6">
        <f>VLOOKUP(Table1[[#This Row],[Reference]],metron,24,FALSE)</f>
        <v>1.940985732814527</v>
      </c>
      <c r="CK555" s="6">
        <f>VLOOKUP(Table1[[#This Row],[Reference]],metron,25,FALSE)</f>
        <v>8.0739299610894946E-2</v>
      </c>
      <c r="CL555" s="6">
        <f>VLOOKUP(Table1[[#This Row],[Reference]],metron,26,FALSE)</f>
        <v>0.12743190661478601</v>
      </c>
    </row>
    <row r="556" spans="1:90" x14ac:dyDescent="0.45">
      <c r="A556" t="s">
        <v>1256</v>
      </c>
      <c r="B556">
        <v>1612720800</v>
      </c>
      <c r="C556" s="23" t="s">
        <v>1046</v>
      </c>
      <c r="D556" t="s">
        <v>65</v>
      </c>
      <c r="E556" t="s">
        <v>66</v>
      </c>
      <c r="F556" t="s">
        <v>79</v>
      </c>
      <c r="G556" t="s">
        <v>113</v>
      </c>
      <c r="H556" t="s">
        <v>69</v>
      </c>
      <c r="I556">
        <f>MROUND(Table1[[#This Row],[ProbH]]*100,2)/100</f>
        <v>0.52</v>
      </c>
      <c r="J556">
        <f>1/Table1[[#This Row],[odds_ft_home_team_win]]-Table1[[#This Row],[Margin]]</f>
        <v>0.51373036607154454</v>
      </c>
      <c r="K556">
        <f>1/Table1[[#This Row],[odds_ft_draw]]-Table1[[#This Row],[Margin]]</f>
        <v>0.25310426771870159</v>
      </c>
      <c r="L556">
        <f>1/Table1[[#This Row],[odds_ft_away_team_win]]-Table1[[#This Row],[Margin]]</f>
        <v>0.23316536620975395</v>
      </c>
      <c r="M556">
        <v>5</v>
      </c>
      <c r="N556">
        <v>2.2000000000000002</v>
      </c>
      <c r="O556">
        <v>0.5</v>
      </c>
      <c r="P556">
        <v>2</v>
      </c>
      <c r="Q556">
        <v>0.65</v>
      </c>
      <c r="R556" t="str" cm="1">
        <f t="array" ref="R5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6">
        <v>4</v>
      </c>
      <c r="T556">
        <v>1</v>
      </c>
      <c r="U556">
        <v>5</v>
      </c>
      <c r="V556">
        <v>3</v>
      </c>
      <c r="W556">
        <v>3</v>
      </c>
      <c r="X556">
        <v>0</v>
      </c>
      <c r="Y556" t="s">
        <v>1047</v>
      </c>
      <c r="Z556">
        <v>67</v>
      </c>
      <c r="AA556">
        <v>5</v>
      </c>
      <c r="AB556">
        <v>7</v>
      </c>
      <c r="AC556">
        <v>1</v>
      </c>
      <c r="AD556">
        <v>0</v>
      </c>
      <c r="AE556">
        <v>3</v>
      </c>
      <c r="AF556">
        <v>0</v>
      </c>
      <c r="AG556">
        <v>1</v>
      </c>
      <c r="AH556">
        <v>0</v>
      </c>
      <c r="AI556">
        <v>3</v>
      </c>
      <c r="AJ556">
        <v>0</v>
      </c>
      <c r="AK556">
        <v>10</v>
      </c>
      <c r="AL556">
        <v>6</v>
      </c>
      <c r="AM556">
        <v>7</v>
      </c>
      <c r="AN556">
        <v>5</v>
      </c>
      <c r="AO556">
        <v>3</v>
      </c>
      <c r="AP556">
        <v>1</v>
      </c>
      <c r="AQ556">
        <v>10</v>
      </c>
      <c r="AR556">
        <v>11</v>
      </c>
      <c r="AS556">
        <v>51</v>
      </c>
      <c r="AT556">
        <v>49</v>
      </c>
      <c r="AU556">
        <v>1.45</v>
      </c>
      <c r="AV556">
        <v>0.98</v>
      </c>
      <c r="AW556">
        <v>3.15</v>
      </c>
      <c r="AX556">
        <v>55</v>
      </c>
      <c r="AY556">
        <v>85</v>
      </c>
      <c r="AZ556">
        <v>60</v>
      </c>
      <c r="BA556">
        <v>40</v>
      </c>
      <c r="BB556">
        <v>20</v>
      </c>
      <c r="BC556">
        <v>40</v>
      </c>
      <c r="BD556">
        <v>65</v>
      </c>
      <c r="BE556">
        <v>55</v>
      </c>
      <c r="BF556">
        <v>80</v>
      </c>
      <c r="BG556">
        <v>8.3000000000000007</v>
      </c>
      <c r="BH556">
        <v>4</v>
      </c>
      <c r="BI556">
        <v>1.86</v>
      </c>
      <c r="BJ556">
        <v>3.61</v>
      </c>
      <c r="BK556">
        <v>3.89</v>
      </c>
      <c r="BL556">
        <f>(1/Table1[[#This Row],[odds_ft_home_team_win]]+1/Table1[[#This Row],[odds_ft_draw]]+1/Table1[[#This Row],[odds_ft_away_team_win]]-1)/3</f>
        <v>2.3904042530605924E-2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 t="s">
        <v>140</v>
      </c>
      <c r="BT556">
        <f>VLOOKUP(Table1[[#This Row],[Reference]],metron,8,FALSE)</f>
        <v>1.8614830167843088</v>
      </c>
      <c r="BU556">
        <f>VLOOKUP(Table1[[#This Row],[Reference]],metron,9,FALSE)</f>
        <v>0.87079851622593896</v>
      </c>
      <c r="BV556">
        <f>VLOOKUP(Table1[[#This Row],[Reference]],metron,10,FALSE)</f>
        <v>2.5967403582378576</v>
      </c>
      <c r="BW556">
        <f>VLOOKUP(Table1[[#This Row],[Reference]],metron,11,FALSE)</f>
        <v>1.625948039373891</v>
      </c>
      <c r="BX556">
        <f>VLOOKUP(Table1[[#This Row],[Reference]],metron,12,FALSE)</f>
        <v>0.97079231886396644</v>
      </c>
      <c r="BY556" s="6">
        <f>VLOOKUP(Table1[[#This Row],[Reference]],metron,13,FALSE)</f>
        <v>0.71433182698515174</v>
      </c>
      <c r="BZ556" s="6">
        <f>VLOOKUP(Table1[[#This Row],[Reference]],metron,14,FALSE)</f>
        <v>0.43011620400258233</v>
      </c>
      <c r="CA556" s="6">
        <f>VLOOKUP(Table1[[#This Row],[Reference]],metron,15,FALSE)</f>
        <v>13.39951055368614</v>
      </c>
      <c r="CB556" s="6">
        <f>VLOOKUP(Table1[[#This Row],[Reference]],metron,16,FALSE)</f>
        <v>9.4252064851636579</v>
      </c>
      <c r="CC556" s="6">
        <f>VLOOKUP(Table1[[#This Row],[Reference]],metron,17,FALSE)</f>
        <v>5.7628422023992618</v>
      </c>
      <c r="CD556" s="6">
        <f>VLOOKUP(Table1[[#This Row],[Reference]],metron,18,FALSE)</f>
        <v>3.9375576745616732</v>
      </c>
      <c r="CE556" s="6">
        <f>VLOOKUP(Table1[[#This Row],[Reference]],metron,19,FALSE)</f>
        <v>7.636668351286878</v>
      </c>
      <c r="CF556" s="6">
        <f>VLOOKUP(Table1[[#This Row],[Reference]],metron,20,FALSE)</f>
        <v>5.4876488106019847</v>
      </c>
      <c r="CG556" s="6">
        <f>VLOOKUP(Table1[[#This Row],[Reference]],metron,21,FALSE)</f>
        <v>12.460420531849101</v>
      </c>
      <c r="CH556" s="6">
        <f>VLOOKUP(Table1[[#This Row],[Reference]],metron,22,FALSE)</f>
        <v>13.44897959183673</v>
      </c>
      <c r="CI556" s="6">
        <f>VLOOKUP(Table1[[#This Row],[Reference]],metron,23,FALSE)</f>
        <v>1.462202380952381</v>
      </c>
      <c r="CJ556" s="6">
        <f>VLOOKUP(Table1[[#This Row],[Reference]],metron,24,FALSE)</f>
        <v>2.01547619047619</v>
      </c>
      <c r="CK556" s="6">
        <f>VLOOKUP(Table1[[#This Row],[Reference]],metron,25,FALSE)</f>
        <v>7.7380952380952384E-2</v>
      </c>
      <c r="CL556" s="6">
        <f>VLOOKUP(Table1[[#This Row],[Reference]],metron,26,FALSE)</f>
        <v>0.13754093480202439</v>
      </c>
    </row>
    <row r="557" spans="1:90" x14ac:dyDescent="0.45">
      <c r="A557" t="s">
        <v>1256</v>
      </c>
      <c r="B557">
        <v>1612839600</v>
      </c>
      <c r="C557" s="23" t="s">
        <v>1048</v>
      </c>
      <c r="D557" t="s">
        <v>65</v>
      </c>
      <c r="E557" t="s">
        <v>66</v>
      </c>
      <c r="F557" t="s">
        <v>85</v>
      </c>
      <c r="G557" t="s">
        <v>90</v>
      </c>
      <c r="H557" t="s">
        <v>122</v>
      </c>
      <c r="I557">
        <f>MROUND(Table1[[#This Row],[ProbH]]*100,2)/100</f>
        <v>0.52</v>
      </c>
      <c r="J557">
        <f>1/Table1[[#This Row],[odds_ft_home_team_win]]-Table1[[#This Row],[Margin]]</f>
        <v>0.51190571208130464</v>
      </c>
      <c r="K557">
        <f>1/Table1[[#This Row],[odds_ft_draw]]-Table1[[#This Row],[Margin]]</f>
        <v>0.27565381647910181</v>
      </c>
      <c r="L557">
        <f>1/Table1[[#This Row],[odds_ft_away_team_win]]-Table1[[#This Row],[Margin]]</f>
        <v>0.21244047143959349</v>
      </c>
      <c r="M557">
        <v>5</v>
      </c>
      <c r="N557">
        <v>2.69</v>
      </c>
      <c r="O557">
        <v>1.25</v>
      </c>
      <c r="P557">
        <v>2.29</v>
      </c>
      <c r="Q557">
        <v>1.35</v>
      </c>
      <c r="R557" t="str" cm="1">
        <f t="array" ref="R5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57">
        <v>1</v>
      </c>
      <c r="T557">
        <v>3</v>
      </c>
      <c r="U557">
        <v>4</v>
      </c>
      <c r="V557">
        <v>2</v>
      </c>
      <c r="W557">
        <v>0</v>
      </c>
      <c r="X557">
        <v>2</v>
      </c>
      <c r="Y557">
        <v>64</v>
      </c>
      <c r="Z557" t="s">
        <v>1049</v>
      </c>
      <c r="AA557">
        <v>7</v>
      </c>
      <c r="AB557">
        <v>1</v>
      </c>
      <c r="AC557">
        <v>3</v>
      </c>
      <c r="AD557">
        <v>1</v>
      </c>
      <c r="AE557">
        <v>2</v>
      </c>
      <c r="AF557">
        <v>0</v>
      </c>
      <c r="AG557">
        <v>1</v>
      </c>
      <c r="AH557">
        <v>3</v>
      </c>
      <c r="AI557">
        <v>1</v>
      </c>
      <c r="AJ557">
        <v>1</v>
      </c>
      <c r="AK557">
        <v>16</v>
      </c>
      <c r="AL557">
        <v>11</v>
      </c>
      <c r="AM557">
        <v>4</v>
      </c>
      <c r="AN557">
        <v>7</v>
      </c>
      <c r="AO557">
        <v>12</v>
      </c>
      <c r="AP557">
        <v>4</v>
      </c>
      <c r="AQ557">
        <v>10</v>
      </c>
      <c r="AR557">
        <v>18</v>
      </c>
      <c r="AS557">
        <v>60</v>
      </c>
      <c r="AT557">
        <v>40</v>
      </c>
      <c r="AU557">
        <v>1.81</v>
      </c>
      <c r="AV557">
        <v>1.3</v>
      </c>
      <c r="AW557">
        <v>2.3199999999999998</v>
      </c>
      <c r="AX557">
        <v>52</v>
      </c>
      <c r="AY557">
        <v>72</v>
      </c>
      <c r="AZ557">
        <v>44</v>
      </c>
      <c r="BA557">
        <v>20</v>
      </c>
      <c r="BB557">
        <v>4</v>
      </c>
      <c r="BC557">
        <v>20</v>
      </c>
      <c r="BD557">
        <v>68</v>
      </c>
      <c r="BE557">
        <v>37</v>
      </c>
      <c r="BF557">
        <v>72</v>
      </c>
      <c r="BG557">
        <v>8.27</v>
      </c>
      <c r="BH557">
        <v>4.2</v>
      </c>
      <c r="BI557">
        <v>1.87</v>
      </c>
      <c r="BJ557">
        <v>3.35</v>
      </c>
      <c r="BK557">
        <v>4.25</v>
      </c>
      <c r="BL557">
        <f>(1/Table1[[#This Row],[odds_ft_home_team_win]]+1/Table1[[#This Row],[odds_ft_draw]]+1/Table1[[#This Row],[odds_ft_away_team_win]]-1)/3</f>
        <v>2.2853646207465328E-2</v>
      </c>
      <c r="BM557">
        <v>1.34</v>
      </c>
      <c r="BN557">
        <v>1.91</v>
      </c>
      <c r="BO557">
        <v>3</v>
      </c>
      <c r="BP557">
        <v>5.75</v>
      </c>
      <c r="BQ557">
        <v>1.8</v>
      </c>
      <c r="BR557">
        <v>1.95</v>
      </c>
      <c r="BS557" t="s">
        <v>128</v>
      </c>
      <c r="BT557">
        <f>VLOOKUP(Table1[[#This Row],[Reference]],metron,8,FALSE)</f>
        <v>1.8614830167843088</v>
      </c>
      <c r="BU557">
        <f>VLOOKUP(Table1[[#This Row],[Reference]],metron,9,FALSE)</f>
        <v>0.87079851622593896</v>
      </c>
      <c r="BV557">
        <f>VLOOKUP(Table1[[#This Row],[Reference]],metron,10,FALSE)</f>
        <v>2.5967403582378576</v>
      </c>
      <c r="BW557">
        <f>VLOOKUP(Table1[[#This Row],[Reference]],metron,11,FALSE)</f>
        <v>1.625948039373891</v>
      </c>
      <c r="BX557">
        <f>VLOOKUP(Table1[[#This Row],[Reference]],metron,12,FALSE)</f>
        <v>0.97079231886396644</v>
      </c>
      <c r="BY557" s="6">
        <f>VLOOKUP(Table1[[#This Row],[Reference]],metron,13,FALSE)</f>
        <v>0.71433182698515174</v>
      </c>
      <c r="BZ557" s="6">
        <f>VLOOKUP(Table1[[#This Row],[Reference]],metron,14,FALSE)</f>
        <v>0.43011620400258233</v>
      </c>
      <c r="CA557" s="6">
        <f>VLOOKUP(Table1[[#This Row],[Reference]],metron,15,FALSE)</f>
        <v>13.39951055368614</v>
      </c>
      <c r="CB557" s="6">
        <f>VLOOKUP(Table1[[#This Row],[Reference]],metron,16,FALSE)</f>
        <v>9.4252064851636579</v>
      </c>
      <c r="CC557" s="6">
        <f>VLOOKUP(Table1[[#This Row],[Reference]],metron,17,FALSE)</f>
        <v>5.7628422023992618</v>
      </c>
      <c r="CD557" s="6">
        <f>VLOOKUP(Table1[[#This Row],[Reference]],metron,18,FALSE)</f>
        <v>3.9375576745616732</v>
      </c>
      <c r="CE557" s="6">
        <f>VLOOKUP(Table1[[#This Row],[Reference]],metron,19,FALSE)</f>
        <v>7.636668351286878</v>
      </c>
      <c r="CF557" s="6">
        <f>VLOOKUP(Table1[[#This Row],[Reference]],metron,20,FALSE)</f>
        <v>5.4876488106019847</v>
      </c>
      <c r="CG557" s="6">
        <f>VLOOKUP(Table1[[#This Row],[Reference]],metron,21,FALSE)</f>
        <v>12.460420531849101</v>
      </c>
      <c r="CH557" s="6">
        <f>VLOOKUP(Table1[[#This Row],[Reference]],metron,22,FALSE)</f>
        <v>13.44897959183673</v>
      </c>
      <c r="CI557" s="6">
        <f>VLOOKUP(Table1[[#This Row],[Reference]],metron,23,FALSE)</f>
        <v>1.462202380952381</v>
      </c>
      <c r="CJ557" s="6">
        <f>VLOOKUP(Table1[[#This Row],[Reference]],metron,24,FALSE)</f>
        <v>2.01547619047619</v>
      </c>
      <c r="CK557" s="6">
        <f>VLOOKUP(Table1[[#This Row],[Reference]],metron,25,FALSE)</f>
        <v>7.7380952380952384E-2</v>
      </c>
      <c r="CL557" s="6">
        <f>VLOOKUP(Table1[[#This Row],[Reference]],metron,26,FALSE)</f>
        <v>0.13754093480202439</v>
      </c>
    </row>
    <row r="558" spans="1:90" x14ac:dyDescent="0.45">
      <c r="A558" t="s">
        <v>1256</v>
      </c>
      <c r="B558">
        <v>1613179800</v>
      </c>
      <c r="C558" s="23" t="s">
        <v>1050</v>
      </c>
      <c r="D558" t="s">
        <v>65</v>
      </c>
      <c r="E558" t="s">
        <v>66</v>
      </c>
      <c r="F558" t="s">
        <v>102</v>
      </c>
      <c r="G558" t="s">
        <v>78</v>
      </c>
      <c r="H558" t="s">
        <v>130</v>
      </c>
      <c r="I558">
        <f>MROUND(Table1[[#This Row],[ProbH]]*100,2)/100</f>
        <v>0.36</v>
      </c>
      <c r="J558">
        <f>1/Table1[[#This Row],[odds_ft_home_team_win]]-Table1[[#This Row],[Margin]]</f>
        <v>0.3687176019833221</v>
      </c>
      <c r="K558">
        <f>1/Table1[[#This Row],[odds_ft_draw]]-Table1[[#This Row],[Margin]]</f>
        <v>0.32138832544512058</v>
      </c>
      <c r="L558">
        <f>1/Table1[[#This Row],[odds_ft_away_team_win]]-Table1[[#This Row],[Margin]]</f>
        <v>0.30989407257155732</v>
      </c>
      <c r="M558">
        <v>6</v>
      </c>
      <c r="N558">
        <v>1.08</v>
      </c>
      <c r="O558">
        <v>0.91</v>
      </c>
      <c r="P558">
        <v>1.5</v>
      </c>
      <c r="Q558">
        <v>0.59</v>
      </c>
      <c r="R558" t="str" cm="1">
        <f t="array" ref="R5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8">
        <v>4</v>
      </c>
      <c r="T558">
        <v>0</v>
      </c>
      <c r="U558">
        <v>4</v>
      </c>
      <c r="V558">
        <v>2</v>
      </c>
      <c r="W558">
        <v>2</v>
      </c>
      <c r="X558">
        <v>0</v>
      </c>
      <c r="Y558" t="s">
        <v>1051</v>
      </c>
      <c r="AA558">
        <v>2</v>
      </c>
      <c r="AB558">
        <v>6</v>
      </c>
      <c r="AC558">
        <v>1</v>
      </c>
      <c r="AD558">
        <v>0</v>
      </c>
      <c r="AE558">
        <v>2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9</v>
      </c>
      <c r="AL558">
        <v>17</v>
      </c>
      <c r="AM558">
        <v>5</v>
      </c>
      <c r="AN558">
        <v>3</v>
      </c>
      <c r="AO558">
        <v>4</v>
      </c>
      <c r="AP558">
        <v>14</v>
      </c>
      <c r="AQ558">
        <v>11</v>
      </c>
      <c r="AR558">
        <v>9</v>
      </c>
      <c r="AS558">
        <v>47</v>
      </c>
      <c r="AT558">
        <v>53</v>
      </c>
      <c r="AU558">
        <v>1.2</v>
      </c>
      <c r="AV558">
        <v>1.59</v>
      </c>
      <c r="AW558">
        <v>2.66</v>
      </c>
      <c r="AX558">
        <v>70</v>
      </c>
      <c r="AY558">
        <v>79</v>
      </c>
      <c r="AZ558">
        <v>44</v>
      </c>
      <c r="BA558">
        <v>22</v>
      </c>
      <c r="BB558">
        <v>22</v>
      </c>
      <c r="BC558">
        <v>39</v>
      </c>
      <c r="BD558">
        <v>70</v>
      </c>
      <c r="BE558">
        <v>39</v>
      </c>
      <c r="BF558">
        <v>79</v>
      </c>
      <c r="BG558">
        <v>8.9</v>
      </c>
      <c r="BH558">
        <v>4.3899999999999997</v>
      </c>
      <c r="BI558">
        <v>2.5499999999999998</v>
      </c>
      <c r="BJ558">
        <v>2.9</v>
      </c>
      <c r="BK558">
        <v>3</v>
      </c>
      <c r="BL558">
        <f>(1/Table1[[#This Row],[odds_ft_home_team_win]]+1/Table1[[#This Row],[odds_ft_draw]]+1/Table1[[#This Row],[odds_ft_away_team_win]]-1)/3</f>
        <v>2.343926076177601E-2</v>
      </c>
      <c r="BM558">
        <v>1.5</v>
      </c>
      <c r="BN558">
        <v>2.25</v>
      </c>
      <c r="BO558">
        <v>4</v>
      </c>
      <c r="BP558">
        <v>7</v>
      </c>
      <c r="BQ558">
        <v>2</v>
      </c>
      <c r="BR558">
        <v>1.77</v>
      </c>
      <c r="BS558" t="s">
        <v>124</v>
      </c>
      <c r="BT558">
        <f>VLOOKUP(Table1[[#This Row],[Reference]],metron,8,FALSE)</f>
        <v>1.4023864615972674</v>
      </c>
      <c r="BU558">
        <f>VLOOKUP(Table1[[#This Row],[Reference]],metron,9,FALSE)</f>
        <v>1.3093265904245279</v>
      </c>
      <c r="BV558">
        <f>VLOOKUP(Table1[[#This Row],[Reference]],metron,10,FALSE)</f>
        <v>2.5110350525197691</v>
      </c>
      <c r="BW558">
        <f>VLOOKUP(Table1[[#This Row],[Reference]],metron,11,FALSE)</f>
        <v>1.269326094653606</v>
      </c>
      <c r="BX558">
        <f>VLOOKUP(Table1[[#This Row],[Reference]],metron,12,FALSE)</f>
        <v>1.2417089578661631</v>
      </c>
      <c r="BY558" s="6">
        <f>VLOOKUP(Table1[[#This Row],[Reference]],metron,13,FALSE)</f>
        <v>0.56586402266288949</v>
      </c>
      <c r="BZ558" s="6">
        <f>VLOOKUP(Table1[[#This Row],[Reference]],metron,14,FALSE)</f>
        <v>0.55158168083097259</v>
      </c>
      <c r="CA558" s="6">
        <f>VLOOKUP(Table1[[#This Row],[Reference]],metron,15,FALSE)</f>
        <v>11.49400826446281</v>
      </c>
      <c r="CB558" s="6">
        <f>VLOOKUP(Table1[[#This Row],[Reference]],metron,16,FALSE)</f>
        <v>10.507231404958681</v>
      </c>
      <c r="CC558" s="6">
        <f>VLOOKUP(Table1[[#This Row],[Reference]],metron,17,FALSE)</f>
        <v>4.9238790406673623</v>
      </c>
      <c r="CD558" s="6">
        <f>VLOOKUP(Table1[[#This Row],[Reference]],metron,18,FALSE)</f>
        <v>4.6296141814389991</v>
      </c>
      <c r="CE558" s="6">
        <f>VLOOKUP(Table1[[#This Row],[Reference]],metron,19,FALSE)</f>
        <v>6.5701292237954476</v>
      </c>
      <c r="CF558" s="6">
        <f>VLOOKUP(Table1[[#This Row],[Reference]],metron,20,FALSE)</f>
        <v>5.8776172235196817</v>
      </c>
      <c r="CG558" s="6">
        <f>VLOOKUP(Table1[[#This Row],[Reference]],metron,21,FALSE)</f>
        <v>12.798739495798319</v>
      </c>
      <c r="CH558" s="6">
        <f>VLOOKUP(Table1[[#This Row],[Reference]],metron,22,FALSE)</f>
        <v>12.98844537815126</v>
      </c>
      <c r="CI558" s="6">
        <f>VLOOKUP(Table1[[#This Row],[Reference]],metron,23,FALSE)</f>
        <v>1.604928297313674</v>
      </c>
      <c r="CJ558" s="6">
        <f>VLOOKUP(Table1[[#This Row],[Reference]],metron,24,FALSE)</f>
        <v>1.791961219955565</v>
      </c>
      <c r="CK558" s="6">
        <f>VLOOKUP(Table1[[#This Row],[Reference]],metron,25,FALSE)</f>
        <v>8.887093516461321E-2</v>
      </c>
      <c r="CL558" s="6">
        <f>VLOOKUP(Table1[[#This Row],[Reference]],metron,26,FALSE)</f>
        <v>0.11694607150070691</v>
      </c>
    </row>
    <row r="559" spans="1:90" x14ac:dyDescent="0.45">
      <c r="A559" t="s">
        <v>1256</v>
      </c>
      <c r="B559">
        <v>1613185560</v>
      </c>
      <c r="C559" s="23" t="s">
        <v>1052</v>
      </c>
      <c r="D559" t="s">
        <v>65</v>
      </c>
      <c r="E559" t="s">
        <v>66</v>
      </c>
      <c r="F559" t="s">
        <v>106</v>
      </c>
      <c r="G559" t="s">
        <v>85</v>
      </c>
      <c r="H559" t="s">
        <v>74</v>
      </c>
      <c r="I559">
        <f>MROUND(Table1[[#This Row],[ProbH]]*100,2)/100</f>
        <v>0.32</v>
      </c>
      <c r="J559">
        <f>1/Table1[[#This Row],[odds_ft_home_team_win]]-Table1[[#This Row],[Margin]]</f>
        <v>0.32167249708479101</v>
      </c>
      <c r="K559">
        <f>1/Table1[[#This Row],[odds_ft_draw]]-Table1[[#This Row],[Margin]]</f>
        <v>0.26669998334166256</v>
      </c>
      <c r="L559">
        <f>1/Table1[[#This Row],[odds_ft_away_team_win]]-Table1[[#This Row],[Margin]]</f>
        <v>0.41162751957354665</v>
      </c>
      <c r="M559">
        <v>6</v>
      </c>
      <c r="N559">
        <v>1.64</v>
      </c>
      <c r="O559">
        <v>1.54</v>
      </c>
      <c r="P559">
        <v>1.59</v>
      </c>
      <c r="Q559">
        <v>1.5</v>
      </c>
      <c r="R559" t="str" cm="1">
        <f t="array" ref="R5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9">
        <v>2</v>
      </c>
      <c r="T559">
        <v>0</v>
      </c>
      <c r="U559">
        <v>2</v>
      </c>
      <c r="V559">
        <v>1</v>
      </c>
      <c r="W559">
        <v>1</v>
      </c>
      <c r="X559">
        <v>0</v>
      </c>
      <c r="Y559" t="s">
        <v>1053</v>
      </c>
      <c r="AA559">
        <v>2</v>
      </c>
      <c r="AB559">
        <v>6</v>
      </c>
      <c r="AC559">
        <v>4</v>
      </c>
      <c r="AD559">
        <v>1</v>
      </c>
      <c r="AE559">
        <v>2</v>
      </c>
      <c r="AF559">
        <v>0</v>
      </c>
      <c r="AG559">
        <v>1</v>
      </c>
      <c r="AH559">
        <v>4</v>
      </c>
      <c r="AI559">
        <v>0</v>
      </c>
      <c r="AJ559">
        <v>2</v>
      </c>
      <c r="AK559">
        <v>9</v>
      </c>
      <c r="AL559">
        <v>13</v>
      </c>
      <c r="AM559">
        <v>4</v>
      </c>
      <c r="AN559">
        <v>5</v>
      </c>
      <c r="AO559">
        <v>5</v>
      </c>
      <c r="AP559">
        <v>8</v>
      </c>
      <c r="AQ559">
        <v>18</v>
      </c>
      <c r="AR559">
        <v>10</v>
      </c>
      <c r="AS559">
        <v>41</v>
      </c>
      <c r="AT559">
        <v>59</v>
      </c>
      <c r="AU559">
        <v>1.01</v>
      </c>
      <c r="AV559">
        <v>1.45</v>
      </c>
      <c r="AW559">
        <v>2.12</v>
      </c>
      <c r="AX559">
        <v>46</v>
      </c>
      <c r="AY559">
        <v>71</v>
      </c>
      <c r="AZ559">
        <v>38</v>
      </c>
      <c r="BA559">
        <v>17</v>
      </c>
      <c r="BB559">
        <v>9</v>
      </c>
      <c r="BC559">
        <v>26</v>
      </c>
      <c r="BD559">
        <v>68</v>
      </c>
      <c r="BE559">
        <v>25</v>
      </c>
      <c r="BF559">
        <v>71</v>
      </c>
      <c r="BG559">
        <v>7.72</v>
      </c>
      <c r="BH559">
        <v>4.3099999999999996</v>
      </c>
      <c r="BI559">
        <v>2.9</v>
      </c>
      <c r="BJ559">
        <v>3.45</v>
      </c>
      <c r="BK559">
        <v>2.2999999999999998</v>
      </c>
      <c r="BL559">
        <f>(1/Table1[[#This Row],[odds_ft_home_team_win]]+1/Table1[[#This Row],[odds_ft_draw]]+1/Table1[[#This Row],[odds_ft_away_team_win]]-1)/3</f>
        <v>2.3155089122105583E-2</v>
      </c>
      <c r="BM559">
        <v>1.25</v>
      </c>
      <c r="BN559">
        <v>1.71</v>
      </c>
      <c r="BO559">
        <v>2.5</v>
      </c>
      <c r="BP559">
        <v>4.05</v>
      </c>
      <c r="BQ559">
        <v>1.61</v>
      </c>
      <c r="BR559">
        <v>2.25</v>
      </c>
      <c r="BS559" t="s">
        <v>110</v>
      </c>
      <c r="BT559">
        <f>VLOOKUP(Table1[[#This Row],[Reference]],metron,8,FALSE)</f>
        <v>1.274681051426811</v>
      </c>
      <c r="BU559">
        <f>VLOOKUP(Table1[[#This Row],[Reference]],metron,9,FALSE)</f>
        <v>1.4392482240810365</v>
      </c>
      <c r="BV559">
        <f>VLOOKUP(Table1[[#This Row],[Reference]],metron,10,FALSE)</f>
        <v>2.5313454284174597</v>
      </c>
      <c r="BW559">
        <f>VLOOKUP(Table1[[#This Row],[Reference]],metron,11,FALSE)</f>
        <v>1.210167055864918</v>
      </c>
      <c r="BX559">
        <f>VLOOKUP(Table1[[#This Row],[Reference]],metron,12,FALSE)</f>
        <v>1.3211783725525419</v>
      </c>
      <c r="BY559" s="6">
        <f>VLOOKUP(Table1[[#This Row],[Reference]],metron,13,FALSE)</f>
        <v>0.53135669362084459</v>
      </c>
      <c r="BZ559" s="6">
        <f>VLOOKUP(Table1[[#This Row],[Reference]],metron,14,FALSE)</f>
        <v>0.55633423180592989</v>
      </c>
      <c r="CA559" s="6">
        <f>VLOOKUP(Table1[[#This Row],[Reference]],metron,15,FALSE)</f>
        <v>11.21109010712035</v>
      </c>
      <c r="CB559" s="6">
        <f>VLOOKUP(Table1[[#This Row],[Reference]],metron,16,FALSE)</f>
        <v>11.01700787401575</v>
      </c>
      <c r="CC559" s="6">
        <f>VLOOKUP(Table1[[#This Row],[Reference]],metron,17,FALSE)</f>
        <v>4.6792332268370611</v>
      </c>
      <c r="CD559" s="6">
        <f>VLOOKUP(Table1[[#This Row],[Reference]],metron,18,FALSE)</f>
        <v>4.7080804854679013</v>
      </c>
      <c r="CE559" s="6">
        <f>VLOOKUP(Table1[[#This Row],[Reference]],metron,19,FALSE)</f>
        <v>6.5318568802832893</v>
      </c>
      <c r="CF559" s="6">
        <f>VLOOKUP(Table1[[#This Row],[Reference]],metron,20,FALSE)</f>
        <v>6.3089273885478487</v>
      </c>
      <c r="CG559" s="6">
        <f>VLOOKUP(Table1[[#This Row],[Reference]],metron,21,FALSE)</f>
        <v>12.72547770700637</v>
      </c>
      <c r="CH559" s="6">
        <f>VLOOKUP(Table1[[#This Row],[Reference]],metron,22,FALSE)</f>
        <v>13.06847133757962</v>
      </c>
      <c r="CI559" s="6">
        <f>VLOOKUP(Table1[[#This Row],[Reference]],metron,23,FALSE)</f>
        <v>1.6902356902356901</v>
      </c>
      <c r="CJ559" s="6">
        <f>VLOOKUP(Table1[[#This Row],[Reference]],metron,24,FALSE)</f>
        <v>1.8050198959289869</v>
      </c>
      <c r="CK559" s="6">
        <f>VLOOKUP(Table1[[#This Row],[Reference]],metron,25,FALSE)</f>
        <v>0.105907560453015</v>
      </c>
      <c r="CL559" s="6">
        <f>VLOOKUP(Table1[[#This Row],[Reference]],metron,26,FALSE)</f>
        <v>0.1141720232629324</v>
      </c>
    </row>
    <row r="560" spans="1:90" x14ac:dyDescent="0.45">
      <c r="A560" t="s">
        <v>1256</v>
      </c>
      <c r="B560">
        <v>1613187000</v>
      </c>
      <c r="C560" s="23" t="s">
        <v>1054</v>
      </c>
      <c r="D560" t="s">
        <v>65</v>
      </c>
      <c r="E560" t="s">
        <v>66</v>
      </c>
      <c r="F560" t="s">
        <v>113</v>
      </c>
      <c r="G560" t="s">
        <v>91</v>
      </c>
      <c r="H560" t="s">
        <v>122</v>
      </c>
      <c r="I560">
        <f>MROUND(Table1[[#This Row],[ProbH]]*100,2)/100</f>
        <v>0.44</v>
      </c>
      <c r="J560">
        <f>1/Table1[[#This Row],[odds_ft_home_team_win]]-Table1[[#This Row],[Margin]]</f>
        <v>0.44134426258688669</v>
      </c>
      <c r="K560">
        <f>1/Table1[[#This Row],[odds_ft_draw]]-Table1[[#This Row],[Margin]]</f>
        <v>0.2747354462036864</v>
      </c>
      <c r="L560">
        <f>1/Table1[[#This Row],[odds_ft_away_team_win]]-Table1[[#This Row],[Margin]]</f>
        <v>0.28392029120942697</v>
      </c>
      <c r="M560">
        <v>6</v>
      </c>
      <c r="N560">
        <v>1.64</v>
      </c>
      <c r="O560">
        <v>0.27</v>
      </c>
      <c r="P560">
        <v>1.53</v>
      </c>
      <c r="Q560">
        <v>0.35</v>
      </c>
      <c r="R560" t="str" cm="1">
        <f t="array" ref="R5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60">
        <v>0</v>
      </c>
      <c r="T560">
        <v>3</v>
      </c>
      <c r="U560">
        <v>3</v>
      </c>
      <c r="V560">
        <v>2</v>
      </c>
      <c r="W560">
        <v>0</v>
      </c>
      <c r="X560">
        <v>2</v>
      </c>
      <c r="Z560" t="s">
        <v>1055</v>
      </c>
      <c r="AA560">
        <v>6</v>
      </c>
      <c r="AB560">
        <v>2</v>
      </c>
      <c r="AC560">
        <v>4</v>
      </c>
      <c r="AD560">
        <v>0</v>
      </c>
      <c r="AE560">
        <v>1</v>
      </c>
      <c r="AF560">
        <v>0</v>
      </c>
      <c r="AG560">
        <v>2</v>
      </c>
      <c r="AH560">
        <v>2</v>
      </c>
      <c r="AI560">
        <v>0</v>
      </c>
      <c r="AJ560">
        <v>1</v>
      </c>
      <c r="AK560">
        <v>21</v>
      </c>
      <c r="AL560">
        <v>9</v>
      </c>
      <c r="AM560">
        <v>6</v>
      </c>
      <c r="AN560">
        <v>6</v>
      </c>
      <c r="AO560">
        <v>15</v>
      </c>
      <c r="AP560">
        <v>3</v>
      </c>
      <c r="AQ560">
        <v>11</v>
      </c>
      <c r="AR560">
        <v>20</v>
      </c>
      <c r="AS560">
        <v>54</v>
      </c>
      <c r="AT560">
        <v>46</v>
      </c>
      <c r="AU560">
        <v>2.09</v>
      </c>
      <c r="AV560">
        <v>1.22</v>
      </c>
      <c r="AW560">
        <v>2.82</v>
      </c>
      <c r="AX560">
        <v>60</v>
      </c>
      <c r="AY560">
        <v>73</v>
      </c>
      <c r="AZ560">
        <v>64</v>
      </c>
      <c r="BA560">
        <v>32</v>
      </c>
      <c r="BB560">
        <v>23</v>
      </c>
      <c r="BC560">
        <v>41</v>
      </c>
      <c r="BD560">
        <v>69</v>
      </c>
      <c r="BE560">
        <v>50</v>
      </c>
      <c r="BF560">
        <v>73</v>
      </c>
      <c r="BG560">
        <v>7.64</v>
      </c>
      <c r="BH560">
        <v>5</v>
      </c>
      <c r="BI560">
        <v>2.15</v>
      </c>
      <c r="BJ560">
        <v>3.35</v>
      </c>
      <c r="BK560">
        <v>3.25</v>
      </c>
      <c r="BL560">
        <f>(1/Table1[[#This Row],[odds_ft_home_team_win]]+1/Table1[[#This Row],[odds_ft_draw]]+1/Table1[[#This Row],[odds_ft_away_team_win]]-1)/3</f>
        <v>2.3772016482880742E-2</v>
      </c>
      <c r="BM560">
        <v>1.34</v>
      </c>
      <c r="BN560">
        <v>1.91</v>
      </c>
      <c r="BO560">
        <v>3.1</v>
      </c>
      <c r="BP560">
        <v>5.5</v>
      </c>
      <c r="BQ560">
        <v>1.77</v>
      </c>
      <c r="BR560">
        <v>2</v>
      </c>
      <c r="BS560" t="s">
        <v>120</v>
      </c>
      <c r="BT560">
        <f>VLOOKUP(Table1[[#This Row],[Reference]],metron,8,FALSE)</f>
        <v>1.6395459745305552</v>
      </c>
      <c r="BU560">
        <f>VLOOKUP(Table1[[#This Row],[Reference]],metron,9,FALSE)</f>
        <v>1.0758429359324786</v>
      </c>
      <c r="BV560">
        <f>VLOOKUP(Table1[[#This Row],[Reference]],metron,10,FALSE)</f>
        <v>2.4807646356033461</v>
      </c>
      <c r="BW560">
        <f>VLOOKUP(Table1[[#This Row],[Reference]],metron,11,FALSE)</f>
        <v>1.4140979689366791</v>
      </c>
      <c r="BX560">
        <f>VLOOKUP(Table1[[#This Row],[Reference]],metron,12,FALSE)</f>
        <v>1.0666666666666671</v>
      </c>
      <c r="BY560" s="6">
        <f>VLOOKUP(Table1[[#This Row],[Reference]],metron,13,FALSE)</f>
        <v>0.62712066905615294</v>
      </c>
      <c r="BZ560" s="6">
        <f>VLOOKUP(Table1[[#This Row],[Reference]],metron,14,FALSE)</f>
        <v>0.46009557945041818</v>
      </c>
      <c r="CA560" s="6">
        <f>VLOOKUP(Table1[[#This Row],[Reference]],metron,15,FALSE)</f>
        <v>12.56969280146722</v>
      </c>
      <c r="CB560" s="6">
        <f>VLOOKUP(Table1[[#This Row],[Reference]],metron,16,FALSE)</f>
        <v>9.8695552498853729</v>
      </c>
      <c r="CC560" s="6">
        <f>VLOOKUP(Table1[[#This Row],[Reference]],metron,17,FALSE)</f>
        <v>5.2754256787850897</v>
      </c>
      <c r="CD560" s="6">
        <f>VLOOKUP(Table1[[#This Row],[Reference]],metron,18,FALSE)</f>
        <v>4.1279337321675103</v>
      </c>
      <c r="CE560" s="6">
        <f>VLOOKUP(Table1[[#This Row],[Reference]],metron,19,FALSE)</f>
        <v>7.2942671226821298</v>
      </c>
      <c r="CF560" s="6">
        <f>VLOOKUP(Table1[[#This Row],[Reference]],metron,20,FALSE)</f>
        <v>5.7416215177178627</v>
      </c>
      <c r="CG560" s="6">
        <f>VLOOKUP(Table1[[#This Row],[Reference]],metron,21,FALSE)</f>
        <v>12.897246007868549</v>
      </c>
      <c r="CH560" s="6">
        <f>VLOOKUP(Table1[[#This Row],[Reference]],metron,22,FALSE)</f>
        <v>13.507058551261281</v>
      </c>
      <c r="CI560" s="6">
        <f>VLOOKUP(Table1[[#This Row],[Reference]],metron,23,FALSE)</f>
        <v>1.576522702104098</v>
      </c>
      <c r="CJ560" s="6">
        <f>VLOOKUP(Table1[[#This Row],[Reference]],metron,24,FALSE)</f>
        <v>1.917165005537099</v>
      </c>
      <c r="CK560" s="6">
        <f>VLOOKUP(Table1[[#This Row],[Reference]],metron,25,FALSE)</f>
        <v>8.4385382059800659E-2</v>
      </c>
      <c r="CL560" s="6">
        <f>VLOOKUP(Table1[[#This Row],[Reference]],metron,26,FALSE)</f>
        <v>0.1233665559246955</v>
      </c>
    </row>
    <row r="561" spans="1:90" x14ac:dyDescent="0.45">
      <c r="A561" t="s">
        <v>1256</v>
      </c>
      <c r="B561">
        <v>1613264400</v>
      </c>
      <c r="C561" s="23" t="s">
        <v>1056</v>
      </c>
      <c r="D561" t="s">
        <v>65</v>
      </c>
      <c r="E561" t="s">
        <v>66</v>
      </c>
      <c r="F561" t="s">
        <v>90</v>
      </c>
      <c r="G561" t="s">
        <v>72</v>
      </c>
      <c r="H561" t="s">
        <v>114</v>
      </c>
      <c r="I561">
        <f>MROUND(Table1[[#This Row],[ProbH]]*100,2)/100</f>
        <v>0.54</v>
      </c>
      <c r="J561">
        <f>1/Table1[[#This Row],[odds_ft_home_team_win]]-Table1[[#This Row],[Margin]]</f>
        <v>0.53301127214170696</v>
      </c>
      <c r="K561">
        <f>1/Table1[[#This Row],[odds_ft_draw]]-Table1[[#This Row],[Margin]]</f>
        <v>0.26731078904991956</v>
      </c>
      <c r="L561">
        <f>1/Table1[[#This Row],[odds_ft_away_team_win]]-Table1[[#This Row],[Margin]]</f>
        <v>0.19967793880837362</v>
      </c>
      <c r="M561">
        <v>6</v>
      </c>
      <c r="N561">
        <v>1.64</v>
      </c>
      <c r="O561">
        <v>1</v>
      </c>
      <c r="P561">
        <v>1.6</v>
      </c>
      <c r="Q561">
        <v>0.72</v>
      </c>
      <c r="R561" t="str" cm="1">
        <f t="array" ref="R5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61">
        <v>2</v>
      </c>
      <c r="T561">
        <v>2</v>
      </c>
      <c r="U561">
        <v>4</v>
      </c>
      <c r="V561">
        <v>2</v>
      </c>
      <c r="W561">
        <v>1</v>
      </c>
      <c r="X561">
        <v>1</v>
      </c>
      <c r="Y561" t="s">
        <v>1057</v>
      </c>
      <c r="Z561" t="s">
        <v>1058</v>
      </c>
      <c r="AA561">
        <v>6</v>
      </c>
      <c r="AB561">
        <v>3</v>
      </c>
      <c r="AC561">
        <v>0</v>
      </c>
      <c r="AD561">
        <v>0</v>
      </c>
      <c r="AE561">
        <v>3</v>
      </c>
      <c r="AF561">
        <v>0</v>
      </c>
      <c r="AG561">
        <v>0</v>
      </c>
      <c r="AH561">
        <v>0</v>
      </c>
      <c r="AI561">
        <v>0</v>
      </c>
      <c r="AJ561">
        <v>3</v>
      </c>
      <c r="AK561">
        <v>15</v>
      </c>
      <c r="AL561">
        <v>10</v>
      </c>
      <c r="AM561">
        <v>6</v>
      </c>
      <c r="AN561">
        <v>3</v>
      </c>
      <c r="AO561">
        <v>9</v>
      </c>
      <c r="AP561">
        <v>7</v>
      </c>
      <c r="AQ561">
        <v>9</v>
      </c>
      <c r="AR561">
        <v>9</v>
      </c>
      <c r="AS561">
        <v>66</v>
      </c>
      <c r="AT561">
        <v>34</v>
      </c>
      <c r="AU561">
        <v>1.77</v>
      </c>
      <c r="AV561">
        <v>1.03</v>
      </c>
      <c r="AW561">
        <v>2.04</v>
      </c>
      <c r="AX561">
        <v>50</v>
      </c>
      <c r="AY561">
        <v>61</v>
      </c>
      <c r="AZ561">
        <v>31</v>
      </c>
      <c r="BA561">
        <v>11</v>
      </c>
      <c r="BB561">
        <v>8</v>
      </c>
      <c r="BC561">
        <v>23</v>
      </c>
      <c r="BD561">
        <v>58</v>
      </c>
      <c r="BE561">
        <v>27</v>
      </c>
      <c r="BF561">
        <v>77</v>
      </c>
      <c r="BG561">
        <v>8.11</v>
      </c>
      <c r="BH561">
        <v>4.53</v>
      </c>
      <c r="BI561">
        <v>1.8</v>
      </c>
      <c r="BJ561">
        <v>3.45</v>
      </c>
      <c r="BK561">
        <v>4.5</v>
      </c>
      <c r="BL561">
        <f>(1/Table1[[#This Row],[odds_ft_home_team_win]]+1/Table1[[#This Row],[odds_ft_draw]]+1/Table1[[#This Row],[odds_ft_away_team_win]]-1)/3</f>
        <v>2.2544283413848582E-2</v>
      </c>
      <c r="BM561">
        <v>1.45</v>
      </c>
      <c r="BN561">
        <v>2.2000000000000002</v>
      </c>
      <c r="BO561">
        <v>3.65</v>
      </c>
      <c r="BP561">
        <v>6.75</v>
      </c>
      <c r="BQ561">
        <v>2.15</v>
      </c>
      <c r="BR561">
        <v>1.65</v>
      </c>
      <c r="BS561" t="s">
        <v>94</v>
      </c>
      <c r="BT561">
        <f>VLOOKUP(Table1[[#This Row],[Reference]],metron,8,FALSE)</f>
        <v>1.915666026436746</v>
      </c>
      <c r="BU561">
        <f>VLOOKUP(Table1[[#This Row],[Reference]],metron,9,FALSE)</f>
        <v>0.82283834599204153</v>
      </c>
      <c r="BV561">
        <f>VLOOKUP(Table1[[#This Row],[Reference]],metron,10,FALSE)</f>
        <v>2.6359702267612941</v>
      </c>
      <c r="BW561">
        <f>VLOOKUP(Table1[[#This Row],[Reference]],metron,11,FALSE)</f>
        <v>1.684957590444867</v>
      </c>
      <c r="BX561">
        <f>VLOOKUP(Table1[[#This Row],[Reference]],metron,12,FALSE)</f>
        <v>0.95101263631642718</v>
      </c>
      <c r="BY561" s="6">
        <f>VLOOKUP(Table1[[#This Row],[Reference]],metron,13,FALSE)</f>
        <v>0.72650164445213783</v>
      </c>
      <c r="BZ561" s="6">
        <f>VLOOKUP(Table1[[#This Row],[Reference]],metron,14,FALSE)</f>
        <v>0.42097974727367138</v>
      </c>
      <c r="CA561" s="6">
        <f>VLOOKUP(Table1[[#This Row],[Reference]],metron,15,FALSE)</f>
        <v>13.338806970509379</v>
      </c>
      <c r="CB561" s="6">
        <f>VLOOKUP(Table1[[#This Row],[Reference]],metron,16,FALSE)</f>
        <v>9.2530160857908843</v>
      </c>
      <c r="CC561" s="6">
        <f>VLOOKUP(Table1[[#This Row],[Reference]],metron,17,FALSE)</f>
        <v>5.9915081521739131</v>
      </c>
      <c r="CD561" s="6">
        <f>VLOOKUP(Table1[[#This Row],[Reference]],metron,18,FALSE)</f>
        <v>3.9772418478260869</v>
      </c>
      <c r="CE561" s="6">
        <f>VLOOKUP(Table1[[#This Row],[Reference]],metron,19,FALSE)</f>
        <v>7.3472988183354664</v>
      </c>
      <c r="CF561" s="6">
        <f>VLOOKUP(Table1[[#This Row],[Reference]],metron,20,FALSE)</f>
        <v>5.2757742379647974</v>
      </c>
      <c r="CG561" s="6">
        <f>VLOOKUP(Table1[[#This Row],[Reference]],metron,21,FALSE)</f>
        <v>12.59428182437032</v>
      </c>
      <c r="CH561" s="6">
        <f>VLOOKUP(Table1[[#This Row],[Reference]],metron,22,FALSE)</f>
        <v>13.577944179714089</v>
      </c>
      <c r="CI561" s="6">
        <f>VLOOKUP(Table1[[#This Row],[Reference]],metron,23,FALSE)</f>
        <v>1.4276913099870301</v>
      </c>
      <c r="CJ561" s="6">
        <f>VLOOKUP(Table1[[#This Row],[Reference]],metron,24,FALSE)</f>
        <v>1.940985732814527</v>
      </c>
      <c r="CK561" s="6">
        <f>VLOOKUP(Table1[[#This Row],[Reference]],metron,25,FALSE)</f>
        <v>8.0739299610894946E-2</v>
      </c>
      <c r="CL561" s="6">
        <f>VLOOKUP(Table1[[#This Row],[Reference]],metron,26,FALSE)</f>
        <v>0.12743190661478601</v>
      </c>
    </row>
    <row r="562" spans="1:90" x14ac:dyDescent="0.45">
      <c r="A562" t="s">
        <v>1256</v>
      </c>
      <c r="B562">
        <v>1613271600</v>
      </c>
      <c r="C562" s="23" t="s">
        <v>1059</v>
      </c>
      <c r="D562" t="s">
        <v>65</v>
      </c>
      <c r="E562" t="s">
        <v>66</v>
      </c>
      <c r="F562" t="s">
        <v>68</v>
      </c>
      <c r="G562" t="s">
        <v>67</v>
      </c>
      <c r="H562" t="s">
        <v>133</v>
      </c>
      <c r="I562">
        <f>MROUND(Table1[[#This Row],[ProbH]]*100,2)/100</f>
        <v>0.54</v>
      </c>
      <c r="J562">
        <f>1/Table1[[#This Row],[odds_ft_home_team_win]]-Table1[[#This Row],[Margin]]</f>
        <v>0.54227930425424897</v>
      </c>
      <c r="K562">
        <f>1/Table1[[#This Row],[odds_ft_draw]]-Table1[[#This Row],[Margin]]</f>
        <v>0.26302183855610528</v>
      </c>
      <c r="L562">
        <f>1/Table1[[#This Row],[odds_ft_away_team_win]]-Table1[[#This Row],[Margin]]</f>
        <v>0.19469885718964569</v>
      </c>
      <c r="M562">
        <v>6</v>
      </c>
      <c r="N562">
        <v>2.23</v>
      </c>
      <c r="O562">
        <v>0.18</v>
      </c>
      <c r="P562">
        <v>2.37</v>
      </c>
      <c r="Q562">
        <v>0.17</v>
      </c>
      <c r="R562" t="str" cm="1">
        <f t="array" ref="R5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2">
        <v>2</v>
      </c>
      <c r="T562">
        <v>1</v>
      </c>
      <c r="U562">
        <v>3</v>
      </c>
      <c r="V562">
        <v>2</v>
      </c>
      <c r="W562">
        <v>1</v>
      </c>
      <c r="X562">
        <v>1</v>
      </c>
      <c r="Y562" t="s">
        <v>1060</v>
      </c>
      <c r="Z562" t="s">
        <v>148</v>
      </c>
      <c r="AA562">
        <v>9</v>
      </c>
      <c r="AB562">
        <v>3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2</v>
      </c>
      <c r="AJ562">
        <v>0</v>
      </c>
      <c r="AK562">
        <v>23</v>
      </c>
      <c r="AL562">
        <v>10</v>
      </c>
      <c r="AM562">
        <v>8</v>
      </c>
      <c r="AN562">
        <v>3</v>
      </c>
      <c r="AO562">
        <v>15</v>
      </c>
      <c r="AP562">
        <v>7</v>
      </c>
      <c r="AQ562">
        <v>19</v>
      </c>
      <c r="AR562">
        <v>9</v>
      </c>
      <c r="AS562">
        <v>73</v>
      </c>
      <c r="AT562">
        <v>27</v>
      </c>
      <c r="AU562">
        <v>2.4300000000000002</v>
      </c>
      <c r="AV562">
        <v>1.1000000000000001</v>
      </c>
      <c r="AW562">
        <v>2.97</v>
      </c>
      <c r="AX562">
        <v>63</v>
      </c>
      <c r="AY562">
        <v>75</v>
      </c>
      <c r="AZ562">
        <v>63</v>
      </c>
      <c r="BA562">
        <v>41</v>
      </c>
      <c r="BB562">
        <v>14</v>
      </c>
      <c r="BC562">
        <v>34</v>
      </c>
      <c r="BD562">
        <v>80</v>
      </c>
      <c r="BE562">
        <v>45</v>
      </c>
      <c r="BF562">
        <v>84</v>
      </c>
      <c r="BG562">
        <v>9.01</v>
      </c>
      <c r="BH562">
        <v>4.45</v>
      </c>
      <c r="BI562">
        <v>1.77</v>
      </c>
      <c r="BJ562">
        <v>3.5</v>
      </c>
      <c r="BK562">
        <v>4.5999999999999996</v>
      </c>
      <c r="BL562">
        <f>(1/Table1[[#This Row],[odds_ft_home_team_win]]+1/Table1[[#This Row],[odds_ft_draw]]+1/Table1[[#This Row],[odds_ft_away_team_win]]-1)/3</f>
        <v>2.2692447158180418E-2</v>
      </c>
      <c r="BM562">
        <v>1.38</v>
      </c>
      <c r="BN562">
        <v>2</v>
      </c>
      <c r="BO562">
        <v>3.25</v>
      </c>
      <c r="BP562">
        <v>6.75</v>
      </c>
      <c r="BQ562">
        <v>2</v>
      </c>
      <c r="BR562">
        <v>1.77</v>
      </c>
      <c r="BS562" t="s">
        <v>116</v>
      </c>
      <c r="BT562">
        <f>VLOOKUP(Table1[[#This Row],[Reference]],metron,8,FALSE)</f>
        <v>1.915666026436746</v>
      </c>
      <c r="BU562">
        <f>VLOOKUP(Table1[[#This Row],[Reference]],metron,9,FALSE)</f>
        <v>0.82283834599204153</v>
      </c>
      <c r="BV562">
        <f>VLOOKUP(Table1[[#This Row],[Reference]],metron,10,FALSE)</f>
        <v>2.6359702267612941</v>
      </c>
      <c r="BW562">
        <f>VLOOKUP(Table1[[#This Row],[Reference]],metron,11,FALSE)</f>
        <v>1.684957590444867</v>
      </c>
      <c r="BX562">
        <f>VLOOKUP(Table1[[#This Row],[Reference]],metron,12,FALSE)</f>
        <v>0.95101263631642718</v>
      </c>
      <c r="BY562" s="6">
        <f>VLOOKUP(Table1[[#This Row],[Reference]],metron,13,FALSE)</f>
        <v>0.72650164445213783</v>
      </c>
      <c r="BZ562" s="6">
        <f>VLOOKUP(Table1[[#This Row],[Reference]],metron,14,FALSE)</f>
        <v>0.42097974727367138</v>
      </c>
      <c r="CA562" s="6">
        <f>VLOOKUP(Table1[[#This Row],[Reference]],metron,15,FALSE)</f>
        <v>13.338806970509379</v>
      </c>
      <c r="CB562" s="6">
        <f>VLOOKUP(Table1[[#This Row],[Reference]],metron,16,FALSE)</f>
        <v>9.2530160857908843</v>
      </c>
      <c r="CC562" s="6">
        <f>VLOOKUP(Table1[[#This Row],[Reference]],metron,17,FALSE)</f>
        <v>5.9915081521739131</v>
      </c>
      <c r="CD562" s="6">
        <f>VLOOKUP(Table1[[#This Row],[Reference]],metron,18,FALSE)</f>
        <v>3.9772418478260869</v>
      </c>
      <c r="CE562" s="6">
        <f>VLOOKUP(Table1[[#This Row],[Reference]],metron,19,FALSE)</f>
        <v>7.3472988183354664</v>
      </c>
      <c r="CF562" s="6">
        <f>VLOOKUP(Table1[[#This Row],[Reference]],metron,20,FALSE)</f>
        <v>5.2757742379647974</v>
      </c>
      <c r="CG562" s="6">
        <f>VLOOKUP(Table1[[#This Row],[Reference]],metron,21,FALSE)</f>
        <v>12.59428182437032</v>
      </c>
      <c r="CH562" s="6">
        <f>VLOOKUP(Table1[[#This Row],[Reference]],metron,22,FALSE)</f>
        <v>13.577944179714089</v>
      </c>
      <c r="CI562" s="6">
        <f>VLOOKUP(Table1[[#This Row],[Reference]],metron,23,FALSE)</f>
        <v>1.4276913099870301</v>
      </c>
      <c r="CJ562" s="6">
        <f>VLOOKUP(Table1[[#This Row],[Reference]],metron,24,FALSE)</f>
        <v>1.940985732814527</v>
      </c>
      <c r="CK562" s="6">
        <f>VLOOKUP(Table1[[#This Row],[Reference]],metron,25,FALSE)</f>
        <v>8.0739299610894946E-2</v>
      </c>
      <c r="CL562" s="6">
        <f>VLOOKUP(Table1[[#This Row],[Reference]],metron,26,FALSE)</f>
        <v>0.12743190661478601</v>
      </c>
    </row>
    <row r="563" spans="1:90" x14ac:dyDescent="0.45">
      <c r="A563" t="s">
        <v>1256</v>
      </c>
      <c r="B563">
        <v>1613325600</v>
      </c>
      <c r="C563" s="23" t="s">
        <v>1061</v>
      </c>
      <c r="D563" t="s">
        <v>65</v>
      </c>
      <c r="E563" t="s">
        <v>66</v>
      </c>
      <c r="F563" t="s">
        <v>79</v>
      </c>
      <c r="G563" t="s">
        <v>96</v>
      </c>
      <c r="H563" t="s">
        <v>98</v>
      </c>
      <c r="I563">
        <f>MROUND(Table1[[#This Row],[ProbH]]*100,2)/100</f>
        <v>0.52</v>
      </c>
      <c r="J563">
        <f>1/Table1[[#This Row],[odds_ft_home_team_win]]-Table1[[#This Row],[Margin]]</f>
        <v>0.51079607303365726</v>
      </c>
      <c r="K563">
        <f>1/Table1[[#This Row],[odds_ft_draw]]-Table1[[#This Row],[Margin]]</f>
        <v>0.25000931748461336</v>
      </c>
      <c r="L563">
        <f>1/Table1[[#This Row],[odds_ft_away_team_win]]-Table1[[#This Row],[Margin]]</f>
        <v>0.23919460948172941</v>
      </c>
      <c r="M563">
        <v>6</v>
      </c>
      <c r="N563">
        <v>2.27</v>
      </c>
      <c r="O563">
        <v>1.21</v>
      </c>
      <c r="P563">
        <v>2</v>
      </c>
      <c r="Q563">
        <v>1.25</v>
      </c>
      <c r="R563" t="str" cm="1">
        <f t="array" ref="R5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88</v>
      </c>
      <c r="AA563">
        <v>7</v>
      </c>
      <c r="AB563">
        <v>4</v>
      </c>
      <c r="AC563">
        <v>1</v>
      </c>
      <c r="AD563">
        <v>0</v>
      </c>
      <c r="AE563">
        <v>3</v>
      </c>
      <c r="AF563">
        <v>0</v>
      </c>
      <c r="AG563">
        <v>0</v>
      </c>
      <c r="AH563">
        <v>1</v>
      </c>
      <c r="AI563">
        <v>1</v>
      </c>
      <c r="AJ563">
        <v>2</v>
      </c>
      <c r="AK563">
        <v>12</v>
      </c>
      <c r="AL563">
        <v>10</v>
      </c>
      <c r="AM563">
        <v>4</v>
      </c>
      <c r="AN563">
        <v>3</v>
      </c>
      <c r="AO563">
        <v>8</v>
      </c>
      <c r="AP563">
        <v>7</v>
      </c>
      <c r="AQ563">
        <v>15</v>
      </c>
      <c r="AR563">
        <v>13</v>
      </c>
      <c r="AS563">
        <v>52</v>
      </c>
      <c r="AT563">
        <v>48</v>
      </c>
      <c r="AU563">
        <v>1.39</v>
      </c>
      <c r="AV563">
        <v>1.04</v>
      </c>
      <c r="AW563">
        <v>2.58</v>
      </c>
      <c r="AX563">
        <v>49</v>
      </c>
      <c r="AY563">
        <v>77</v>
      </c>
      <c r="AZ563">
        <v>46</v>
      </c>
      <c r="BA563">
        <v>30</v>
      </c>
      <c r="BB563">
        <v>14</v>
      </c>
      <c r="BC563">
        <v>42</v>
      </c>
      <c r="BD563">
        <v>77</v>
      </c>
      <c r="BE563">
        <v>41</v>
      </c>
      <c r="BF563">
        <v>74</v>
      </c>
      <c r="BG563">
        <v>9.52</v>
      </c>
      <c r="BH563">
        <v>4.2300000000000004</v>
      </c>
      <c r="BI563">
        <v>1.87</v>
      </c>
      <c r="BJ563">
        <v>3.65</v>
      </c>
      <c r="BK563">
        <v>3.8</v>
      </c>
      <c r="BL563">
        <f>(1/Table1[[#This Row],[odds_ft_home_team_win]]+1/Table1[[#This Row],[odds_ft_draw]]+1/Table1[[#This Row],[odds_ft_away_team_win]]-1)/3</f>
        <v>2.3963285255112671E-2</v>
      </c>
      <c r="BM563">
        <v>1.29</v>
      </c>
      <c r="BN563">
        <v>1.8</v>
      </c>
      <c r="BO563">
        <v>2.9</v>
      </c>
      <c r="BP563">
        <v>4.8499999999999996</v>
      </c>
      <c r="BQ563">
        <v>1.74</v>
      </c>
      <c r="BR563">
        <v>2.0499999999999998</v>
      </c>
      <c r="BS563" t="s">
        <v>140</v>
      </c>
      <c r="BT563">
        <f>VLOOKUP(Table1[[#This Row],[Reference]],metron,8,FALSE)</f>
        <v>1.8614830167843088</v>
      </c>
      <c r="BU563">
        <f>VLOOKUP(Table1[[#This Row],[Reference]],metron,9,FALSE)</f>
        <v>0.87079851622593896</v>
      </c>
      <c r="BV563">
        <f>VLOOKUP(Table1[[#This Row],[Reference]],metron,10,FALSE)</f>
        <v>2.5967403582378576</v>
      </c>
      <c r="BW563">
        <f>VLOOKUP(Table1[[#This Row],[Reference]],metron,11,FALSE)</f>
        <v>1.625948039373891</v>
      </c>
      <c r="BX563">
        <f>VLOOKUP(Table1[[#This Row],[Reference]],metron,12,FALSE)</f>
        <v>0.97079231886396644</v>
      </c>
      <c r="BY563" s="6">
        <f>VLOOKUP(Table1[[#This Row],[Reference]],metron,13,FALSE)</f>
        <v>0.71433182698515174</v>
      </c>
      <c r="BZ563" s="6">
        <f>VLOOKUP(Table1[[#This Row],[Reference]],metron,14,FALSE)</f>
        <v>0.43011620400258233</v>
      </c>
      <c r="CA563" s="6">
        <f>VLOOKUP(Table1[[#This Row],[Reference]],metron,15,FALSE)</f>
        <v>13.39951055368614</v>
      </c>
      <c r="CB563" s="6">
        <f>VLOOKUP(Table1[[#This Row],[Reference]],metron,16,FALSE)</f>
        <v>9.4252064851636579</v>
      </c>
      <c r="CC563" s="6">
        <f>VLOOKUP(Table1[[#This Row],[Reference]],metron,17,FALSE)</f>
        <v>5.7628422023992618</v>
      </c>
      <c r="CD563" s="6">
        <f>VLOOKUP(Table1[[#This Row],[Reference]],metron,18,FALSE)</f>
        <v>3.9375576745616732</v>
      </c>
      <c r="CE563" s="6">
        <f>VLOOKUP(Table1[[#This Row],[Reference]],metron,19,FALSE)</f>
        <v>7.636668351286878</v>
      </c>
      <c r="CF563" s="6">
        <f>VLOOKUP(Table1[[#This Row],[Reference]],metron,20,FALSE)</f>
        <v>5.4876488106019847</v>
      </c>
      <c r="CG563" s="6">
        <f>VLOOKUP(Table1[[#This Row],[Reference]],metron,21,FALSE)</f>
        <v>12.460420531849101</v>
      </c>
      <c r="CH563" s="6">
        <f>VLOOKUP(Table1[[#This Row],[Reference]],metron,22,FALSE)</f>
        <v>13.44897959183673</v>
      </c>
      <c r="CI563" s="6">
        <f>VLOOKUP(Table1[[#This Row],[Reference]],metron,23,FALSE)</f>
        <v>1.462202380952381</v>
      </c>
      <c r="CJ563" s="6">
        <f>VLOOKUP(Table1[[#This Row],[Reference]],metron,24,FALSE)</f>
        <v>2.01547619047619</v>
      </c>
      <c r="CK563" s="6">
        <f>VLOOKUP(Table1[[#This Row],[Reference]],metron,25,FALSE)</f>
        <v>7.7380952380952384E-2</v>
      </c>
      <c r="CL563" s="6">
        <f>VLOOKUP(Table1[[#This Row],[Reference]],metron,26,FALSE)</f>
        <v>0.13754093480202439</v>
      </c>
    </row>
    <row r="564" spans="1:90" x14ac:dyDescent="0.45">
      <c r="A564" t="s">
        <v>1256</v>
      </c>
      <c r="B564">
        <v>1613351160</v>
      </c>
      <c r="C564" s="23" t="s">
        <v>1062</v>
      </c>
      <c r="D564" t="s">
        <v>65</v>
      </c>
      <c r="E564" t="s">
        <v>66</v>
      </c>
      <c r="F564" t="s">
        <v>73</v>
      </c>
      <c r="G564" t="s">
        <v>101</v>
      </c>
      <c r="H564" t="s">
        <v>158</v>
      </c>
      <c r="I564">
        <f>MROUND(Table1[[#This Row],[ProbH]]*100,2)/100</f>
        <v>0.3</v>
      </c>
      <c r="J564">
        <f>1/Table1[[#This Row],[odds_ft_home_team_win]]-Table1[[#This Row],[Margin]]</f>
        <v>0.30442092951002431</v>
      </c>
      <c r="K564">
        <f>1/Table1[[#This Row],[odds_ft_draw]]-Table1[[#This Row],[Margin]]</f>
        <v>0.28424438474331559</v>
      </c>
      <c r="L564">
        <f>1/Table1[[#This Row],[odds_ft_away_team_win]]-Table1[[#This Row],[Margin]]</f>
        <v>0.4113346857466601</v>
      </c>
      <c r="M564">
        <v>6</v>
      </c>
      <c r="N564">
        <v>2</v>
      </c>
      <c r="O564">
        <v>1.64</v>
      </c>
      <c r="P564">
        <v>2.09</v>
      </c>
      <c r="Q564">
        <v>1.39</v>
      </c>
      <c r="R564" s="9" t="str" cm="1">
        <f t="array" ref="R5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60</v>
      </c>
      <c r="AA564">
        <v>8</v>
      </c>
      <c r="AB564">
        <v>5</v>
      </c>
      <c r="AC564">
        <v>1</v>
      </c>
      <c r="AD564">
        <v>0</v>
      </c>
      <c r="AE564">
        <v>3</v>
      </c>
      <c r="AF564">
        <v>0</v>
      </c>
      <c r="AG564">
        <v>0</v>
      </c>
      <c r="AH564">
        <v>1</v>
      </c>
      <c r="AI564">
        <v>1</v>
      </c>
      <c r="AJ564">
        <v>2</v>
      </c>
      <c r="AK564">
        <v>9</v>
      </c>
      <c r="AL564">
        <v>20</v>
      </c>
      <c r="AM564">
        <v>3</v>
      </c>
      <c r="AN564">
        <v>3</v>
      </c>
      <c r="AO564">
        <v>6</v>
      </c>
      <c r="AP564">
        <v>17</v>
      </c>
      <c r="AQ564">
        <v>16</v>
      </c>
      <c r="AR564">
        <v>17</v>
      </c>
      <c r="AS564">
        <v>47</v>
      </c>
      <c r="AT564">
        <v>53</v>
      </c>
      <c r="AU564">
        <v>1.1399999999999999</v>
      </c>
      <c r="AV564">
        <v>1.83</v>
      </c>
      <c r="AW564">
        <v>2.35</v>
      </c>
      <c r="AX564">
        <v>58</v>
      </c>
      <c r="AY564">
        <v>83</v>
      </c>
      <c r="AZ564">
        <v>49</v>
      </c>
      <c r="BA564">
        <v>13</v>
      </c>
      <c r="BB564">
        <v>0</v>
      </c>
      <c r="BC564">
        <v>39</v>
      </c>
      <c r="BD564">
        <v>70</v>
      </c>
      <c r="BE564">
        <v>30</v>
      </c>
      <c r="BF564">
        <v>74</v>
      </c>
      <c r="BG564">
        <v>11.4</v>
      </c>
      <c r="BH564">
        <v>3.51</v>
      </c>
      <c r="BI564">
        <v>3.05</v>
      </c>
      <c r="BJ564">
        <v>3.25</v>
      </c>
      <c r="BK564">
        <v>2.2999999999999998</v>
      </c>
      <c r="BL564">
        <f>(1/Table1[[#This Row],[odds_ft_home_team_win]]+1/Table1[[#This Row],[odds_ft_draw]]+1/Table1[[#This Row],[odds_ft_away_team_win]]-1)/3</f>
        <v>2.3447922948992117E-2</v>
      </c>
      <c r="BM564">
        <v>1.35</v>
      </c>
      <c r="BN564">
        <v>1.95</v>
      </c>
      <c r="BO564">
        <v>3.25</v>
      </c>
      <c r="BP564">
        <v>5.75</v>
      </c>
      <c r="BQ564">
        <v>1.77</v>
      </c>
      <c r="BR564">
        <v>2</v>
      </c>
      <c r="BS564" t="s">
        <v>142</v>
      </c>
      <c r="BT564">
        <f>VLOOKUP(Table1[[#This Row],[Reference]],metron,8,FALSE)</f>
        <v>1.2142445227270171</v>
      </c>
      <c r="BU564">
        <f>VLOOKUP(Table1[[#This Row],[Reference]],metron,9,FALSE)</f>
        <v>1.4993969533036628</v>
      </c>
      <c r="BV564">
        <f>VLOOKUP(Table1[[#This Row],[Reference]],metron,10,FALSE)</f>
        <v>2.5726407816919519</v>
      </c>
      <c r="BW564">
        <f>VLOOKUP(Table1[[#This Row],[Reference]],metron,11,FALSE)</f>
        <v>1.1805091283106199</v>
      </c>
      <c r="BX564">
        <f>VLOOKUP(Table1[[#This Row],[Reference]],metron,12,FALSE)</f>
        <v>1.3921316533813319</v>
      </c>
      <c r="BY564" s="6">
        <f>VLOOKUP(Table1[[#This Row],[Reference]],metron,13,FALSE)</f>
        <v>0.5209673269873939</v>
      </c>
      <c r="BZ564" s="6">
        <f>VLOOKUP(Table1[[#This Row],[Reference]],metron,14,FALSE)</f>
        <v>0.61847182917417032</v>
      </c>
      <c r="CA564" s="6">
        <f>VLOOKUP(Table1[[#This Row],[Reference]],metron,15,FALSE)</f>
        <v>11.149200710479571</v>
      </c>
      <c r="CB564" s="6">
        <f>VLOOKUP(Table1[[#This Row],[Reference]],metron,16,FALSE)</f>
        <v>11.444049733570161</v>
      </c>
      <c r="CC564" s="6">
        <f>VLOOKUP(Table1[[#This Row],[Reference]],metron,17,FALSE)</f>
        <v>4.5257270693512304</v>
      </c>
      <c r="CD564" s="6">
        <f>VLOOKUP(Table1[[#This Row],[Reference]],metron,18,FALSE)</f>
        <v>4.8465324384787474</v>
      </c>
      <c r="CE564" s="6">
        <f>VLOOKUP(Table1[[#This Row],[Reference]],metron,19,FALSE)</f>
        <v>6.6234736411283404</v>
      </c>
      <c r="CF564" s="6">
        <f>VLOOKUP(Table1[[#This Row],[Reference]],metron,20,FALSE)</f>
        <v>6.5975172950914134</v>
      </c>
      <c r="CG564" s="6">
        <f>VLOOKUP(Table1[[#This Row],[Reference]],metron,21,FALSE)</f>
        <v>12.90081154192967</v>
      </c>
      <c r="CH564" s="6">
        <f>VLOOKUP(Table1[[#This Row],[Reference]],metron,22,FALSE)</f>
        <v>13.00360685302074</v>
      </c>
      <c r="CI564" s="6">
        <f>VLOOKUP(Table1[[#This Row],[Reference]],metron,23,FALSE)</f>
        <v>1.7502145922746779</v>
      </c>
      <c r="CJ564" s="6">
        <f>VLOOKUP(Table1[[#This Row],[Reference]],metron,24,FALSE)</f>
        <v>1.831402831402831</v>
      </c>
      <c r="CK564" s="6">
        <f>VLOOKUP(Table1[[#This Row],[Reference]],metron,25,FALSE)</f>
        <v>9.6525096525096526E-2</v>
      </c>
      <c r="CL564" s="6">
        <f>VLOOKUP(Table1[[#This Row],[Reference]],metron,26,FALSE)</f>
        <v>0.1244101244101244</v>
      </c>
    </row>
    <row r="565" spans="1:90" x14ac:dyDescent="0.45">
      <c r="A565" t="s">
        <v>1256</v>
      </c>
      <c r="B565">
        <v>1613444400</v>
      </c>
      <c r="C565" s="23" t="s">
        <v>1063</v>
      </c>
      <c r="D565" t="s">
        <v>65</v>
      </c>
      <c r="E565" t="s">
        <v>66</v>
      </c>
      <c r="F565" t="s">
        <v>84</v>
      </c>
      <c r="G565" t="s">
        <v>97</v>
      </c>
      <c r="H565" t="s">
        <v>69</v>
      </c>
      <c r="I565">
        <f>MROUND(Table1[[#This Row],[ProbH]]*100,2)/100</f>
        <v>0.5</v>
      </c>
      <c r="J565">
        <f>1/Table1[[#This Row],[odds_ft_home_team_win]]-Table1[[#This Row],[Margin]]</f>
        <v>0.5022899905403253</v>
      </c>
      <c r="K565">
        <f>1/Table1[[#This Row],[odds_ft_draw]]-Table1[[#This Row],[Margin]]</f>
        <v>0.2864220888085493</v>
      </c>
      <c r="L565">
        <f>1/Table1[[#This Row],[odds_ft_away_team_win]]-Table1[[#This Row],[Margin]]</f>
        <v>0.21128792065112528</v>
      </c>
      <c r="M565">
        <v>6</v>
      </c>
      <c r="N565">
        <v>1.08</v>
      </c>
      <c r="O565">
        <v>0.73</v>
      </c>
      <c r="P565">
        <v>1.43</v>
      </c>
      <c r="Q565">
        <v>1.06</v>
      </c>
      <c r="R565" t="str" cm="1">
        <f t="array" ref="R5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Z565">
        <v>31</v>
      </c>
      <c r="AA565">
        <v>5</v>
      </c>
      <c r="AB565">
        <v>5</v>
      </c>
      <c r="AC565">
        <v>1</v>
      </c>
      <c r="AD565">
        <v>0</v>
      </c>
      <c r="AE565">
        <v>2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11</v>
      </c>
      <c r="AL565">
        <v>19</v>
      </c>
      <c r="AM565">
        <v>4</v>
      </c>
      <c r="AN565">
        <v>6</v>
      </c>
      <c r="AO565">
        <v>7</v>
      </c>
      <c r="AP565">
        <v>13</v>
      </c>
      <c r="AQ565">
        <v>12</v>
      </c>
      <c r="AR565">
        <v>10</v>
      </c>
      <c r="AS565">
        <v>64</v>
      </c>
      <c r="AT565">
        <v>36</v>
      </c>
      <c r="AU565">
        <v>1.35</v>
      </c>
      <c r="AV565">
        <v>1.88</v>
      </c>
      <c r="AW565">
        <v>2</v>
      </c>
      <c r="AX565">
        <v>53</v>
      </c>
      <c r="AY565">
        <v>53</v>
      </c>
      <c r="AZ565">
        <v>26</v>
      </c>
      <c r="BA565">
        <v>18</v>
      </c>
      <c r="BB565">
        <v>9</v>
      </c>
      <c r="BC565">
        <v>31</v>
      </c>
      <c r="BD565">
        <v>57</v>
      </c>
      <c r="BE565">
        <v>26</v>
      </c>
      <c r="BF565">
        <v>61</v>
      </c>
      <c r="BG565">
        <v>10.31</v>
      </c>
      <c r="BH565">
        <v>5.39</v>
      </c>
      <c r="BI565">
        <v>1.91</v>
      </c>
      <c r="BJ565">
        <v>3.25</v>
      </c>
      <c r="BK565">
        <v>4.3</v>
      </c>
      <c r="BL565">
        <f>(1/Table1[[#This Row],[odds_ft_home_team_win]]+1/Table1[[#This Row],[odds_ft_draw]]+1/Table1[[#This Row],[odds_ft_away_team_win]]-1)/3</f>
        <v>2.1270218883758425E-2</v>
      </c>
      <c r="BM565">
        <v>1.49</v>
      </c>
      <c r="BN565">
        <v>2.2999999999999998</v>
      </c>
      <c r="BO565">
        <v>3.85</v>
      </c>
      <c r="BP565">
        <v>7</v>
      </c>
      <c r="BQ565">
        <v>2.15</v>
      </c>
      <c r="BR565">
        <v>1.65</v>
      </c>
      <c r="BS565" t="s">
        <v>88</v>
      </c>
      <c r="BT565">
        <f>VLOOKUP(Table1[[#This Row],[Reference]],metron,8,FALSE)</f>
        <v>1.8001937313313046</v>
      </c>
      <c r="BU565">
        <f>VLOOKUP(Table1[[#This Row],[Reference]],metron,9,FALSE)</f>
        <v>0.9268512077832276</v>
      </c>
      <c r="BV565">
        <f>VLOOKUP(Table1[[#This Row],[Reference]],metron,10,FALSE)</f>
        <v>2.5202079886551649</v>
      </c>
      <c r="BW565">
        <f>VLOOKUP(Table1[[#This Row],[Reference]],metron,11,FALSE)</f>
        <v>1.5342708579532029</v>
      </c>
      <c r="BX565">
        <f>VLOOKUP(Table1[[#This Row],[Reference]],metron,12,FALSE)</f>
        <v>0.98593713070196176</v>
      </c>
      <c r="BY565" s="6">
        <f>VLOOKUP(Table1[[#This Row],[Reference]],metron,13,FALSE)</f>
        <v>0.67513590167809023</v>
      </c>
      <c r="BZ565" s="6">
        <f>VLOOKUP(Table1[[#This Row],[Reference]],metron,14,FALSE)</f>
        <v>0.4286727337194185</v>
      </c>
      <c r="CA565" s="6">
        <f>VLOOKUP(Table1[[#This Row],[Reference]],metron,15,FALSE)</f>
        <v>12.98669114272602</v>
      </c>
      <c r="CB565" s="6">
        <f>VLOOKUP(Table1[[#This Row],[Reference]],metron,16,FALSE)</f>
        <v>9.4167049105094076</v>
      </c>
      <c r="CC565" s="6">
        <f>VLOOKUP(Table1[[#This Row],[Reference]],metron,17,FALSE)</f>
        <v>5.6645716945996272</v>
      </c>
      <c r="CD565" s="6">
        <f>VLOOKUP(Table1[[#This Row],[Reference]],metron,18,FALSE)</f>
        <v>4.0242085661080074</v>
      </c>
      <c r="CE565" s="6">
        <f>VLOOKUP(Table1[[#This Row],[Reference]],metron,19,FALSE)</f>
        <v>7.3221194481263927</v>
      </c>
      <c r="CF565" s="6">
        <f>VLOOKUP(Table1[[#This Row],[Reference]],metron,20,FALSE)</f>
        <v>5.3924963444014002</v>
      </c>
      <c r="CG565" s="6">
        <f>VLOOKUP(Table1[[#This Row],[Reference]],metron,21,FALSE)</f>
        <v>12.508162313432839</v>
      </c>
      <c r="CH565" s="6">
        <f>VLOOKUP(Table1[[#This Row],[Reference]],metron,22,FALSE)</f>
        <v>13.36963619402985</v>
      </c>
      <c r="CI565" s="6">
        <f>VLOOKUP(Table1[[#This Row],[Reference]],metron,23,FALSE)</f>
        <v>1.4438014689517029</v>
      </c>
      <c r="CJ565" s="6">
        <f>VLOOKUP(Table1[[#This Row],[Reference]],metron,24,FALSE)</f>
        <v>1.9410193634542621</v>
      </c>
      <c r="CK565" s="6">
        <f>VLOOKUP(Table1[[#This Row],[Reference]],metron,25,FALSE)</f>
        <v>8.4130870242599604E-2</v>
      </c>
      <c r="CL565" s="6">
        <f>VLOOKUP(Table1[[#This Row],[Reference]],metron,26,FALSE)</f>
        <v>0.1275317160026708</v>
      </c>
    </row>
    <row r="566" spans="1:90" x14ac:dyDescent="0.45">
      <c r="A566" t="s">
        <v>1256</v>
      </c>
      <c r="B566">
        <v>1613617200</v>
      </c>
      <c r="C566" s="23" t="s">
        <v>1064</v>
      </c>
      <c r="D566" t="s">
        <v>65</v>
      </c>
      <c r="E566" t="s">
        <v>66</v>
      </c>
      <c r="F566" t="s">
        <v>107</v>
      </c>
      <c r="G566" t="s">
        <v>112</v>
      </c>
      <c r="H566" t="s">
        <v>215</v>
      </c>
      <c r="I566">
        <f>MROUND(Table1[[#This Row],[ProbH]]*100,2)/100</f>
        <v>0.48</v>
      </c>
      <c r="J566">
        <f>1/Table1[[#This Row],[odds_ft_home_team_win]]-Table1[[#This Row],[Margin]]</f>
        <v>0.48945516128178673</v>
      </c>
      <c r="K566">
        <f>1/Table1[[#This Row],[odds_ft_draw]]-Table1[[#This Row],[Margin]]</f>
        <v>0.27075229552009739</v>
      </c>
      <c r="L566">
        <f>1/Table1[[#This Row],[odds_ft_away_team_win]]-Table1[[#This Row],[Margin]]</f>
        <v>0.23979254319811596</v>
      </c>
      <c r="M566">
        <v>6</v>
      </c>
      <c r="N566">
        <v>1.77</v>
      </c>
      <c r="O566">
        <v>1.57</v>
      </c>
      <c r="P566">
        <v>1.53</v>
      </c>
      <c r="Q566">
        <v>1.77</v>
      </c>
      <c r="R566" t="str" cm="1">
        <f t="array" ref="R5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66">
        <v>0</v>
      </c>
      <c r="T566">
        <v>2</v>
      </c>
      <c r="U566">
        <v>2</v>
      </c>
      <c r="V566">
        <v>1</v>
      </c>
      <c r="W566">
        <v>0</v>
      </c>
      <c r="X566">
        <v>1</v>
      </c>
      <c r="Z566" t="s">
        <v>1065</v>
      </c>
      <c r="AA566">
        <v>2</v>
      </c>
      <c r="AB566">
        <v>1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12</v>
      </c>
      <c r="AL566">
        <v>7</v>
      </c>
      <c r="AM566">
        <v>7</v>
      </c>
      <c r="AN566">
        <v>4</v>
      </c>
      <c r="AO566">
        <v>5</v>
      </c>
      <c r="AP566">
        <v>3</v>
      </c>
      <c r="AQ566">
        <v>12</v>
      </c>
      <c r="AR566">
        <v>10</v>
      </c>
      <c r="AS566">
        <v>70</v>
      </c>
      <c r="AT566">
        <v>30</v>
      </c>
      <c r="AU566">
        <v>1.74</v>
      </c>
      <c r="AV566">
        <v>1.06</v>
      </c>
      <c r="AW566">
        <v>2.4900000000000002</v>
      </c>
      <c r="AX566">
        <v>53</v>
      </c>
      <c r="AY566">
        <v>82</v>
      </c>
      <c r="AZ566">
        <v>41</v>
      </c>
      <c r="BA566">
        <v>22</v>
      </c>
      <c r="BB566">
        <v>4</v>
      </c>
      <c r="BC566">
        <v>26</v>
      </c>
      <c r="BD566">
        <v>63</v>
      </c>
      <c r="BE566">
        <v>42</v>
      </c>
      <c r="BF566">
        <v>89</v>
      </c>
      <c r="BG566">
        <v>11.32</v>
      </c>
      <c r="BH566">
        <v>3.65</v>
      </c>
      <c r="BI566">
        <v>1.95</v>
      </c>
      <c r="BJ566">
        <v>3.4</v>
      </c>
      <c r="BK566">
        <v>3.8</v>
      </c>
      <c r="BL566">
        <f>(1/Table1[[#This Row],[odds_ft_home_team_win]]+1/Table1[[#This Row],[odds_ft_draw]]+1/Table1[[#This Row],[odds_ft_away_team_win]]-1)/3</f>
        <v>2.3365351538726136E-2</v>
      </c>
      <c r="BM566">
        <v>1.43</v>
      </c>
      <c r="BN566">
        <v>2.15</v>
      </c>
      <c r="BO566">
        <v>3.8</v>
      </c>
      <c r="BP566">
        <v>7</v>
      </c>
      <c r="BQ566">
        <v>1.95</v>
      </c>
      <c r="BR566">
        <v>1.8</v>
      </c>
      <c r="BS566" t="s">
        <v>161</v>
      </c>
      <c r="BT566">
        <f>VLOOKUP(Table1[[#This Row],[Reference]],metron,8,FALSE)</f>
        <v>1.743992017160418</v>
      </c>
      <c r="BU566">
        <f>VLOOKUP(Table1[[#This Row],[Reference]],metron,9,FALSE)</f>
        <v>0.97803937284245479</v>
      </c>
      <c r="BV566">
        <f>VLOOKUP(Table1[[#This Row],[Reference]],metron,10,FALSE)</f>
        <v>2.5271929824561399</v>
      </c>
      <c r="BW566">
        <f>VLOOKUP(Table1[[#This Row],[Reference]],metron,11,FALSE)</f>
        <v>1.510877192982456</v>
      </c>
      <c r="BX566">
        <f>VLOOKUP(Table1[[#This Row],[Reference]],metron,12,FALSE)</f>
        <v>1.0163157894736841</v>
      </c>
      <c r="BY566" s="6">
        <f>VLOOKUP(Table1[[#This Row],[Reference]],metron,13,FALSE)</f>
        <v>0.67350877192982461</v>
      </c>
      <c r="BZ566" s="6">
        <f>VLOOKUP(Table1[[#This Row],[Reference]],metron,14,FALSE)</f>
        <v>0.4442105263157895</v>
      </c>
      <c r="CA566" s="6">
        <f>VLOOKUP(Table1[[#This Row],[Reference]],metron,15,FALSE)</f>
        <v>12.80980392156863</v>
      </c>
      <c r="CB566" s="6">
        <f>VLOOKUP(Table1[[#This Row],[Reference]],metron,16,FALSE)</f>
        <v>9.6872549019607845</v>
      </c>
      <c r="CC566" s="6">
        <f>VLOOKUP(Table1[[#This Row],[Reference]],metron,17,FALSE)</f>
        <v>5.6491169610129957</v>
      </c>
      <c r="CD566" s="6">
        <f>VLOOKUP(Table1[[#This Row],[Reference]],metron,18,FALSE)</f>
        <v>4.1379540153282237</v>
      </c>
      <c r="CE566" s="6">
        <f>VLOOKUP(Table1[[#This Row],[Reference]],metron,19,FALSE)</f>
        <v>7.1606869605556343</v>
      </c>
      <c r="CF566" s="6">
        <f>VLOOKUP(Table1[[#This Row],[Reference]],metron,20,FALSE)</f>
        <v>5.5493008866325608</v>
      </c>
      <c r="CG566" s="6">
        <f>VLOOKUP(Table1[[#This Row],[Reference]],metron,21,FALSE)</f>
        <v>12.9029029029029</v>
      </c>
      <c r="CH566" s="6">
        <f>VLOOKUP(Table1[[#This Row],[Reference]],metron,22,FALSE)</f>
        <v>13.75508842175509</v>
      </c>
      <c r="CI566" s="6">
        <f>VLOOKUP(Table1[[#This Row],[Reference]],metron,23,FALSE)</f>
        <v>1.5287356321839081</v>
      </c>
      <c r="CJ566" s="6">
        <f>VLOOKUP(Table1[[#This Row],[Reference]],metron,24,FALSE)</f>
        <v>1.9664750957854411</v>
      </c>
      <c r="CK566" s="6">
        <f>VLOOKUP(Table1[[#This Row],[Reference]],metron,25,FALSE)</f>
        <v>8.8441890166028103E-2</v>
      </c>
      <c r="CL566" s="6">
        <f>VLOOKUP(Table1[[#This Row],[Reference]],metron,26,FALSE)</f>
        <v>0.13409961685823751</v>
      </c>
    </row>
    <row r="567" spans="1:90" x14ac:dyDescent="0.45">
      <c r="A567" t="s">
        <v>1256</v>
      </c>
      <c r="B567">
        <v>1613703600</v>
      </c>
      <c r="C567" s="23" t="s">
        <v>1066</v>
      </c>
      <c r="D567" t="s">
        <v>65</v>
      </c>
      <c r="E567" t="s">
        <v>66</v>
      </c>
      <c r="F567" t="s">
        <v>91</v>
      </c>
      <c r="G567" t="s">
        <v>73</v>
      </c>
      <c r="H567" t="s">
        <v>133</v>
      </c>
      <c r="I567">
        <f>MROUND(Table1[[#This Row],[ProbH]]*100,2)/100</f>
        <v>0.32</v>
      </c>
      <c r="J567">
        <f>1/Table1[[#This Row],[odds_ft_home_team_win]]-Table1[[#This Row],[Margin]]</f>
        <v>0.31703102697017504</v>
      </c>
      <c r="K567">
        <f>1/Table1[[#This Row],[odds_ft_draw]]-Table1[[#This Row],[Margin]]</f>
        <v>0.26632108782210201</v>
      </c>
      <c r="L567">
        <f>1/Table1[[#This Row],[odds_ft_away_team_win]]-Table1[[#This Row],[Margin]]</f>
        <v>0.41664788520772289</v>
      </c>
      <c r="M567">
        <v>7</v>
      </c>
      <c r="N567">
        <v>1.0900000000000001</v>
      </c>
      <c r="O567">
        <v>0.91</v>
      </c>
      <c r="P567">
        <v>1</v>
      </c>
      <c r="Q567">
        <v>0.8</v>
      </c>
      <c r="R567" t="str" cm="1">
        <f t="array" ref="R5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0</v>
      </c>
      <c r="Y567">
        <v>15</v>
      </c>
      <c r="AA567">
        <v>3</v>
      </c>
      <c r="AB567">
        <v>5</v>
      </c>
      <c r="AC567">
        <v>3</v>
      </c>
      <c r="AD567">
        <v>1</v>
      </c>
      <c r="AE567">
        <v>5</v>
      </c>
      <c r="AF567">
        <v>1</v>
      </c>
      <c r="AG567">
        <v>1</v>
      </c>
      <c r="AH567">
        <v>3</v>
      </c>
      <c r="AI567">
        <v>2</v>
      </c>
      <c r="AJ567">
        <v>4</v>
      </c>
      <c r="AK567">
        <v>6</v>
      </c>
      <c r="AL567">
        <v>13</v>
      </c>
      <c r="AM567">
        <v>3</v>
      </c>
      <c r="AN567">
        <v>2</v>
      </c>
      <c r="AO567">
        <v>3</v>
      </c>
      <c r="AP567">
        <v>11</v>
      </c>
      <c r="AQ567">
        <v>22</v>
      </c>
      <c r="AR567">
        <v>10</v>
      </c>
      <c r="AS567">
        <v>35</v>
      </c>
      <c r="AT567">
        <v>65</v>
      </c>
      <c r="AU567">
        <v>0.83</v>
      </c>
      <c r="AV567">
        <v>1.31</v>
      </c>
      <c r="AW567">
        <v>2.82</v>
      </c>
      <c r="AX567">
        <v>73</v>
      </c>
      <c r="AY567">
        <v>96</v>
      </c>
      <c r="AZ567">
        <v>59</v>
      </c>
      <c r="BA567">
        <v>27</v>
      </c>
      <c r="BB567">
        <v>5</v>
      </c>
      <c r="BC567">
        <v>46</v>
      </c>
      <c r="BD567">
        <v>91</v>
      </c>
      <c r="BE567">
        <v>36</v>
      </c>
      <c r="BF567">
        <v>78</v>
      </c>
      <c r="BG567">
        <v>10.64</v>
      </c>
      <c r="BH567">
        <v>4.7300000000000004</v>
      </c>
      <c r="BI567">
        <v>2.9</v>
      </c>
      <c r="BJ567">
        <v>3.4</v>
      </c>
      <c r="BK567">
        <v>2.25</v>
      </c>
      <c r="BL567">
        <f>(1/Table1[[#This Row],[odds_ft_home_team_win]]+1/Table1[[#This Row],[odds_ft_draw]]+1/Table1[[#This Row],[odds_ft_away_team_win]]-1)/3</f>
        <v>2.779655923672153E-2</v>
      </c>
      <c r="BM567">
        <v>1.24</v>
      </c>
      <c r="BN567">
        <v>1.86</v>
      </c>
      <c r="BO567">
        <v>2.9</v>
      </c>
      <c r="BP567">
        <v>6</v>
      </c>
      <c r="BQ567">
        <v>1.8</v>
      </c>
      <c r="BR567">
        <v>2</v>
      </c>
      <c r="BS567" t="s">
        <v>144</v>
      </c>
      <c r="BT567">
        <f>VLOOKUP(Table1[[#This Row],[Reference]],metron,8,FALSE)</f>
        <v>1.274681051426811</v>
      </c>
      <c r="BU567">
        <f>VLOOKUP(Table1[[#This Row],[Reference]],metron,9,FALSE)</f>
        <v>1.4392482240810365</v>
      </c>
      <c r="BV567">
        <f>VLOOKUP(Table1[[#This Row],[Reference]],metron,10,FALSE)</f>
        <v>2.5313454284174597</v>
      </c>
      <c r="BW567">
        <f>VLOOKUP(Table1[[#This Row],[Reference]],metron,11,FALSE)</f>
        <v>1.210167055864918</v>
      </c>
      <c r="BX567">
        <f>VLOOKUP(Table1[[#This Row],[Reference]],metron,12,FALSE)</f>
        <v>1.3211783725525419</v>
      </c>
      <c r="BY567" s="6">
        <f>VLOOKUP(Table1[[#This Row],[Reference]],metron,13,FALSE)</f>
        <v>0.53135669362084459</v>
      </c>
      <c r="BZ567" s="6">
        <f>VLOOKUP(Table1[[#This Row],[Reference]],metron,14,FALSE)</f>
        <v>0.55633423180592989</v>
      </c>
      <c r="CA567" s="6">
        <f>VLOOKUP(Table1[[#This Row],[Reference]],metron,15,FALSE)</f>
        <v>11.21109010712035</v>
      </c>
      <c r="CB567" s="6">
        <f>VLOOKUP(Table1[[#This Row],[Reference]],metron,16,FALSE)</f>
        <v>11.01700787401575</v>
      </c>
      <c r="CC567" s="6">
        <f>VLOOKUP(Table1[[#This Row],[Reference]],metron,17,FALSE)</f>
        <v>4.6792332268370611</v>
      </c>
      <c r="CD567" s="6">
        <f>VLOOKUP(Table1[[#This Row],[Reference]],metron,18,FALSE)</f>
        <v>4.7080804854679013</v>
      </c>
      <c r="CE567" s="6">
        <f>VLOOKUP(Table1[[#This Row],[Reference]],metron,19,FALSE)</f>
        <v>6.5318568802832893</v>
      </c>
      <c r="CF567" s="6">
        <f>VLOOKUP(Table1[[#This Row],[Reference]],metron,20,FALSE)</f>
        <v>6.3089273885478487</v>
      </c>
      <c r="CG567" s="6">
        <f>VLOOKUP(Table1[[#This Row],[Reference]],metron,21,FALSE)</f>
        <v>12.72547770700637</v>
      </c>
      <c r="CH567" s="6">
        <f>VLOOKUP(Table1[[#This Row],[Reference]],metron,22,FALSE)</f>
        <v>13.06847133757962</v>
      </c>
      <c r="CI567" s="6">
        <f>VLOOKUP(Table1[[#This Row],[Reference]],metron,23,FALSE)</f>
        <v>1.6902356902356901</v>
      </c>
      <c r="CJ567" s="6">
        <f>VLOOKUP(Table1[[#This Row],[Reference]],metron,24,FALSE)</f>
        <v>1.8050198959289869</v>
      </c>
      <c r="CK567" s="6">
        <f>VLOOKUP(Table1[[#This Row],[Reference]],metron,25,FALSE)</f>
        <v>0.105907560453015</v>
      </c>
      <c r="CL567" s="6">
        <f>VLOOKUP(Table1[[#This Row],[Reference]],metron,26,FALSE)</f>
        <v>0.1141720232629324</v>
      </c>
    </row>
    <row r="568" spans="1:90" x14ac:dyDescent="0.45">
      <c r="A568" t="s">
        <v>1256</v>
      </c>
      <c r="B568">
        <v>1613784600</v>
      </c>
      <c r="C568" s="23" t="s">
        <v>1067</v>
      </c>
      <c r="D568" t="s">
        <v>65</v>
      </c>
      <c r="E568" t="s">
        <v>66</v>
      </c>
      <c r="F568" t="s">
        <v>72</v>
      </c>
      <c r="G568" t="s">
        <v>101</v>
      </c>
      <c r="H568" t="s">
        <v>98</v>
      </c>
      <c r="I568">
        <f>MROUND(Table1[[#This Row],[ProbH]]*100,2)/100</f>
        <v>0.2</v>
      </c>
      <c r="J568">
        <f>1/Table1[[#This Row],[odds_ft_home_team_win]]-Table1[[#This Row],[Margin]]</f>
        <v>0.19679380873410726</v>
      </c>
      <c r="K568">
        <f>1/Table1[[#This Row],[odds_ft_draw]]-Table1[[#This Row],[Margin]]</f>
        <v>0.27307904919845222</v>
      </c>
      <c r="L568">
        <f>1/Table1[[#This Row],[odds_ft_away_team_win]]-Table1[[#This Row],[Margin]]</f>
        <v>0.5301271420674406</v>
      </c>
      <c r="M568">
        <v>7</v>
      </c>
      <c r="N568">
        <v>1.45</v>
      </c>
      <c r="O568">
        <v>1.5</v>
      </c>
      <c r="P568">
        <v>1.29</v>
      </c>
      <c r="Q568">
        <v>1.39</v>
      </c>
      <c r="R568" t="str" cm="1">
        <f t="array" ref="R5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68">
        <v>1</v>
      </c>
      <c r="T568">
        <v>1</v>
      </c>
      <c r="U568">
        <v>2</v>
      </c>
      <c r="V568">
        <v>1</v>
      </c>
      <c r="W568">
        <v>0</v>
      </c>
      <c r="X568">
        <v>1</v>
      </c>
      <c r="Y568">
        <v>80</v>
      </c>
      <c r="Z568">
        <v>36</v>
      </c>
      <c r="AA568">
        <v>3</v>
      </c>
      <c r="AB568">
        <v>6</v>
      </c>
      <c r="AC568">
        <v>1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14</v>
      </c>
      <c r="AL568">
        <v>12</v>
      </c>
      <c r="AM568">
        <v>6</v>
      </c>
      <c r="AN568">
        <v>4</v>
      </c>
      <c r="AO568">
        <v>8</v>
      </c>
      <c r="AP568">
        <v>8</v>
      </c>
      <c r="AQ568">
        <v>10</v>
      </c>
      <c r="AR568">
        <v>12</v>
      </c>
      <c r="AS568">
        <v>49</v>
      </c>
      <c r="AT568">
        <v>51</v>
      </c>
      <c r="AU568">
        <v>1.49</v>
      </c>
      <c r="AV568">
        <v>1.4</v>
      </c>
      <c r="AW568">
        <v>2.2999999999999998</v>
      </c>
      <c r="AX568">
        <v>52</v>
      </c>
      <c r="AY568">
        <v>74</v>
      </c>
      <c r="AZ568">
        <v>43</v>
      </c>
      <c r="BA568">
        <v>13</v>
      </c>
      <c r="BB568">
        <v>5</v>
      </c>
      <c r="BC568">
        <v>35</v>
      </c>
      <c r="BD568">
        <v>75</v>
      </c>
      <c r="BE568">
        <v>26</v>
      </c>
      <c r="BF568">
        <v>74</v>
      </c>
      <c r="BG568">
        <v>8.92</v>
      </c>
      <c r="BH568">
        <v>5.16</v>
      </c>
      <c r="BI568">
        <v>4.5</v>
      </c>
      <c r="BJ568">
        <v>3.35</v>
      </c>
      <c r="BK568">
        <v>1.8</v>
      </c>
      <c r="BL568">
        <f>(1/Table1[[#This Row],[odds_ft_home_team_win]]+1/Table1[[#This Row],[odds_ft_draw]]+1/Table1[[#This Row],[odds_ft_away_team_win]]-1)/3</f>
        <v>2.5428413488114938E-2</v>
      </c>
      <c r="BM568">
        <v>1.39</v>
      </c>
      <c r="BN568">
        <v>2.1</v>
      </c>
      <c r="BO568">
        <v>3.45</v>
      </c>
      <c r="BP568">
        <v>6</v>
      </c>
      <c r="BQ568">
        <v>1.91</v>
      </c>
      <c r="BR568">
        <v>1.83</v>
      </c>
      <c r="BS568" t="s">
        <v>76</v>
      </c>
      <c r="BT568">
        <f>VLOOKUP(Table1[[#This Row],[Reference]],metron,8,FALSE)</f>
        <v>0.89040268062788797</v>
      </c>
      <c r="BU568">
        <f>VLOOKUP(Table1[[#This Row],[Reference]],metron,9,FALSE)</f>
        <v>1.8482406971105219</v>
      </c>
      <c r="BV568">
        <f>VLOOKUP(Table1[[#This Row],[Reference]],metron,10,FALSE)</f>
        <v>2.7065095398428731</v>
      </c>
      <c r="BW568">
        <f>VLOOKUP(Table1[[#This Row],[Reference]],metron,11,FALSE)</f>
        <v>1.0101010101010099</v>
      </c>
      <c r="BX568">
        <f>VLOOKUP(Table1[[#This Row],[Reference]],metron,12,FALSE)</f>
        <v>1.696408529741863</v>
      </c>
      <c r="BY568" s="6">
        <f>VLOOKUP(Table1[[#This Row],[Reference]],metron,13,FALSE)</f>
        <v>0.44044943820224719</v>
      </c>
      <c r="BZ568" s="6">
        <f>VLOOKUP(Table1[[#This Row],[Reference]],metron,14,FALSE)</f>
        <v>0.74606741573033708</v>
      </c>
      <c r="CA568" s="6">
        <f>VLOOKUP(Table1[[#This Row],[Reference]],metron,15,FALSE)</f>
        <v>10.265072765072761</v>
      </c>
      <c r="CB568" s="6">
        <f>VLOOKUP(Table1[[#This Row],[Reference]],metron,16,FALSE)</f>
        <v>13.023908523908521</v>
      </c>
      <c r="CC568" s="6">
        <f>VLOOKUP(Table1[[#This Row],[Reference]],metron,17,FALSE)</f>
        <v>4.0483193277310923</v>
      </c>
      <c r="CD568" s="6">
        <f>VLOOKUP(Table1[[#This Row],[Reference]],metron,18,FALSE)</f>
        <v>5.60609243697479</v>
      </c>
      <c r="CE568" s="6">
        <f>VLOOKUP(Table1[[#This Row],[Reference]],metron,19,FALSE)</f>
        <v>6.2167534373416684</v>
      </c>
      <c r="CF568" s="6">
        <f>VLOOKUP(Table1[[#This Row],[Reference]],metron,20,FALSE)</f>
        <v>7.4178160869337306</v>
      </c>
      <c r="CG568" s="6">
        <f>VLOOKUP(Table1[[#This Row],[Reference]],metron,21,FALSE)</f>
        <v>13.223628691983119</v>
      </c>
      <c r="CH568" s="6">
        <f>VLOOKUP(Table1[[#This Row],[Reference]],metron,22,FALSE)</f>
        <v>12.78586497890295</v>
      </c>
      <c r="CI568" s="6">
        <f>VLOOKUP(Table1[[#This Row],[Reference]],metron,23,FALSE)</f>
        <v>1.8442211055276381</v>
      </c>
      <c r="CJ568" s="6">
        <f>VLOOKUP(Table1[[#This Row],[Reference]],metron,24,FALSE)</f>
        <v>1.7989949748743721</v>
      </c>
      <c r="CK568" s="6">
        <f>VLOOKUP(Table1[[#This Row],[Reference]],metron,25,FALSE)</f>
        <v>0.12060301507537689</v>
      </c>
      <c r="CL568" s="6">
        <f>VLOOKUP(Table1[[#This Row],[Reference]],metron,26,FALSE)</f>
        <v>0.11658291457286429</v>
      </c>
    </row>
    <row r="569" spans="1:90" x14ac:dyDescent="0.45">
      <c r="A569" t="s">
        <v>1256</v>
      </c>
      <c r="B569">
        <v>1613791800</v>
      </c>
      <c r="C569" s="23" t="s">
        <v>1068</v>
      </c>
      <c r="D569" t="s">
        <v>65</v>
      </c>
      <c r="E569" t="s">
        <v>66</v>
      </c>
      <c r="F569" t="s">
        <v>78</v>
      </c>
      <c r="G569" t="s">
        <v>113</v>
      </c>
      <c r="H569" t="s">
        <v>103</v>
      </c>
      <c r="I569">
        <f>MROUND(Table1[[#This Row],[ProbH]]*100,2)/100</f>
        <v>0.44</v>
      </c>
      <c r="J569">
        <f>1/Table1[[#This Row],[odds_ft_home_team_win]]-Table1[[#This Row],[Margin]]</f>
        <v>0.43814276605372487</v>
      </c>
      <c r="K569">
        <f>1/Table1[[#This Row],[odds_ft_draw]]-Table1[[#This Row],[Margin]]</f>
        <v>0.30019231560327447</v>
      </c>
      <c r="L569">
        <f>1/Table1[[#This Row],[odds_ft_away_team_win]]-Table1[[#This Row],[Margin]]</f>
        <v>0.26166491834300049</v>
      </c>
      <c r="M569">
        <v>7</v>
      </c>
      <c r="N569">
        <v>1.4</v>
      </c>
      <c r="O569">
        <v>0.45</v>
      </c>
      <c r="P569">
        <v>1.41</v>
      </c>
      <c r="Q569">
        <v>0.65</v>
      </c>
      <c r="R569" t="str" cm="1">
        <f t="array" ref="R5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53</v>
      </c>
      <c r="AA569">
        <v>0</v>
      </c>
      <c r="AB569">
        <v>1</v>
      </c>
      <c r="AC569">
        <v>1</v>
      </c>
      <c r="AD569">
        <v>0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2</v>
      </c>
      <c r="AK569">
        <v>5</v>
      </c>
      <c r="AL569">
        <v>9</v>
      </c>
      <c r="AM569">
        <v>2</v>
      </c>
      <c r="AN569">
        <v>5</v>
      </c>
      <c r="AO569">
        <v>3</v>
      </c>
      <c r="AP569">
        <v>4</v>
      </c>
      <c r="AQ569">
        <v>19</v>
      </c>
      <c r="AR569">
        <v>13</v>
      </c>
      <c r="AS569">
        <v>55</v>
      </c>
      <c r="AT569">
        <v>45</v>
      </c>
      <c r="AU569">
        <v>0.74</v>
      </c>
      <c r="AV569">
        <v>1.21</v>
      </c>
      <c r="AW569">
        <v>2.38</v>
      </c>
      <c r="AX569">
        <v>47</v>
      </c>
      <c r="AY569">
        <v>66</v>
      </c>
      <c r="AZ569">
        <v>37</v>
      </c>
      <c r="BA569">
        <v>23</v>
      </c>
      <c r="BB569">
        <v>14</v>
      </c>
      <c r="BC569">
        <v>18</v>
      </c>
      <c r="BD569">
        <v>48</v>
      </c>
      <c r="BE569">
        <v>47</v>
      </c>
      <c r="BF569">
        <v>67</v>
      </c>
      <c r="BG569">
        <v>9.0500000000000007</v>
      </c>
      <c r="BH569">
        <v>4.37</v>
      </c>
      <c r="BI569">
        <v>2.2200000000000002</v>
      </c>
      <c r="BJ569">
        <v>3.2</v>
      </c>
      <c r="BK569">
        <v>3.65</v>
      </c>
      <c r="BL569">
        <f>(1/Table1[[#This Row],[odds_ft_home_team_win]]+1/Table1[[#This Row],[odds_ft_draw]]+1/Table1[[#This Row],[odds_ft_away_team_win]]-1)/3</f>
        <v>1.2307684396725508E-2</v>
      </c>
      <c r="BM569">
        <v>1.36</v>
      </c>
      <c r="BN569">
        <v>2</v>
      </c>
      <c r="BO569">
        <v>3.3</v>
      </c>
      <c r="BP569">
        <v>5.75</v>
      </c>
      <c r="BQ569">
        <v>1.87</v>
      </c>
      <c r="BR569">
        <v>1.91</v>
      </c>
      <c r="BS569" t="s">
        <v>82</v>
      </c>
      <c r="BT569">
        <f>VLOOKUP(Table1[[#This Row],[Reference]],metron,8,FALSE)</f>
        <v>1.6395459745305552</v>
      </c>
      <c r="BU569">
        <f>VLOOKUP(Table1[[#This Row],[Reference]],metron,9,FALSE)</f>
        <v>1.0758429359324786</v>
      </c>
      <c r="BV569">
        <f>VLOOKUP(Table1[[#This Row],[Reference]],metron,10,FALSE)</f>
        <v>2.4807646356033461</v>
      </c>
      <c r="BW569">
        <f>VLOOKUP(Table1[[#This Row],[Reference]],metron,11,FALSE)</f>
        <v>1.4140979689366791</v>
      </c>
      <c r="BX569">
        <f>VLOOKUP(Table1[[#This Row],[Reference]],metron,12,FALSE)</f>
        <v>1.0666666666666671</v>
      </c>
      <c r="BY569" s="6">
        <f>VLOOKUP(Table1[[#This Row],[Reference]],metron,13,FALSE)</f>
        <v>0.62712066905615294</v>
      </c>
      <c r="BZ569" s="6">
        <f>VLOOKUP(Table1[[#This Row],[Reference]],metron,14,FALSE)</f>
        <v>0.46009557945041818</v>
      </c>
      <c r="CA569" s="6">
        <f>VLOOKUP(Table1[[#This Row],[Reference]],metron,15,FALSE)</f>
        <v>12.56969280146722</v>
      </c>
      <c r="CB569" s="6">
        <f>VLOOKUP(Table1[[#This Row],[Reference]],metron,16,FALSE)</f>
        <v>9.8695552498853729</v>
      </c>
      <c r="CC569" s="6">
        <f>VLOOKUP(Table1[[#This Row],[Reference]],metron,17,FALSE)</f>
        <v>5.2754256787850897</v>
      </c>
      <c r="CD569" s="6">
        <f>VLOOKUP(Table1[[#This Row],[Reference]],metron,18,FALSE)</f>
        <v>4.1279337321675103</v>
      </c>
      <c r="CE569" s="6">
        <f>VLOOKUP(Table1[[#This Row],[Reference]],metron,19,FALSE)</f>
        <v>7.2942671226821298</v>
      </c>
      <c r="CF569" s="6">
        <f>VLOOKUP(Table1[[#This Row],[Reference]],metron,20,FALSE)</f>
        <v>5.7416215177178627</v>
      </c>
      <c r="CG569" s="6">
        <f>VLOOKUP(Table1[[#This Row],[Reference]],metron,21,FALSE)</f>
        <v>12.897246007868549</v>
      </c>
      <c r="CH569" s="6">
        <f>VLOOKUP(Table1[[#This Row],[Reference]],metron,22,FALSE)</f>
        <v>13.507058551261281</v>
      </c>
      <c r="CI569" s="6">
        <f>VLOOKUP(Table1[[#This Row],[Reference]],metron,23,FALSE)</f>
        <v>1.576522702104098</v>
      </c>
      <c r="CJ569" s="6">
        <f>VLOOKUP(Table1[[#This Row],[Reference]],metron,24,FALSE)</f>
        <v>1.917165005537099</v>
      </c>
      <c r="CK569" s="6">
        <f>VLOOKUP(Table1[[#This Row],[Reference]],metron,25,FALSE)</f>
        <v>8.4385382059800659E-2</v>
      </c>
      <c r="CL569" s="6">
        <f>VLOOKUP(Table1[[#This Row],[Reference]],metron,26,FALSE)</f>
        <v>0.1233665559246955</v>
      </c>
    </row>
    <row r="570" spans="1:90" x14ac:dyDescent="0.45">
      <c r="A570" t="s">
        <v>1256</v>
      </c>
      <c r="B570">
        <v>1613869200</v>
      </c>
      <c r="C570" s="23" t="s">
        <v>1069</v>
      </c>
      <c r="D570" t="s">
        <v>65</v>
      </c>
      <c r="E570" t="s">
        <v>66</v>
      </c>
      <c r="F570" t="s">
        <v>112</v>
      </c>
      <c r="G570" t="s">
        <v>79</v>
      </c>
      <c r="H570" t="s">
        <v>108</v>
      </c>
      <c r="I570">
        <f>MROUND(Table1[[#This Row],[ProbH]]*100,2)/100</f>
        <v>0.56000000000000005</v>
      </c>
      <c r="J570">
        <f>1/Table1[[#This Row],[odds_ft_home_team_win]]-Table1[[#This Row],[Margin]]</f>
        <v>0.55189082161212533</v>
      </c>
      <c r="K570">
        <f>1/Table1[[#This Row],[odds_ft_draw]]-Table1[[#This Row],[Margin]]</f>
        <v>0.25115078067369051</v>
      </c>
      <c r="L570">
        <f>1/Table1[[#This Row],[odds_ft_away_team_win]]-Table1[[#This Row],[Margin]]</f>
        <v>0.19695839771418425</v>
      </c>
      <c r="M570">
        <v>7</v>
      </c>
      <c r="N570">
        <v>1.83</v>
      </c>
      <c r="O570">
        <v>0.5</v>
      </c>
      <c r="P570">
        <v>2.1800000000000002</v>
      </c>
      <c r="Q570">
        <v>0.55000000000000004</v>
      </c>
      <c r="R570" t="str" cm="1">
        <f t="array" ref="R5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0">
        <v>3</v>
      </c>
      <c r="T570">
        <v>2</v>
      </c>
      <c r="U570">
        <v>5</v>
      </c>
      <c r="V570">
        <v>4</v>
      </c>
      <c r="W570">
        <v>2</v>
      </c>
      <c r="X570">
        <v>2</v>
      </c>
      <c r="Y570" t="s">
        <v>1070</v>
      </c>
      <c r="Z570" t="s">
        <v>1071</v>
      </c>
      <c r="AA570">
        <v>2</v>
      </c>
      <c r="AB570">
        <v>1</v>
      </c>
      <c r="AC570">
        <v>1</v>
      </c>
      <c r="AD570">
        <v>0</v>
      </c>
      <c r="AE570">
        <v>4</v>
      </c>
      <c r="AF570">
        <v>0</v>
      </c>
      <c r="AG570">
        <v>1</v>
      </c>
      <c r="AH570">
        <v>0</v>
      </c>
      <c r="AI570">
        <v>1</v>
      </c>
      <c r="AJ570">
        <v>3</v>
      </c>
      <c r="AK570">
        <v>15</v>
      </c>
      <c r="AL570">
        <v>11</v>
      </c>
      <c r="AM570">
        <v>4</v>
      </c>
      <c r="AN570">
        <v>3</v>
      </c>
      <c r="AO570">
        <v>11</v>
      </c>
      <c r="AP570">
        <v>8</v>
      </c>
      <c r="AQ570">
        <v>7</v>
      </c>
      <c r="AR570">
        <v>17</v>
      </c>
      <c r="AS570">
        <v>41</v>
      </c>
      <c r="AT570">
        <v>59</v>
      </c>
      <c r="AU570">
        <v>1.51</v>
      </c>
      <c r="AV570">
        <v>1.21</v>
      </c>
      <c r="AW570">
        <v>2.8</v>
      </c>
      <c r="AX570">
        <v>54</v>
      </c>
      <c r="AY570">
        <v>75</v>
      </c>
      <c r="AZ570">
        <v>55</v>
      </c>
      <c r="BA570">
        <v>34</v>
      </c>
      <c r="BB570">
        <v>25</v>
      </c>
      <c r="BC570">
        <v>54</v>
      </c>
      <c r="BD570">
        <v>71</v>
      </c>
      <c r="BE570">
        <v>33</v>
      </c>
      <c r="BF570">
        <v>75</v>
      </c>
      <c r="BG570">
        <v>11.58</v>
      </c>
      <c r="BH570">
        <v>4.41</v>
      </c>
      <c r="BI570">
        <v>1.74</v>
      </c>
      <c r="BJ570">
        <v>3.65</v>
      </c>
      <c r="BK570">
        <v>4.55</v>
      </c>
      <c r="BL570">
        <f>(1/Table1[[#This Row],[odds_ft_home_team_win]]+1/Table1[[#This Row],[odds_ft_draw]]+1/Table1[[#This Row],[odds_ft_away_team_win]]-1)/3</f>
        <v>2.2821822066035519E-2</v>
      </c>
      <c r="BM570">
        <v>1.31</v>
      </c>
      <c r="BN570">
        <v>1.8</v>
      </c>
      <c r="BO570">
        <v>2.85</v>
      </c>
      <c r="BP570">
        <v>4.9000000000000004</v>
      </c>
      <c r="BQ570">
        <v>1.8</v>
      </c>
      <c r="BR570">
        <v>1.95</v>
      </c>
      <c r="BS570" t="s">
        <v>116</v>
      </c>
      <c r="BT570">
        <f>VLOOKUP(Table1[[#This Row],[Reference]],metron,8,FALSE)</f>
        <v>1.9673156855724254</v>
      </c>
      <c r="BU570">
        <f>VLOOKUP(Table1[[#This Row],[Reference]],metron,9,FALSE)</f>
        <v>0.77729484582409181</v>
      </c>
      <c r="BV570">
        <f>VLOOKUP(Table1[[#This Row],[Reference]],metron,10,FALSE)</f>
        <v>2.6892488954344627</v>
      </c>
      <c r="BW570">
        <f>VLOOKUP(Table1[[#This Row],[Reference]],metron,11,FALSE)</f>
        <v>1.7546812539448771</v>
      </c>
      <c r="BX570">
        <f>VLOOKUP(Table1[[#This Row],[Reference]],metron,12,FALSE)</f>
        <v>0.93456764148958549</v>
      </c>
      <c r="BY570" s="6">
        <f>VLOOKUP(Table1[[#This Row],[Reference]],metron,13,FALSE)</f>
        <v>0.77824531874605507</v>
      </c>
      <c r="BZ570" s="6">
        <f>VLOOKUP(Table1[[#This Row],[Reference]],metron,14,FALSE)</f>
        <v>0.41237113402061848</v>
      </c>
      <c r="CA570" s="6">
        <f>VLOOKUP(Table1[[#This Row],[Reference]],metron,15,FALSE)</f>
        <v>13.77153558052435</v>
      </c>
      <c r="CB570" s="6">
        <f>VLOOKUP(Table1[[#This Row],[Reference]],metron,16,FALSE)</f>
        <v>9.0445692883895124</v>
      </c>
      <c r="CC570" s="6">
        <f>VLOOKUP(Table1[[#This Row],[Reference]],metron,17,FALSE)</f>
        <v>6.0821292775665396</v>
      </c>
      <c r="CD570" s="6">
        <f>VLOOKUP(Table1[[#This Row],[Reference]],metron,18,FALSE)</f>
        <v>3.8201520912547529</v>
      </c>
      <c r="CE570" s="6">
        <f>VLOOKUP(Table1[[#This Row],[Reference]],metron,19,FALSE)</f>
        <v>7.6894063029578108</v>
      </c>
      <c r="CF570" s="6">
        <f>VLOOKUP(Table1[[#This Row],[Reference]],metron,20,FALSE)</f>
        <v>5.224417197134759</v>
      </c>
      <c r="CG570" s="6">
        <f>VLOOKUP(Table1[[#This Row],[Reference]],metron,21,FALSE)</f>
        <v>12.297605473204101</v>
      </c>
      <c r="CH570" s="6">
        <f>VLOOKUP(Table1[[#This Row],[Reference]],metron,22,FALSE)</f>
        <v>13.310908399847969</v>
      </c>
      <c r="CI570" s="6">
        <f>VLOOKUP(Table1[[#This Row],[Reference]],metron,23,FALSE)</f>
        <v>1.3713126843657819</v>
      </c>
      <c r="CJ570" s="6">
        <f>VLOOKUP(Table1[[#This Row],[Reference]],metron,24,FALSE)</f>
        <v>1.9516961651917399</v>
      </c>
      <c r="CK570" s="6">
        <f>VLOOKUP(Table1[[#This Row],[Reference]],metron,25,FALSE)</f>
        <v>6.6002949852507375E-2</v>
      </c>
      <c r="CL570" s="6">
        <f>VLOOKUP(Table1[[#This Row],[Reference]],metron,26,FALSE)</f>
        <v>0.1297935103244838</v>
      </c>
    </row>
    <row r="571" spans="1:90" x14ac:dyDescent="0.45">
      <c r="A571" t="s">
        <v>1256</v>
      </c>
      <c r="B571">
        <v>1613876400</v>
      </c>
      <c r="C571" s="23" t="s">
        <v>1072</v>
      </c>
      <c r="D571" t="s">
        <v>65</v>
      </c>
      <c r="E571" t="s">
        <v>66</v>
      </c>
      <c r="F571" t="s">
        <v>97</v>
      </c>
      <c r="G571" t="s">
        <v>68</v>
      </c>
      <c r="H571" t="s">
        <v>122</v>
      </c>
      <c r="I571">
        <f>MROUND(Table1[[#This Row],[ProbH]]*100,2)/100</f>
        <v>0.36</v>
      </c>
      <c r="J571">
        <f>1/Table1[[#This Row],[odds_ft_home_team_win]]-Table1[[#This Row],[Margin]]</f>
        <v>0.36852256001624123</v>
      </c>
      <c r="K571">
        <f>1/Table1[[#This Row],[odds_ft_draw]]-Table1[[#This Row],[Margin]]</f>
        <v>0.30423454973015956</v>
      </c>
      <c r="L571">
        <f>1/Table1[[#This Row],[odds_ft_away_team_win]]-Table1[[#This Row],[Margin]]</f>
        <v>0.32724289025359926</v>
      </c>
      <c r="M571">
        <v>7</v>
      </c>
      <c r="N571">
        <v>0.73</v>
      </c>
      <c r="O571">
        <v>1.18</v>
      </c>
      <c r="P571">
        <v>1.21</v>
      </c>
      <c r="Q571">
        <v>1.63</v>
      </c>
      <c r="R571" t="str" cm="1">
        <f t="array" ref="R5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71">
        <v>0</v>
      </c>
      <c r="T571">
        <v>2</v>
      </c>
      <c r="U571">
        <v>2</v>
      </c>
      <c r="V571">
        <v>1</v>
      </c>
      <c r="W571">
        <v>0</v>
      </c>
      <c r="X571">
        <v>1</v>
      </c>
      <c r="Z571" t="s">
        <v>1073</v>
      </c>
      <c r="AA571">
        <v>6</v>
      </c>
      <c r="AB571">
        <v>4</v>
      </c>
      <c r="AC571">
        <v>2</v>
      </c>
      <c r="AD571">
        <v>1</v>
      </c>
      <c r="AE571">
        <v>4</v>
      </c>
      <c r="AF571">
        <v>0</v>
      </c>
      <c r="AG571">
        <v>2</v>
      </c>
      <c r="AH571">
        <v>1</v>
      </c>
      <c r="AI571">
        <v>1</v>
      </c>
      <c r="AJ571">
        <v>3</v>
      </c>
      <c r="AK571">
        <v>10</v>
      </c>
      <c r="AL571">
        <v>8</v>
      </c>
      <c r="AM571">
        <v>0</v>
      </c>
      <c r="AN571">
        <v>3</v>
      </c>
      <c r="AO571">
        <v>10</v>
      </c>
      <c r="AP571">
        <v>5</v>
      </c>
      <c r="AQ571">
        <v>14</v>
      </c>
      <c r="AR571">
        <v>16</v>
      </c>
      <c r="AS571">
        <v>41</v>
      </c>
      <c r="AT571">
        <v>59</v>
      </c>
      <c r="AU571">
        <v>0.9</v>
      </c>
      <c r="AV571">
        <v>0.87</v>
      </c>
      <c r="AW571">
        <v>2.19</v>
      </c>
      <c r="AX571">
        <v>55</v>
      </c>
      <c r="AY571">
        <v>64</v>
      </c>
      <c r="AZ571">
        <v>32</v>
      </c>
      <c r="BA571">
        <v>14</v>
      </c>
      <c r="BB571">
        <v>14</v>
      </c>
      <c r="BC571">
        <v>23</v>
      </c>
      <c r="BD571">
        <v>69</v>
      </c>
      <c r="BE571">
        <v>23</v>
      </c>
      <c r="BF571">
        <v>78</v>
      </c>
      <c r="BG571">
        <v>10.45</v>
      </c>
      <c r="BH571">
        <v>4.7300000000000004</v>
      </c>
      <c r="BI571">
        <v>2.5499999999999998</v>
      </c>
      <c r="BJ571">
        <v>3.05</v>
      </c>
      <c r="BK571">
        <v>2.85</v>
      </c>
      <c r="BL571">
        <f>(1/Table1[[#This Row],[odds_ft_home_team_win]]+1/Table1[[#This Row],[odds_ft_draw]]+1/Table1[[#This Row],[odds_ft_away_team_win]]-1)/3</f>
        <v>2.3634302728856877E-2</v>
      </c>
      <c r="BM571">
        <v>1.5</v>
      </c>
      <c r="BN571">
        <v>2.2999999999999998</v>
      </c>
      <c r="BO571">
        <v>3.85</v>
      </c>
      <c r="BP571">
        <v>7.25</v>
      </c>
      <c r="BQ571">
        <v>2.0499999999999998</v>
      </c>
      <c r="BR571">
        <v>1.74</v>
      </c>
      <c r="BS571" t="s">
        <v>136</v>
      </c>
      <c r="BT571">
        <f>VLOOKUP(Table1[[#This Row],[Reference]],metron,8,FALSE)</f>
        <v>1.4023864615972674</v>
      </c>
      <c r="BU571">
        <f>VLOOKUP(Table1[[#This Row],[Reference]],metron,9,FALSE)</f>
        <v>1.3093265904245279</v>
      </c>
      <c r="BV571">
        <f>VLOOKUP(Table1[[#This Row],[Reference]],metron,10,FALSE)</f>
        <v>2.5110350525197691</v>
      </c>
      <c r="BW571">
        <f>VLOOKUP(Table1[[#This Row],[Reference]],metron,11,FALSE)</f>
        <v>1.269326094653606</v>
      </c>
      <c r="BX571">
        <f>VLOOKUP(Table1[[#This Row],[Reference]],metron,12,FALSE)</f>
        <v>1.2417089578661631</v>
      </c>
      <c r="BY571" s="6">
        <f>VLOOKUP(Table1[[#This Row],[Reference]],metron,13,FALSE)</f>
        <v>0.56586402266288949</v>
      </c>
      <c r="BZ571" s="6">
        <f>VLOOKUP(Table1[[#This Row],[Reference]],metron,14,FALSE)</f>
        <v>0.55158168083097259</v>
      </c>
      <c r="CA571" s="6">
        <f>VLOOKUP(Table1[[#This Row],[Reference]],metron,15,FALSE)</f>
        <v>11.49400826446281</v>
      </c>
      <c r="CB571" s="6">
        <f>VLOOKUP(Table1[[#This Row],[Reference]],metron,16,FALSE)</f>
        <v>10.507231404958681</v>
      </c>
      <c r="CC571" s="6">
        <f>VLOOKUP(Table1[[#This Row],[Reference]],metron,17,FALSE)</f>
        <v>4.9238790406673623</v>
      </c>
      <c r="CD571" s="6">
        <f>VLOOKUP(Table1[[#This Row],[Reference]],metron,18,FALSE)</f>
        <v>4.6296141814389991</v>
      </c>
      <c r="CE571" s="6">
        <f>VLOOKUP(Table1[[#This Row],[Reference]],metron,19,FALSE)</f>
        <v>6.5701292237954476</v>
      </c>
      <c r="CF571" s="6">
        <f>VLOOKUP(Table1[[#This Row],[Reference]],metron,20,FALSE)</f>
        <v>5.8776172235196817</v>
      </c>
      <c r="CG571" s="6">
        <f>VLOOKUP(Table1[[#This Row],[Reference]],metron,21,FALSE)</f>
        <v>12.798739495798319</v>
      </c>
      <c r="CH571" s="6">
        <f>VLOOKUP(Table1[[#This Row],[Reference]],metron,22,FALSE)</f>
        <v>12.98844537815126</v>
      </c>
      <c r="CI571" s="6">
        <f>VLOOKUP(Table1[[#This Row],[Reference]],metron,23,FALSE)</f>
        <v>1.604928297313674</v>
      </c>
      <c r="CJ571" s="6">
        <f>VLOOKUP(Table1[[#This Row],[Reference]],metron,24,FALSE)</f>
        <v>1.791961219955565</v>
      </c>
      <c r="CK571" s="6">
        <f>VLOOKUP(Table1[[#This Row],[Reference]],metron,25,FALSE)</f>
        <v>8.887093516461321E-2</v>
      </c>
      <c r="CL571" s="6">
        <f>VLOOKUP(Table1[[#This Row],[Reference]],metron,26,FALSE)</f>
        <v>0.11694607150070691</v>
      </c>
    </row>
    <row r="572" spans="1:90" x14ac:dyDescent="0.45">
      <c r="A572" t="s">
        <v>1256</v>
      </c>
      <c r="B572">
        <v>1613930400</v>
      </c>
      <c r="C572" s="23" t="s">
        <v>1074</v>
      </c>
      <c r="D572" t="s">
        <v>65</v>
      </c>
      <c r="E572" t="s">
        <v>66</v>
      </c>
      <c r="F572" t="s">
        <v>96</v>
      </c>
      <c r="G572" t="s">
        <v>85</v>
      </c>
      <c r="H572" t="s">
        <v>69</v>
      </c>
      <c r="I572">
        <f>MROUND(Table1[[#This Row],[ProbH]]*100,2)/100</f>
        <v>0.26</v>
      </c>
      <c r="J572">
        <f>1/Table1[[#This Row],[odds_ft_home_team_win]]-Table1[[#This Row],[Margin]]</f>
        <v>0.2605244996549344</v>
      </c>
      <c r="K572">
        <f>1/Table1[[#This Row],[odds_ft_draw]]-Table1[[#This Row],[Margin]]</f>
        <v>0.26466528640441683</v>
      </c>
      <c r="L572">
        <f>1/Table1[[#This Row],[odds_ft_away_team_win]]-Table1[[#This Row],[Margin]]</f>
        <v>0.47481021394064871</v>
      </c>
      <c r="M572">
        <v>7</v>
      </c>
      <c r="N572">
        <v>2</v>
      </c>
      <c r="O572">
        <v>1.43</v>
      </c>
      <c r="P572">
        <v>1.65</v>
      </c>
      <c r="Q572">
        <v>1.5</v>
      </c>
      <c r="R572" t="str" cm="1">
        <f t="array" ref="R5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Z572">
        <v>68</v>
      </c>
      <c r="AA572">
        <v>5</v>
      </c>
      <c r="AB572">
        <v>5</v>
      </c>
      <c r="AC572">
        <v>2</v>
      </c>
      <c r="AD572">
        <v>0</v>
      </c>
      <c r="AE572">
        <v>3</v>
      </c>
      <c r="AF572">
        <v>0</v>
      </c>
      <c r="AG572">
        <v>1</v>
      </c>
      <c r="AH572">
        <v>1</v>
      </c>
      <c r="AI572">
        <v>1</v>
      </c>
      <c r="AJ572">
        <v>2</v>
      </c>
      <c r="AK572">
        <v>14</v>
      </c>
      <c r="AL572">
        <v>11</v>
      </c>
      <c r="AM572">
        <v>5</v>
      </c>
      <c r="AN572">
        <v>4</v>
      </c>
      <c r="AO572">
        <v>9</v>
      </c>
      <c r="AP572">
        <v>7</v>
      </c>
      <c r="AQ572">
        <v>16</v>
      </c>
      <c r="AR572">
        <v>13</v>
      </c>
      <c r="AS572">
        <v>39</v>
      </c>
      <c r="AT572">
        <v>61</v>
      </c>
      <c r="AU572">
        <v>1.4</v>
      </c>
      <c r="AV572">
        <v>1.33</v>
      </c>
      <c r="AW572">
        <v>2.36</v>
      </c>
      <c r="AX572">
        <v>47</v>
      </c>
      <c r="AY572">
        <v>79</v>
      </c>
      <c r="AZ572">
        <v>40</v>
      </c>
      <c r="BA572">
        <v>22</v>
      </c>
      <c r="BB572">
        <v>11</v>
      </c>
      <c r="BC572">
        <v>18</v>
      </c>
      <c r="BD572">
        <v>64</v>
      </c>
      <c r="BE572">
        <v>40</v>
      </c>
      <c r="BF572">
        <v>83</v>
      </c>
      <c r="BG572">
        <v>10.07</v>
      </c>
      <c r="BH572">
        <v>4.6500000000000004</v>
      </c>
      <c r="BI572">
        <v>3.5</v>
      </c>
      <c r="BJ572">
        <v>3.45</v>
      </c>
      <c r="BK572">
        <v>2</v>
      </c>
      <c r="BL572">
        <f>(1/Table1[[#This Row],[odds_ft_home_team_win]]+1/Table1[[#This Row],[odds_ft_draw]]+1/Table1[[#This Row],[odds_ft_away_team_win]]-1)/3</f>
        <v>2.5189786059351293E-2</v>
      </c>
      <c r="BM572">
        <v>1.29</v>
      </c>
      <c r="BN572">
        <v>1.8</v>
      </c>
      <c r="BO572">
        <v>2.8</v>
      </c>
      <c r="BP572">
        <v>5.25</v>
      </c>
      <c r="BQ572">
        <v>1.71</v>
      </c>
      <c r="BR572">
        <v>2.0499999999999998</v>
      </c>
      <c r="BS572" t="s">
        <v>99</v>
      </c>
      <c r="BT572">
        <f>VLOOKUP(Table1[[#This Row],[Reference]],metron,8,FALSE)</f>
        <v>1.0905313574236399</v>
      </c>
      <c r="BU572">
        <f>VLOOKUP(Table1[[#This Row],[Reference]],metron,9,FALSE)</f>
        <v>1.6289415604939639</v>
      </c>
      <c r="BV572">
        <f>VLOOKUP(Table1[[#This Row],[Reference]],metron,10,FALSE)</f>
        <v>2.569449507838133</v>
      </c>
      <c r="BW572">
        <f>VLOOKUP(Table1[[#This Row],[Reference]],metron,11,FALSE)</f>
        <v>1.0936930368209989</v>
      </c>
      <c r="BX572">
        <f>VLOOKUP(Table1[[#This Row],[Reference]],metron,12,FALSE)</f>
        <v>1.475756471017134</v>
      </c>
      <c r="BY572" s="6">
        <f>VLOOKUP(Table1[[#This Row],[Reference]],metron,13,FALSE)</f>
        <v>0.50018228217280347</v>
      </c>
      <c r="BZ572" s="6">
        <f>VLOOKUP(Table1[[#This Row],[Reference]],metron,14,FALSE)</f>
        <v>0.65220561429092239</v>
      </c>
      <c r="CA572" s="6">
        <f>VLOOKUP(Table1[[#This Row],[Reference]],metron,15,FALSE)</f>
        <v>10.905576679340941</v>
      </c>
      <c r="CB572" s="6">
        <f>VLOOKUP(Table1[[#This Row],[Reference]],metron,16,FALSE)</f>
        <v>12.06463878326996</v>
      </c>
      <c r="CC572" s="6">
        <f>VLOOKUP(Table1[[#This Row],[Reference]],metron,17,FALSE)</f>
        <v>4.2920127795527154</v>
      </c>
      <c r="CD572" s="6">
        <f>VLOOKUP(Table1[[#This Row],[Reference]],metron,18,FALSE)</f>
        <v>5.0095846645367406</v>
      </c>
      <c r="CE572" s="6">
        <f>VLOOKUP(Table1[[#This Row],[Reference]],metron,19,FALSE)</f>
        <v>6.6135638997882253</v>
      </c>
      <c r="CF572" s="6">
        <f>VLOOKUP(Table1[[#This Row],[Reference]],metron,20,FALSE)</f>
        <v>7.055054118733219</v>
      </c>
      <c r="CG572" s="6">
        <f>VLOOKUP(Table1[[#This Row],[Reference]],metron,21,FALSE)</f>
        <v>12.94865211810013</v>
      </c>
      <c r="CH572" s="6">
        <f>VLOOKUP(Table1[[#This Row],[Reference]],metron,22,FALSE)</f>
        <v>13.189345314505781</v>
      </c>
      <c r="CI572" s="6">
        <f>VLOOKUP(Table1[[#This Row],[Reference]],metron,23,FALSE)</f>
        <v>1.771446078431373</v>
      </c>
      <c r="CJ572" s="6">
        <f>VLOOKUP(Table1[[#This Row],[Reference]],metron,24,FALSE)</f>
        <v>1.809436274509804</v>
      </c>
      <c r="CK572" s="6">
        <f>VLOOKUP(Table1[[#This Row],[Reference]],metron,25,FALSE)</f>
        <v>0.1060049019607843</v>
      </c>
      <c r="CL572" s="6">
        <f>VLOOKUP(Table1[[#This Row],[Reference]],metron,26,FALSE)</f>
        <v>9.6813725490196081E-2</v>
      </c>
    </row>
    <row r="573" spans="1:90" x14ac:dyDescent="0.45">
      <c r="A573" t="s">
        <v>1256</v>
      </c>
      <c r="B573">
        <v>1613948400</v>
      </c>
      <c r="C573" s="23" t="s">
        <v>1075</v>
      </c>
      <c r="D573" t="s">
        <v>65</v>
      </c>
      <c r="E573" t="s">
        <v>66</v>
      </c>
      <c r="F573" t="s">
        <v>67</v>
      </c>
      <c r="G573" t="s">
        <v>102</v>
      </c>
      <c r="H573" t="s">
        <v>92</v>
      </c>
      <c r="I573">
        <f>MROUND(Table1[[#This Row],[ProbH]]*100,2)/100</f>
        <v>0.42</v>
      </c>
      <c r="J573">
        <f>1/Table1[[#This Row],[odds_ft_home_team_win]]-Table1[[#This Row],[Margin]]</f>
        <v>0.42963286713286708</v>
      </c>
      <c r="K573">
        <f>1/Table1[[#This Row],[odds_ft_draw]]-Table1[[#This Row],[Margin]]</f>
        <v>0.28758741258741255</v>
      </c>
      <c r="L573">
        <f>1/Table1[[#This Row],[odds_ft_away_team_win]]-Table1[[#This Row],[Margin]]</f>
        <v>0.28277972027972026</v>
      </c>
      <c r="M573">
        <v>7</v>
      </c>
      <c r="N573">
        <v>1.82</v>
      </c>
      <c r="O573">
        <v>1.23</v>
      </c>
      <c r="P573">
        <v>1.82</v>
      </c>
      <c r="Q573">
        <v>1.33</v>
      </c>
      <c r="R573" t="str" cm="1">
        <f t="array" ref="R5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3">
        <v>1</v>
      </c>
      <c r="T573">
        <v>1</v>
      </c>
      <c r="U573">
        <v>2</v>
      </c>
      <c r="V573">
        <v>0</v>
      </c>
      <c r="W573">
        <v>0</v>
      </c>
      <c r="X573">
        <v>0</v>
      </c>
      <c r="Y573">
        <v>84</v>
      </c>
      <c r="Z573" t="s">
        <v>650</v>
      </c>
      <c r="AA573">
        <v>6</v>
      </c>
      <c r="AB573">
        <v>7</v>
      </c>
      <c r="AC573">
        <v>1</v>
      </c>
      <c r="AD573">
        <v>0</v>
      </c>
      <c r="AE573">
        <v>2</v>
      </c>
      <c r="AF573">
        <v>0</v>
      </c>
      <c r="AG573">
        <v>0</v>
      </c>
      <c r="AH573">
        <v>1</v>
      </c>
      <c r="AI573">
        <v>1</v>
      </c>
      <c r="AJ573">
        <v>1</v>
      </c>
      <c r="AK573">
        <v>9</v>
      </c>
      <c r="AL573">
        <v>10</v>
      </c>
      <c r="AM573">
        <v>4</v>
      </c>
      <c r="AN573">
        <v>3</v>
      </c>
      <c r="AO573">
        <v>5</v>
      </c>
      <c r="AP573">
        <v>7</v>
      </c>
      <c r="AQ573">
        <v>11</v>
      </c>
      <c r="AR573">
        <v>11</v>
      </c>
      <c r="AS573">
        <v>36</v>
      </c>
      <c r="AT573">
        <v>64</v>
      </c>
      <c r="AU573">
        <v>1.18</v>
      </c>
      <c r="AV573">
        <v>1.1100000000000001</v>
      </c>
      <c r="AW573">
        <v>2.66</v>
      </c>
      <c r="AX573">
        <v>51</v>
      </c>
      <c r="AY573">
        <v>60</v>
      </c>
      <c r="AZ573">
        <v>47</v>
      </c>
      <c r="BA573">
        <v>38</v>
      </c>
      <c r="BB573">
        <v>21</v>
      </c>
      <c r="BC573">
        <v>33</v>
      </c>
      <c r="BD573">
        <v>79</v>
      </c>
      <c r="BE573">
        <v>48</v>
      </c>
      <c r="BF573">
        <v>64</v>
      </c>
      <c r="BG573">
        <v>8.14</v>
      </c>
      <c r="BH573">
        <v>4.51</v>
      </c>
      <c r="BI573">
        <v>2.2000000000000002</v>
      </c>
      <c r="BJ573">
        <v>3.2</v>
      </c>
      <c r="BK573">
        <v>3.25</v>
      </c>
      <c r="BL573">
        <f>(1/Table1[[#This Row],[odds_ft_home_team_win]]+1/Table1[[#This Row],[odds_ft_draw]]+1/Table1[[#This Row],[odds_ft_away_team_win]]-1)/3</f>
        <v>2.4912587412587433E-2</v>
      </c>
      <c r="BM573">
        <v>1.41</v>
      </c>
      <c r="BN573">
        <v>2.15</v>
      </c>
      <c r="BO573">
        <v>3.8</v>
      </c>
      <c r="BP573">
        <v>7.5</v>
      </c>
      <c r="BQ573">
        <v>1.95</v>
      </c>
      <c r="BR573">
        <v>1.83</v>
      </c>
      <c r="BS573" t="s">
        <v>70</v>
      </c>
      <c r="BT573">
        <f>VLOOKUP(Table1[[#This Row],[Reference]],metron,8,FALSE)</f>
        <v>1.5780106027030405</v>
      </c>
      <c r="BU573">
        <f>VLOOKUP(Table1[[#This Row],[Reference]],metron,9,FALSE)</f>
        <v>1.1353025412447635</v>
      </c>
      <c r="BV573">
        <f>VLOOKUP(Table1[[#This Row],[Reference]],metron,10,FALSE)</f>
        <v>2.4884649511978703</v>
      </c>
      <c r="BW573">
        <f>VLOOKUP(Table1[[#This Row],[Reference]],metron,11,FALSE)</f>
        <v>1.396960958296362</v>
      </c>
      <c r="BX573">
        <f>VLOOKUP(Table1[[#This Row],[Reference]],metron,12,FALSE)</f>
        <v>1.091503992901508</v>
      </c>
      <c r="BY573" s="6">
        <f>VLOOKUP(Table1[[#This Row],[Reference]],metron,13,FALSE)</f>
        <v>0.60765391014975045</v>
      </c>
      <c r="BZ573" s="6">
        <f>VLOOKUP(Table1[[#This Row],[Reference]],metron,14,FALSE)</f>
        <v>0.47276760953965608</v>
      </c>
      <c r="CA573" s="6">
        <f>VLOOKUP(Table1[[#This Row],[Reference]],metron,15,FALSE)</f>
        <v>12.29504785684561</v>
      </c>
      <c r="CB573" s="6">
        <f>VLOOKUP(Table1[[#This Row],[Reference]],metron,16,FALSE)</f>
        <v>10.047232625884311</v>
      </c>
      <c r="CC573" s="6">
        <f>VLOOKUP(Table1[[#This Row],[Reference]],metron,17,FALSE)</f>
        <v>5.2917192097519967</v>
      </c>
      <c r="CD573" s="6">
        <f>VLOOKUP(Table1[[#This Row],[Reference]],metron,18,FALSE)</f>
        <v>4.2580916351408158</v>
      </c>
      <c r="CE573" s="6">
        <f>VLOOKUP(Table1[[#This Row],[Reference]],metron,19,FALSE)</f>
        <v>7.0033286470936131</v>
      </c>
      <c r="CF573" s="6">
        <f>VLOOKUP(Table1[[#This Row],[Reference]],metron,20,FALSE)</f>
        <v>5.789140990743495</v>
      </c>
      <c r="CG573" s="6">
        <f>VLOOKUP(Table1[[#This Row],[Reference]],metron,21,FALSE)</f>
        <v>12.77041895895049</v>
      </c>
      <c r="CH573" s="6">
        <f>VLOOKUP(Table1[[#This Row],[Reference]],metron,22,FALSE)</f>
        <v>13.411129919593741</v>
      </c>
      <c r="CI573" s="6">
        <f>VLOOKUP(Table1[[#This Row],[Reference]],metron,23,FALSE)</f>
        <v>1.556141062018646</v>
      </c>
      <c r="CJ573" s="6">
        <f>VLOOKUP(Table1[[#This Row],[Reference]],metron,24,FALSE)</f>
        <v>1.9114308877178761</v>
      </c>
      <c r="CK573" s="6">
        <f>VLOOKUP(Table1[[#This Row],[Reference]],metron,25,FALSE)</f>
        <v>8.4920956627482766E-2</v>
      </c>
      <c r="CL573" s="6">
        <f>VLOOKUP(Table1[[#This Row],[Reference]],metron,26,FALSE)</f>
        <v>0.1323469801378192</v>
      </c>
    </row>
    <row r="574" spans="1:90" hidden="1" x14ac:dyDescent="0.45">
      <c r="A574" t="s">
        <v>1256</v>
      </c>
      <c r="B574">
        <v>1613955600</v>
      </c>
      <c r="C574" s="23" t="s">
        <v>1076</v>
      </c>
      <c r="D574" t="s">
        <v>65</v>
      </c>
      <c r="E574" t="s">
        <v>66</v>
      </c>
      <c r="F574" t="s">
        <v>107</v>
      </c>
      <c r="G574" t="s">
        <v>106</v>
      </c>
      <c r="H574" t="s">
        <v>130</v>
      </c>
      <c r="I574">
        <f>MROUND(Table1[[#This Row],[ProbH]]*100,2)/100</f>
        <v>0.62</v>
      </c>
      <c r="J574">
        <f>1/Table1[[#This Row],[odds_ft_home_team_win]]-Table1[[#This Row],[Margin]]</f>
        <v>0.62629002502420217</v>
      </c>
      <c r="K574">
        <f>1/Table1[[#This Row],[odds_ft_draw]]-Table1[[#This Row],[Margin]]</f>
        <v>0.23010393263557813</v>
      </c>
      <c r="L574">
        <f>1/Table1[[#This Row],[odds_ft_away_team_win]]-Table1[[#This Row],[Margin]]</f>
        <v>0.14360604234021951</v>
      </c>
      <c r="M574">
        <v>7</v>
      </c>
      <c r="N574">
        <v>1.64</v>
      </c>
      <c r="O574">
        <v>0.55000000000000004</v>
      </c>
      <c r="P574">
        <v>1.53</v>
      </c>
      <c r="Q574">
        <v>0.47</v>
      </c>
      <c r="R574" t="str" cm="1">
        <f t="array" ref="R5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4">
        <v>3</v>
      </c>
      <c r="T574">
        <v>2</v>
      </c>
      <c r="U574">
        <v>5</v>
      </c>
      <c r="V574">
        <v>2</v>
      </c>
      <c r="W574">
        <v>2</v>
      </c>
      <c r="X574">
        <v>0</v>
      </c>
      <c r="Y574" t="s">
        <v>1077</v>
      </c>
      <c r="Z574" t="s">
        <v>1078</v>
      </c>
      <c r="AA574">
        <v>1</v>
      </c>
      <c r="AB574">
        <v>2</v>
      </c>
      <c r="AC574">
        <v>1</v>
      </c>
      <c r="AD574">
        <v>0</v>
      </c>
      <c r="AE574">
        <v>2</v>
      </c>
      <c r="AF574">
        <v>0</v>
      </c>
      <c r="AG574">
        <v>1</v>
      </c>
      <c r="AH574">
        <v>0</v>
      </c>
      <c r="AI574">
        <v>1</v>
      </c>
      <c r="AJ574">
        <v>1</v>
      </c>
      <c r="AK574">
        <v>13</v>
      </c>
      <c r="AL574">
        <v>14</v>
      </c>
      <c r="AM574">
        <v>6</v>
      </c>
      <c r="AN574">
        <v>8</v>
      </c>
      <c r="AO574">
        <v>7</v>
      </c>
      <c r="AP574">
        <v>6</v>
      </c>
      <c r="AQ574">
        <v>7</v>
      </c>
      <c r="AR574">
        <v>15</v>
      </c>
      <c r="AS574">
        <v>44</v>
      </c>
      <c r="AT574">
        <v>56</v>
      </c>
      <c r="AU574">
        <v>1.45</v>
      </c>
      <c r="AV574">
        <v>1.74</v>
      </c>
      <c r="AW574">
        <v>2.4700000000000002</v>
      </c>
      <c r="AX574">
        <v>46</v>
      </c>
      <c r="AY574">
        <v>87</v>
      </c>
      <c r="AZ574">
        <v>44</v>
      </c>
      <c r="BA574">
        <v>21</v>
      </c>
      <c r="BB574">
        <v>0</v>
      </c>
      <c r="BC574">
        <v>24</v>
      </c>
      <c r="BD574">
        <v>78</v>
      </c>
      <c r="BE574">
        <v>43</v>
      </c>
      <c r="BF574">
        <v>74</v>
      </c>
      <c r="BG574">
        <v>8.48</v>
      </c>
      <c r="BH574">
        <v>5.16</v>
      </c>
      <c r="BI574">
        <v>1.54</v>
      </c>
      <c r="BJ574">
        <v>3.95</v>
      </c>
      <c r="BK574">
        <v>6</v>
      </c>
      <c r="BL574">
        <f>(1/Table1[[#This Row],[odds_ft_home_team_win]]+1/Table1[[#This Row],[odds_ft_draw]]+1/Table1[[#This Row],[odds_ft_away_team_win]]-1)/3</f>
        <v>2.3060624326447138E-2</v>
      </c>
      <c r="BM574">
        <v>1.32</v>
      </c>
      <c r="BN574">
        <v>1.87</v>
      </c>
      <c r="BO574">
        <v>2.95</v>
      </c>
      <c r="BP574">
        <v>5.25</v>
      </c>
      <c r="BQ574">
        <v>2</v>
      </c>
      <c r="BR574">
        <v>1.77</v>
      </c>
      <c r="BS574" t="s">
        <v>161</v>
      </c>
      <c r="BT574">
        <f>VLOOKUP(Table1[[#This Row],[Reference]],metron,8,FALSE)</f>
        <v>2.1234388909289978</v>
      </c>
      <c r="BU574">
        <f>VLOOKUP(Table1[[#This Row],[Reference]],metron,9,FALSE)</f>
        <v>0.63925141338926716</v>
      </c>
      <c r="BV574">
        <f>VLOOKUP(Table1[[#This Row],[Reference]],metron,10,FALSE)</f>
        <v>2.7366666666666664</v>
      </c>
      <c r="BW574">
        <f>VLOOKUP(Table1[[#This Row],[Reference]],metron,11,FALSE)</f>
        <v>1.8681481481481479</v>
      </c>
      <c r="BX574">
        <f>VLOOKUP(Table1[[#This Row],[Reference]],metron,12,FALSE)</f>
        <v>0.86851851851851847</v>
      </c>
      <c r="BY574" s="6">
        <f>VLOOKUP(Table1[[#This Row],[Reference]],metron,13,FALSE)</f>
        <v>0.81333333333333335</v>
      </c>
      <c r="BZ574" s="6">
        <f>VLOOKUP(Table1[[#This Row],[Reference]],metron,14,FALSE)</f>
        <v>0.38925925925925919</v>
      </c>
      <c r="CA574" s="6">
        <f>VLOOKUP(Table1[[#This Row],[Reference]],metron,15,FALSE)</f>
        <v>14.53422724064926</v>
      </c>
      <c r="CB574" s="6">
        <f>VLOOKUP(Table1[[#This Row],[Reference]],metron,16,FALSE)</f>
        <v>8.7882851093860275</v>
      </c>
      <c r="CC574" s="6">
        <f>VLOOKUP(Table1[[#This Row],[Reference]],metron,17,FALSE)</f>
        <v>6.3007953723788868</v>
      </c>
      <c r="CD574" s="6">
        <f>VLOOKUP(Table1[[#This Row],[Reference]],metron,18,FALSE)</f>
        <v>3.681851048445409</v>
      </c>
      <c r="CE574" s="6">
        <f>VLOOKUP(Table1[[#This Row],[Reference]],metron,19,FALSE)</f>
        <v>8.2334318682703724</v>
      </c>
      <c r="CF574" s="6">
        <f>VLOOKUP(Table1[[#This Row],[Reference]],metron,20,FALSE)</f>
        <v>5.106434060940618</v>
      </c>
      <c r="CG574" s="6">
        <f>VLOOKUP(Table1[[#This Row],[Reference]],metron,21,FALSE)</f>
        <v>12.32150615496017</v>
      </c>
      <c r="CH574" s="6">
        <f>VLOOKUP(Table1[[#This Row],[Reference]],metron,22,FALSE)</f>
        <v>13.337436640115859</v>
      </c>
      <c r="CI574" s="6">
        <f>VLOOKUP(Table1[[#This Row],[Reference]],metron,23,FALSE)</f>
        <v>1.346101231190151</v>
      </c>
      <c r="CJ574" s="6">
        <f>VLOOKUP(Table1[[#This Row],[Reference]],metron,24,FALSE)</f>
        <v>1.995212038303694</v>
      </c>
      <c r="CK574" s="6">
        <f>VLOOKUP(Table1[[#This Row],[Reference]],metron,25,FALSE)</f>
        <v>6.1559507523939808E-2</v>
      </c>
      <c r="CL574" s="6">
        <f>VLOOKUP(Table1[[#This Row],[Reference]],metron,26,FALSE)</f>
        <v>0.13201094391244869</v>
      </c>
    </row>
    <row r="575" spans="1:90" x14ac:dyDescent="0.45">
      <c r="A575" t="s">
        <v>1256</v>
      </c>
      <c r="B575">
        <v>1614049200</v>
      </c>
      <c r="C575" s="23" t="s">
        <v>1079</v>
      </c>
      <c r="D575" t="s">
        <v>65</v>
      </c>
      <c r="E575" t="s">
        <v>66</v>
      </c>
      <c r="F575" t="s">
        <v>84</v>
      </c>
      <c r="G575" t="s">
        <v>90</v>
      </c>
      <c r="H575" t="s">
        <v>158</v>
      </c>
      <c r="I575">
        <f>MROUND(Table1[[#This Row],[ProbH]]*100,2)/100</f>
        <v>0.44</v>
      </c>
      <c r="J575">
        <f>1/Table1[[#This Row],[odds_ft_home_team_win]]-Table1[[#This Row],[Margin]]</f>
        <v>0.43853925150471912</v>
      </c>
      <c r="K575">
        <f>1/Table1[[#This Row],[odds_ft_draw]]-Table1[[#This Row],[Margin]]</f>
        <v>0.28592297243495168</v>
      </c>
      <c r="L575">
        <f>1/Table1[[#This Row],[odds_ft_away_team_win]]-Table1[[#This Row],[Margin]]</f>
        <v>0.27553777606032931</v>
      </c>
      <c r="M575">
        <v>7</v>
      </c>
      <c r="N575">
        <v>1</v>
      </c>
      <c r="O575">
        <v>1.38</v>
      </c>
      <c r="P575">
        <v>1.43</v>
      </c>
      <c r="Q575">
        <v>1.35</v>
      </c>
      <c r="R575" s="9" t="str" cm="1">
        <f t="array" ref="R5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5">
        <v>1</v>
      </c>
      <c r="T575">
        <v>1</v>
      </c>
      <c r="U575">
        <v>2</v>
      </c>
      <c r="V575">
        <v>1</v>
      </c>
      <c r="W575">
        <v>0</v>
      </c>
      <c r="X575">
        <v>1</v>
      </c>
      <c r="Y575">
        <v>49</v>
      </c>
      <c r="Z575">
        <v>29</v>
      </c>
      <c r="AA575">
        <v>4</v>
      </c>
      <c r="AB575">
        <v>2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19</v>
      </c>
      <c r="AL575">
        <v>12</v>
      </c>
      <c r="AM575">
        <v>6</v>
      </c>
      <c r="AN575">
        <v>4</v>
      </c>
      <c r="AO575">
        <v>13</v>
      </c>
      <c r="AP575">
        <v>8</v>
      </c>
      <c r="AQ575">
        <v>18</v>
      </c>
      <c r="AR575">
        <v>11</v>
      </c>
      <c r="AS575">
        <v>47</v>
      </c>
      <c r="AT575">
        <v>53</v>
      </c>
      <c r="AU575">
        <v>1.96</v>
      </c>
      <c r="AV575">
        <v>1.28</v>
      </c>
      <c r="AW575">
        <v>2.19</v>
      </c>
      <c r="AX575">
        <v>50</v>
      </c>
      <c r="AY575">
        <v>58</v>
      </c>
      <c r="AZ575">
        <v>35</v>
      </c>
      <c r="BA575">
        <v>23</v>
      </c>
      <c r="BB575">
        <v>4</v>
      </c>
      <c r="BC575">
        <v>23</v>
      </c>
      <c r="BD575">
        <v>66</v>
      </c>
      <c r="BE575">
        <v>35</v>
      </c>
      <c r="BF575">
        <v>70</v>
      </c>
      <c r="BG575">
        <v>9.77</v>
      </c>
      <c r="BH575">
        <v>5.16</v>
      </c>
      <c r="BI575">
        <v>2.15</v>
      </c>
      <c r="BJ575">
        <v>3.2</v>
      </c>
      <c r="BK575">
        <v>3.31</v>
      </c>
      <c r="BL575">
        <f>(1/Table1[[#This Row],[odds_ft_home_team_win]]+1/Table1[[#This Row],[odds_ft_draw]]+1/Table1[[#This Row],[odds_ft_away_team_win]]-1)/3</f>
        <v>2.6577027565048317E-2</v>
      </c>
      <c r="BM575">
        <v>1.38</v>
      </c>
      <c r="BN575">
        <v>2.0699999999999998</v>
      </c>
      <c r="BO575">
        <v>4</v>
      </c>
      <c r="BP575">
        <v>7.75</v>
      </c>
      <c r="BQ575">
        <v>2.15</v>
      </c>
      <c r="BR575">
        <v>1.67</v>
      </c>
      <c r="BS575" t="s">
        <v>88</v>
      </c>
      <c r="BT575">
        <f>VLOOKUP(Table1[[#This Row],[Reference]],metron,8,FALSE)</f>
        <v>1.6395459745305552</v>
      </c>
      <c r="BU575">
        <f>VLOOKUP(Table1[[#This Row],[Reference]],metron,9,FALSE)</f>
        <v>1.0758429359324786</v>
      </c>
      <c r="BV575">
        <f>VLOOKUP(Table1[[#This Row],[Reference]],metron,10,FALSE)</f>
        <v>2.4807646356033461</v>
      </c>
      <c r="BW575">
        <f>VLOOKUP(Table1[[#This Row],[Reference]],metron,11,FALSE)</f>
        <v>1.4140979689366791</v>
      </c>
      <c r="BX575">
        <f>VLOOKUP(Table1[[#This Row],[Reference]],metron,12,FALSE)</f>
        <v>1.0666666666666671</v>
      </c>
      <c r="BY575" s="6">
        <f>VLOOKUP(Table1[[#This Row],[Reference]],metron,13,FALSE)</f>
        <v>0.62712066905615294</v>
      </c>
      <c r="BZ575" s="6">
        <f>VLOOKUP(Table1[[#This Row],[Reference]],metron,14,FALSE)</f>
        <v>0.46009557945041818</v>
      </c>
      <c r="CA575" s="6">
        <f>VLOOKUP(Table1[[#This Row],[Reference]],metron,15,FALSE)</f>
        <v>12.56969280146722</v>
      </c>
      <c r="CB575" s="6">
        <f>VLOOKUP(Table1[[#This Row],[Reference]],metron,16,FALSE)</f>
        <v>9.8695552498853729</v>
      </c>
      <c r="CC575" s="6">
        <f>VLOOKUP(Table1[[#This Row],[Reference]],metron,17,FALSE)</f>
        <v>5.2754256787850897</v>
      </c>
      <c r="CD575" s="6">
        <f>VLOOKUP(Table1[[#This Row],[Reference]],metron,18,FALSE)</f>
        <v>4.1279337321675103</v>
      </c>
      <c r="CE575" s="6">
        <f>VLOOKUP(Table1[[#This Row],[Reference]],metron,19,FALSE)</f>
        <v>7.2942671226821298</v>
      </c>
      <c r="CF575" s="6">
        <f>VLOOKUP(Table1[[#This Row],[Reference]],metron,20,FALSE)</f>
        <v>5.7416215177178627</v>
      </c>
      <c r="CG575" s="6">
        <f>VLOOKUP(Table1[[#This Row],[Reference]],metron,21,FALSE)</f>
        <v>12.897246007868549</v>
      </c>
      <c r="CH575" s="6">
        <f>VLOOKUP(Table1[[#This Row],[Reference]],metron,22,FALSE)</f>
        <v>13.507058551261281</v>
      </c>
      <c r="CI575" s="6">
        <f>VLOOKUP(Table1[[#This Row],[Reference]],metron,23,FALSE)</f>
        <v>1.576522702104098</v>
      </c>
      <c r="CJ575" s="6">
        <f>VLOOKUP(Table1[[#This Row],[Reference]],metron,24,FALSE)</f>
        <v>1.917165005537099</v>
      </c>
      <c r="CK575" s="6">
        <f>VLOOKUP(Table1[[#This Row],[Reference]],metron,25,FALSE)</f>
        <v>8.4385382059800659E-2</v>
      </c>
      <c r="CL575" s="6">
        <f>VLOOKUP(Table1[[#This Row],[Reference]],metron,26,FALSE)</f>
        <v>0.1233665559246955</v>
      </c>
    </row>
    <row r="576" spans="1:90" x14ac:dyDescent="0.45">
      <c r="A576" t="s">
        <v>1256</v>
      </c>
      <c r="B576">
        <v>1614308400</v>
      </c>
      <c r="C576" s="23" t="s">
        <v>1080</v>
      </c>
      <c r="D576" t="s">
        <v>65</v>
      </c>
      <c r="E576" t="s">
        <v>66</v>
      </c>
      <c r="F576" t="s">
        <v>91</v>
      </c>
      <c r="G576" t="s">
        <v>107</v>
      </c>
      <c r="H576" t="s">
        <v>114</v>
      </c>
      <c r="I576">
        <f>MROUND(Table1[[#This Row],[ProbH]]*100,2)/100</f>
        <v>0.3</v>
      </c>
      <c r="J576">
        <f>1/Table1[[#This Row],[odds_ft_home_team_win]]-Table1[[#This Row],[Margin]]</f>
        <v>0.30072301932288209</v>
      </c>
      <c r="K576">
        <f>1/Table1[[#This Row],[odds_ft_draw]]-Table1[[#This Row],[Margin]]</f>
        <v>0.29560269162190922</v>
      </c>
      <c r="L576">
        <f>1/Table1[[#This Row],[odds_ft_away_team_win]]-Table1[[#This Row],[Margin]]</f>
        <v>0.4036742890552088</v>
      </c>
      <c r="M576">
        <v>8</v>
      </c>
      <c r="N576">
        <v>1.25</v>
      </c>
      <c r="O576">
        <v>1.64</v>
      </c>
      <c r="P576">
        <v>1</v>
      </c>
      <c r="Q576">
        <v>1.47</v>
      </c>
      <c r="R576" t="str" cm="1">
        <f t="array" ref="R5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6">
        <v>2</v>
      </c>
      <c r="T576">
        <v>2</v>
      </c>
      <c r="U576">
        <v>4</v>
      </c>
      <c r="V576">
        <v>2</v>
      </c>
      <c r="W576">
        <v>1</v>
      </c>
      <c r="X576">
        <v>1</v>
      </c>
      <c r="Y576" t="s">
        <v>1081</v>
      </c>
      <c r="Z576" t="s">
        <v>1082</v>
      </c>
      <c r="AA576">
        <v>4</v>
      </c>
      <c r="AB576">
        <v>7</v>
      </c>
      <c r="AC576">
        <v>4</v>
      </c>
      <c r="AD576">
        <v>0</v>
      </c>
      <c r="AE576">
        <v>1</v>
      </c>
      <c r="AF576">
        <v>0</v>
      </c>
      <c r="AG576">
        <v>0</v>
      </c>
      <c r="AH576">
        <v>4</v>
      </c>
      <c r="AI576">
        <v>0</v>
      </c>
      <c r="AJ576">
        <v>1</v>
      </c>
      <c r="AK576">
        <v>7</v>
      </c>
      <c r="AL576">
        <v>12</v>
      </c>
      <c r="AM576">
        <v>4</v>
      </c>
      <c r="AN576">
        <v>7</v>
      </c>
      <c r="AO576">
        <v>3</v>
      </c>
      <c r="AP576">
        <v>5</v>
      </c>
      <c r="AQ576">
        <v>17</v>
      </c>
      <c r="AR576">
        <v>10</v>
      </c>
      <c r="AS576">
        <v>28</v>
      </c>
      <c r="AT576">
        <v>72</v>
      </c>
      <c r="AU576">
        <v>1.2</v>
      </c>
      <c r="AV576">
        <v>1.91</v>
      </c>
      <c r="AW576">
        <v>2.64</v>
      </c>
      <c r="AX576">
        <v>56</v>
      </c>
      <c r="AY576">
        <v>87</v>
      </c>
      <c r="AZ576">
        <v>47</v>
      </c>
      <c r="BA576">
        <v>26</v>
      </c>
      <c r="BB576">
        <v>9</v>
      </c>
      <c r="BC576">
        <v>38</v>
      </c>
      <c r="BD576">
        <v>78</v>
      </c>
      <c r="BE576">
        <v>35</v>
      </c>
      <c r="BF576">
        <v>79</v>
      </c>
      <c r="BG576">
        <v>10.66</v>
      </c>
      <c r="BH576">
        <v>5.26</v>
      </c>
      <c r="BI576">
        <v>3.1</v>
      </c>
      <c r="BJ576">
        <v>3.15</v>
      </c>
      <c r="BK576">
        <v>2.35</v>
      </c>
      <c r="BL576">
        <f>(1/Table1[[#This Row],[odds_ft_home_team_win]]+1/Table1[[#This Row],[odds_ft_draw]]+1/Table1[[#This Row],[odds_ft_away_team_win]]-1)/3</f>
        <v>2.1857625838408223E-2</v>
      </c>
      <c r="BM576">
        <v>1.38</v>
      </c>
      <c r="BN576">
        <v>2.1</v>
      </c>
      <c r="BO576">
        <v>3.5</v>
      </c>
      <c r="BP576">
        <v>7</v>
      </c>
      <c r="BQ576">
        <v>1.83</v>
      </c>
      <c r="BR576">
        <v>1.91</v>
      </c>
      <c r="BS576" t="s">
        <v>144</v>
      </c>
      <c r="BT576">
        <f>VLOOKUP(Table1[[#This Row],[Reference]],metron,8,FALSE)</f>
        <v>1.2142445227270171</v>
      </c>
      <c r="BU576">
        <f>VLOOKUP(Table1[[#This Row],[Reference]],metron,9,FALSE)</f>
        <v>1.4993969533036628</v>
      </c>
      <c r="BV576">
        <f>VLOOKUP(Table1[[#This Row],[Reference]],metron,10,FALSE)</f>
        <v>2.5726407816919519</v>
      </c>
      <c r="BW576">
        <f>VLOOKUP(Table1[[#This Row],[Reference]],metron,11,FALSE)</f>
        <v>1.1805091283106199</v>
      </c>
      <c r="BX576">
        <f>VLOOKUP(Table1[[#This Row],[Reference]],metron,12,FALSE)</f>
        <v>1.3921316533813319</v>
      </c>
      <c r="BY576" s="6">
        <f>VLOOKUP(Table1[[#This Row],[Reference]],metron,13,FALSE)</f>
        <v>0.5209673269873939</v>
      </c>
      <c r="BZ576" s="6">
        <f>VLOOKUP(Table1[[#This Row],[Reference]],metron,14,FALSE)</f>
        <v>0.61847182917417032</v>
      </c>
      <c r="CA576" s="6">
        <f>VLOOKUP(Table1[[#This Row],[Reference]],metron,15,FALSE)</f>
        <v>11.149200710479571</v>
      </c>
      <c r="CB576" s="6">
        <f>VLOOKUP(Table1[[#This Row],[Reference]],metron,16,FALSE)</f>
        <v>11.444049733570161</v>
      </c>
      <c r="CC576" s="6">
        <f>VLOOKUP(Table1[[#This Row],[Reference]],metron,17,FALSE)</f>
        <v>4.5257270693512304</v>
      </c>
      <c r="CD576" s="6">
        <f>VLOOKUP(Table1[[#This Row],[Reference]],metron,18,FALSE)</f>
        <v>4.8465324384787474</v>
      </c>
      <c r="CE576" s="6">
        <f>VLOOKUP(Table1[[#This Row],[Reference]],metron,19,FALSE)</f>
        <v>6.6234736411283404</v>
      </c>
      <c r="CF576" s="6">
        <f>VLOOKUP(Table1[[#This Row],[Reference]],metron,20,FALSE)</f>
        <v>6.5975172950914134</v>
      </c>
      <c r="CG576" s="6">
        <f>VLOOKUP(Table1[[#This Row],[Reference]],metron,21,FALSE)</f>
        <v>12.90081154192967</v>
      </c>
      <c r="CH576" s="6">
        <f>VLOOKUP(Table1[[#This Row],[Reference]],metron,22,FALSE)</f>
        <v>13.00360685302074</v>
      </c>
      <c r="CI576" s="6">
        <f>VLOOKUP(Table1[[#This Row],[Reference]],metron,23,FALSE)</f>
        <v>1.7502145922746779</v>
      </c>
      <c r="CJ576" s="6">
        <f>VLOOKUP(Table1[[#This Row],[Reference]],metron,24,FALSE)</f>
        <v>1.831402831402831</v>
      </c>
      <c r="CK576" s="6">
        <f>VLOOKUP(Table1[[#This Row],[Reference]],metron,25,FALSE)</f>
        <v>9.6525096525096526E-2</v>
      </c>
      <c r="CL576" s="6">
        <f>VLOOKUP(Table1[[#This Row],[Reference]],metron,26,FALSE)</f>
        <v>0.1244101244101244</v>
      </c>
    </row>
    <row r="577" spans="1:90" x14ac:dyDescent="0.45">
      <c r="A577" t="s">
        <v>1256</v>
      </c>
      <c r="B577">
        <v>1614389400</v>
      </c>
      <c r="C577" s="23" t="s">
        <v>1083</v>
      </c>
      <c r="D577" t="s">
        <v>65</v>
      </c>
      <c r="E577" t="s">
        <v>66</v>
      </c>
      <c r="F577" t="s">
        <v>102</v>
      </c>
      <c r="G577" t="s">
        <v>72</v>
      </c>
      <c r="H577" t="s">
        <v>158</v>
      </c>
      <c r="I577">
        <f>MROUND(Table1[[#This Row],[ProbH]]*100,2)/100</f>
        <v>0.42</v>
      </c>
      <c r="J577">
        <f>1/Table1[[#This Row],[odds_ft_home_team_win]]-Table1[[#This Row],[Margin]]</f>
        <v>0.420479302832244</v>
      </c>
      <c r="K577">
        <f>1/Table1[[#This Row],[odds_ft_draw]]-Table1[[#This Row],[Margin]]</f>
        <v>0.30936819172113289</v>
      </c>
      <c r="L577">
        <f>1/Table1[[#This Row],[odds_ft_away_team_win]]-Table1[[#This Row],[Margin]]</f>
        <v>0.27015250544662311</v>
      </c>
      <c r="M577">
        <v>8</v>
      </c>
      <c r="N577">
        <v>1.23</v>
      </c>
      <c r="O577">
        <v>1</v>
      </c>
      <c r="P577">
        <v>1.5</v>
      </c>
      <c r="Q577">
        <v>0.72</v>
      </c>
      <c r="R577" s="9" t="str" cm="1">
        <f t="array" ref="R5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54</v>
      </c>
      <c r="AA577">
        <v>9</v>
      </c>
      <c r="AB577">
        <v>2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15</v>
      </c>
      <c r="AL577">
        <v>10</v>
      </c>
      <c r="AM577">
        <v>9</v>
      </c>
      <c r="AN577">
        <v>4</v>
      </c>
      <c r="AO577">
        <v>6</v>
      </c>
      <c r="AP577">
        <v>6</v>
      </c>
      <c r="AQ577">
        <v>8</v>
      </c>
      <c r="AR577">
        <v>10</v>
      </c>
      <c r="AS577">
        <v>53</v>
      </c>
      <c r="AT577">
        <v>47</v>
      </c>
      <c r="AU577">
        <v>2.0099999999999998</v>
      </c>
      <c r="AV577">
        <v>1.1000000000000001</v>
      </c>
      <c r="AW577">
        <v>2.42</v>
      </c>
      <c r="AX577">
        <v>50</v>
      </c>
      <c r="AY577">
        <v>66</v>
      </c>
      <c r="AZ577">
        <v>39</v>
      </c>
      <c r="BA577">
        <v>23</v>
      </c>
      <c r="BB577">
        <v>16</v>
      </c>
      <c r="BC577">
        <v>35</v>
      </c>
      <c r="BD577">
        <v>66</v>
      </c>
      <c r="BE577">
        <v>42</v>
      </c>
      <c r="BF577">
        <v>74</v>
      </c>
      <c r="BG577">
        <v>8.08</v>
      </c>
      <c r="BH577">
        <v>4.84</v>
      </c>
      <c r="BI577">
        <v>2.25</v>
      </c>
      <c r="BJ577">
        <v>3</v>
      </c>
      <c r="BK577">
        <v>3.4</v>
      </c>
      <c r="BL577">
        <f>(1/Table1[[#This Row],[odds_ft_home_team_win]]+1/Table1[[#This Row],[odds_ft_draw]]+1/Table1[[#This Row],[odds_ft_away_team_win]]-1)/3</f>
        <v>2.3965141612200425E-2</v>
      </c>
      <c r="BM577">
        <v>1.51</v>
      </c>
      <c r="BN577">
        <v>2.4</v>
      </c>
      <c r="BO577">
        <v>4.4000000000000004</v>
      </c>
      <c r="BP577">
        <v>9</v>
      </c>
      <c r="BQ577">
        <v>2.1</v>
      </c>
      <c r="BR577">
        <v>1.69</v>
      </c>
      <c r="BS577" t="s">
        <v>124</v>
      </c>
      <c r="BT577">
        <f>VLOOKUP(Table1[[#This Row],[Reference]],metron,8,FALSE)</f>
        <v>1.5780106027030405</v>
      </c>
      <c r="BU577">
        <f>VLOOKUP(Table1[[#This Row],[Reference]],metron,9,FALSE)</f>
        <v>1.1353025412447635</v>
      </c>
      <c r="BV577">
        <f>VLOOKUP(Table1[[#This Row],[Reference]],metron,10,FALSE)</f>
        <v>2.4884649511978703</v>
      </c>
      <c r="BW577">
        <f>VLOOKUP(Table1[[#This Row],[Reference]],metron,11,FALSE)</f>
        <v>1.396960958296362</v>
      </c>
      <c r="BX577">
        <f>VLOOKUP(Table1[[#This Row],[Reference]],metron,12,FALSE)</f>
        <v>1.091503992901508</v>
      </c>
      <c r="BY577" s="6">
        <f>VLOOKUP(Table1[[#This Row],[Reference]],metron,13,FALSE)</f>
        <v>0.60765391014975045</v>
      </c>
      <c r="BZ577" s="6">
        <f>VLOOKUP(Table1[[#This Row],[Reference]],metron,14,FALSE)</f>
        <v>0.47276760953965608</v>
      </c>
      <c r="CA577" s="6">
        <f>VLOOKUP(Table1[[#This Row],[Reference]],metron,15,FALSE)</f>
        <v>12.29504785684561</v>
      </c>
      <c r="CB577" s="6">
        <f>VLOOKUP(Table1[[#This Row],[Reference]],metron,16,FALSE)</f>
        <v>10.047232625884311</v>
      </c>
      <c r="CC577" s="6">
        <f>VLOOKUP(Table1[[#This Row],[Reference]],metron,17,FALSE)</f>
        <v>5.2917192097519967</v>
      </c>
      <c r="CD577" s="6">
        <f>VLOOKUP(Table1[[#This Row],[Reference]],metron,18,FALSE)</f>
        <v>4.2580916351408158</v>
      </c>
      <c r="CE577" s="6">
        <f>VLOOKUP(Table1[[#This Row],[Reference]],metron,19,FALSE)</f>
        <v>7.0033286470936131</v>
      </c>
      <c r="CF577" s="6">
        <f>VLOOKUP(Table1[[#This Row],[Reference]],metron,20,FALSE)</f>
        <v>5.789140990743495</v>
      </c>
      <c r="CG577" s="6">
        <f>VLOOKUP(Table1[[#This Row],[Reference]],metron,21,FALSE)</f>
        <v>12.77041895895049</v>
      </c>
      <c r="CH577" s="6">
        <f>VLOOKUP(Table1[[#This Row],[Reference]],metron,22,FALSE)</f>
        <v>13.411129919593741</v>
      </c>
      <c r="CI577" s="6">
        <f>VLOOKUP(Table1[[#This Row],[Reference]],metron,23,FALSE)</f>
        <v>1.556141062018646</v>
      </c>
      <c r="CJ577" s="6">
        <f>VLOOKUP(Table1[[#This Row],[Reference]],metron,24,FALSE)</f>
        <v>1.9114308877178761</v>
      </c>
      <c r="CK577" s="6">
        <f>VLOOKUP(Table1[[#This Row],[Reference]],metron,25,FALSE)</f>
        <v>8.4920956627482766E-2</v>
      </c>
      <c r="CL577" s="6">
        <f>VLOOKUP(Table1[[#This Row],[Reference]],metron,26,FALSE)</f>
        <v>0.1323469801378192</v>
      </c>
    </row>
    <row r="578" spans="1:90" x14ac:dyDescent="0.45">
      <c r="A578" t="s">
        <v>1256</v>
      </c>
      <c r="B578">
        <v>1614396600</v>
      </c>
      <c r="C578" s="23" t="s">
        <v>1084</v>
      </c>
      <c r="D578" t="s">
        <v>65</v>
      </c>
      <c r="E578" t="s">
        <v>66</v>
      </c>
      <c r="F578" t="s">
        <v>113</v>
      </c>
      <c r="G578" t="s">
        <v>67</v>
      </c>
      <c r="H578" t="s">
        <v>69</v>
      </c>
      <c r="I578">
        <f>MROUND(Table1[[#This Row],[ProbH]]*100,2)/100</f>
        <v>0.42</v>
      </c>
      <c r="J578">
        <f>1/Table1[[#This Row],[odds_ft_home_team_win]]-Table1[[#This Row],[Margin]]</f>
        <v>0.42124542124542125</v>
      </c>
      <c r="K578">
        <f>1/Table1[[#This Row],[odds_ft_draw]]-Table1[[#This Row],[Margin]]</f>
        <v>0.28449328449328454</v>
      </c>
      <c r="L578">
        <f>1/Table1[[#This Row],[odds_ft_away_team_win]]-Table1[[#This Row],[Margin]]</f>
        <v>0.29426129426129427</v>
      </c>
      <c r="M578">
        <v>8</v>
      </c>
      <c r="N578">
        <v>1.5</v>
      </c>
      <c r="O578">
        <v>0.17</v>
      </c>
      <c r="P578">
        <v>1.53</v>
      </c>
      <c r="Q578">
        <v>0.17</v>
      </c>
      <c r="R578" t="str" cm="1">
        <f t="array" ref="R5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8">
        <v>3</v>
      </c>
      <c r="T578">
        <v>0</v>
      </c>
      <c r="U578">
        <v>3</v>
      </c>
      <c r="V578">
        <v>2</v>
      </c>
      <c r="W578">
        <v>2</v>
      </c>
      <c r="X578">
        <v>0</v>
      </c>
      <c r="Y578" t="s">
        <v>1085</v>
      </c>
      <c r="AA578">
        <v>4</v>
      </c>
      <c r="AB578">
        <v>5</v>
      </c>
      <c r="AC578">
        <v>2</v>
      </c>
      <c r="AD578">
        <v>0</v>
      </c>
      <c r="AE578">
        <v>1</v>
      </c>
      <c r="AF578">
        <v>2</v>
      </c>
      <c r="AG578">
        <v>0</v>
      </c>
      <c r="AH578">
        <v>2</v>
      </c>
      <c r="AI578">
        <v>1</v>
      </c>
      <c r="AJ578">
        <v>2</v>
      </c>
      <c r="AK578">
        <v>2</v>
      </c>
      <c r="AL578">
        <v>7</v>
      </c>
      <c r="AM578">
        <v>0</v>
      </c>
      <c r="AN578">
        <v>6</v>
      </c>
      <c r="AO578">
        <v>2</v>
      </c>
      <c r="AP578">
        <v>1</v>
      </c>
      <c r="AQ578">
        <v>16</v>
      </c>
      <c r="AR578">
        <v>15</v>
      </c>
      <c r="AS578">
        <v>56</v>
      </c>
      <c r="AT578">
        <v>44</v>
      </c>
      <c r="AU578">
        <v>0.5</v>
      </c>
      <c r="AV578">
        <v>1.1000000000000001</v>
      </c>
      <c r="AW578">
        <v>2.92</v>
      </c>
      <c r="AX578">
        <v>63</v>
      </c>
      <c r="AY578">
        <v>71</v>
      </c>
      <c r="AZ578">
        <v>63</v>
      </c>
      <c r="BA578">
        <v>33</v>
      </c>
      <c r="BB578">
        <v>29</v>
      </c>
      <c r="BC578">
        <v>50</v>
      </c>
      <c r="BD578">
        <v>79</v>
      </c>
      <c r="BE578">
        <v>33</v>
      </c>
      <c r="BF578">
        <v>71</v>
      </c>
      <c r="BG578">
        <v>8.34</v>
      </c>
      <c r="BH578">
        <v>5.34</v>
      </c>
      <c r="BI578">
        <v>2.25</v>
      </c>
      <c r="BJ578">
        <v>3.25</v>
      </c>
      <c r="BK578">
        <v>3.15</v>
      </c>
      <c r="BL578">
        <f>(1/Table1[[#This Row],[odds_ft_home_team_win]]+1/Table1[[#This Row],[odds_ft_draw]]+1/Table1[[#This Row],[odds_ft_away_team_win]]-1)/3</f>
        <v>2.3199023199023189E-2</v>
      </c>
      <c r="BM578">
        <v>1.36</v>
      </c>
      <c r="BN578">
        <v>2</v>
      </c>
      <c r="BO578">
        <v>3.35</v>
      </c>
      <c r="BP578">
        <v>6.75</v>
      </c>
      <c r="BQ578">
        <v>1.83</v>
      </c>
      <c r="BR578">
        <v>1.91</v>
      </c>
      <c r="BS578" t="s">
        <v>120</v>
      </c>
      <c r="BT578">
        <f>VLOOKUP(Table1[[#This Row],[Reference]],metron,8,FALSE)</f>
        <v>1.5780106027030405</v>
      </c>
      <c r="BU578">
        <f>VLOOKUP(Table1[[#This Row],[Reference]],metron,9,FALSE)</f>
        <v>1.1353025412447635</v>
      </c>
      <c r="BV578">
        <f>VLOOKUP(Table1[[#This Row],[Reference]],metron,10,FALSE)</f>
        <v>2.4884649511978703</v>
      </c>
      <c r="BW578">
        <f>VLOOKUP(Table1[[#This Row],[Reference]],metron,11,FALSE)</f>
        <v>1.396960958296362</v>
      </c>
      <c r="BX578">
        <f>VLOOKUP(Table1[[#This Row],[Reference]],metron,12,FALSE)</f>
        <v>1.091503992901508</v>
      </c>
      <c r="BY578" s="6">
        <f>VLOOKUP(Table1[[#This Row],[Reference]],metron,13,FALSE)</f>
        <v>0.60765391014975045</v>
      </c>
      <c r="BZ578" s="6">
        <f>VLOOKUP(Table1[[#This Row],[Reference]],metron,14,FALSE)</f>
        <v>0.47276760953965608</v>
      </c>
      <c r="CA578" s="6">
        <f>VLOOKUP(Table1[[#This Row],[Reference]],metron,15,FALSE)</f>
        <v>12.29504785684561</v>
      </c>
      <c r="CB578" s="6">
        <f>VLOOKUP(Table1[[#This Row],[Reference]],metron,16,FALSE)</f>
        <v>10.047232625884311</v>
      </c>
      <c r="CC578" s="6">
        <f>VLOOKUP(Table1[[#This Row],[Reference]],metron,17,FALSE)</f>
        <v>5.2917192097519967</v>
      </c>
      <c r="CD578" s="6">
        <f>VLOOKUP(Table1[[#This Row],[Reference]],metron,18,FALSE)</f>
        <v>4.2580916351408158</v>
      </c>
      <c r="CE578" s="6">
        <f>VLOOKUP(Table1[[#This Row],[Reference]],metron,19,FALSE)</f>
        <v>7.0033286470936131</v>
      </c>
      <c r="CF578" s="6">
        <f>VLOOKUP(Table1[[#This Row],[Reference]],metron,20,FALSE)</f>
        <v>5.789140990743495</v>
      </c>
      <c r="CG578" s="6">
        <f>VLOOKUP(Table1[[#This Row],[Reference]],metron,21,FALSE)</f>
        <v>12.77041895895049</v>
      </c>
      <c r="CH578" s="6">
        <f>VLOOKUP(Table1[[#This Row],[Reference]],metron,22,FALSE)</f>
        <v>13.411129919593741</v>
      </c>
      <c r="CI578" s="6">
        <f>VLOOKUP(Table1[[#This Row],[Reference]],metron,23,FALSE)</f>
        <v>1.556141062018646</v>
      </c>
      <c r="CJ578" s="6">
        <f>VLOOKUP(Table1[[#This Row],[Reference]],metron,24,FALSE)</f>
        <v>1.9114308877178761</v>
      </c>
      <c r="CK578" s="6">
        <f>VLOOKUP(Table1[[#This Row],[Reference]],metron,25,FALSE)</f>
        <v>8.4920956627482766E-2</v>
      </c>
      <c r="CL578" s="6">
        <f>VLOOKUP(Table1[[#This Row],[Reference]],metron,26,FALSE)</f>
        <v>0.1323469801378192</v>
      </c>
    </row>
    <row r="579" spans="1:90" x14ac:dyDescent="0.45">
      <c r="A579" t="s">
        <v>1256</v>
      </c>
      <c r="B579">
        <v>1614466800</v>
      </c>
      <c r="C579" s="23" t="s">
        <v>1086</v>
      </c>
      <c r="D579" t="s">
        <v>65</v>
      </c>
      <c r="E579" t="s">
        <v>66</v>
      </c>
      <c r="F579" t="s">
        <v>79</v>
      </c>
      <c r="G579" t="s">
        <v>97</v>
      </c>
      <c r="H579" t="s">
        <v>92</v>
      </c>
      <c r="I579">
        <f>MROUND(Table1[[#This Row],[ProbH]]*100,2)/100</f>
        <v>0.44</v>
      </c>
      <c r="J579">
        <f>1/Table1[[#This Row],[odds_ft_home_team_win]]-Table1[[#This Row],[Margin]]</f>
        <v>0.44120497036023709</v>
      </c>
      <c r="K579">
        <f>1/Table1[[#This Row],[odds_ft_draw]]-Table1[[#This Row],[Margin]]</f>
        <v>0.2702063383492932</v>
      </c>
      <c r="L579">
        <f>1/Table1[[#This Row],[odds_ft_away_team_win]]-Table1[[#This Row],[Margin]]</f>
        <v>0.28858869129046966</v>
      </c>
      <c r="M579">
        <v>8</v>
      </c>
      <c r="N579">
        <v>2.33</v>
      </c>
      <c r="O579">
        <v>0.92</v>
      </c>
      <c r="P579">
        <v>2</v>
      </c>
      <c r="Q579">
        <v>1.06</v>
      </c>
      <c r="R579" t="str" cm="1">
        <f t="array" ref="R5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AA579">
        <v>7</v>
      </c>
      <c r="AB579">
        <v>8</v>
      </c>
      <c r="AC579">
        <v>2</v>
      </c>
      <c r="AD579">
        <v>0</v>
      </c>
      <c r="AE579">
        <v>1</v>
      </c>
      <c r="AF579">
        <v>0</v>
      </c>
      <c r="AG579">
        <v>0</v>
      </c>
      <c r="AH579">
        <v>2</v>
      </c>
      <c r="AI579">
        <v>1</v>
      </c>
      <c r="AJ579">
        <v>0</v>
      </c>
      <c r="AK579">
        <v>11</v>
      </c>
      <c r="AL579">
        <v>22</v>
      </c>
      <c r="AM579">
        <v>3</v>
      </c>
      <c r="AN579">
        <v>3</v>
      </c>
      <c r="AO579">
        <v>8</v>
      </c>
      <c r="AP579">
        <v>19</v>
      </c>
      <c r="AQ579">
        <v>18</v>
      </c>
      <c r="AR579">
        <v>17</v>
      </c>
      <c r="AS579">
        <v>62</v>
      </c>
      <c r="AT579">
        <v>38</v>
      </c>
      <c r="AU579">
        <v>1.22</v>
      </c>
      <c r="AV579">
        <v>1.92</v>
      </c>
      <c r="AW579">
        <v>2.38</v>
      </c>
      <c r="AX579">
        <v>50</v>
      </c>
      <c r="AY579">
        <v>63</v>
      </c>
      <c r="AZ579">
        <v>38</v>
      </c>
      <c r="BA579">
        <v>30</v>
      </c>
      <c r="BB579">
        <v>17</v>
      </c>
      <c r="BC579">
        <v>42</v>
      </c>
      <c r="BD579">
        <v>67</v>
      </c>
      <c r="BE579">
        <v>34</v>
      </c>
      <c r="BF579">
        <v>71</v>
      </c>
      <c r="BG579">
        <v>9.92</v>
      </c>
      <c r="BH579">
        <v>4.25</v>
      </c>
      <c r="BI579">
        <v>2.15</v>
      </c>
      <c r="BJ579">
        <v>3.4</v>
      </c>
      <c r="BK579">
        <v>3.2</v>
      </c>
      <c r="BL579">
        <f>(1/Table1[[#This Row],[odds_ft_home_team_win]]+1/Table1[[#This Row],[odds_ft_draw]]+1/Table1[[#This Row],[odds_ft_away_team_win]]-1)/3</f>
        <v>2.3911308709530326E-2</v>
      </c>
      <c r="BM579">
        <v>1.33</v>
      </c>
      <c r="BN579">
        <v>1.91</v>
      </c>
      <c r="BO579">
        <v>3.2</v>
      </c>
      <c r="BP579">
        <v>6</v>
      </c>
      <c r="BQ579">
        <v>1.8</v>
      </c>
      <c r="BR579">
        <v>1.95</v>
      </c>
      <c r="BS579" t="s">
        <v>140</v>
      </c>
      <c r="BT579">
        <f>VLOOKUP(Table1[[#This Row],[Reference]],metron,8,FALSE)</f>
        <v>1.6395459745305552</v>
      </c>
      <c r="BU579">
        <f>VLOOKUP(Table1[[#This Row],[Reference]],metron,9,FALSE)</f>
        <v>1.0758429359324786</v>
      </c>
      <c r="BV579">
        <f>VLOOKUP(Table1[[#This Row],[Reference]],metron,10,FALSE)</f>
        <v>2.4807646356033461</v>
      </c>
      <c r="BW579">
        <f>VLOOKUP(Table1[[#This Row],[Reference]],metron,11,FALSE)</f>
        <v>1.4140979689366791</v>
      </c>
      <c r="BX579">
        <f>VLOOKUP(Table1[[#This Row],[Reference]],metron,12,FALSE)</f>
        <v>1.0666666666666671</v>
      </c>
      <c r="BY579" s="6">
        <f>VLOOKUP(Table1[[#This Row],[Reference]],metron,13,FALSE)</f>
        <v>0.62712066905615294</v>
      </c>
      <c r="BZ579" s="6">
        <f>VLOOKUP(Table1[[#This Row],[Reference]],metron,14,FALSE)</f>
        <v>0.46009557945041818</v>
      </c>
      <c r="CA579" s="6">
        <f>VLOOKUP(Table1[[#This Row],[Reference]],metron,15,FALSE)</f>
        <v>12.56969280146722</v>
      </c>
      <c r="CB579" s="6">
        <f>VLOOKUP(Table1[[#This Row],[Reference]],metron,16,FALSE)</f>
        <v>9.8695552498853729</v>
      </c>
      <c r="CC579" s="6">
        <f>VLOOKUP(Table1[[#This Row],[Reference]],metron,17,FALSE)</f>
        <v>5.2754256787850897</v>
      </c>
      <c r="CD579" s="6">
        <f>VLOOKUP(Table1[[#This Row],[Reference]],metron,18,FALSE)</f>
        <v>4.1279337321675103</v>
      </c>
      <c r="CE579" s="6">
        <f>VLOOKUP(Table1[[#This Row],[Reference]],metron,19,FALSE)</f>
        <v>7.2942671226821298</v>
      </c>
      <c r="CF579" s="6">
        <f>VLOOKUP(Table1[[#This Row],[Reference]],metron,20,FALSE)</f>
        <v>5.7416215177178627</v>
      </c>
      <c r="CG579" s="6">
        <f>VLOOKUP(Table1[[#This Row],[Reference]],metron,21,FALSE)</f>
        <v>12.897246007868549</v>
      </c>
      <c r="CH579" s="6">
        <f>VLOOKUP(Table1[[#This Row],[Reference]],metron,22,FALSE)</f>
        <v>13.507058551261281</v>
      </c>
      <c r="CI579" s="6">
        <f>VLOOKUP(Table1[[#This Row],[Reference]],metron,23,FALSE)</f>
        <v>1.576522702104098</v>
      </c>
      <c r="CJ579" s="6">
        <f>VLOOKUP(Table1[[#This Row],[Reference]],metron,24,FALSE)</f>
        <v>1.917165005537099</v>
      </c>
      <c r="CK579" s="6">
        <f>VLOOKUP(Table1[[#This Row],[Reference]],metron,25,FALSE)</f>
        <v>8.4385382059800659E-2</v>
      </c>
      <c r="CL579" s="6">
        <f>VLOOKUP(Table1[[#This Row],[Reference]],metron,26,FALSE)</f>
        <v>0.1233665559246955</v>
      </c>
    </row>
    <row r="580" spans="1:90" x14ac:dyDescent="0.45">
      <c r="A580" t="s">
        <v>1256</v>
      </c>
      <c r="B580">
        <v>1614474000</v>
      </c>
      <c r="C580" s="23" t="s">
        <v>1087</v>
      </c>
      <c r="D580" t="s">
        <v>65</v>
      </c>
      <c r="E580" t="s">
        <v>66</v>
      </c>
      <c r="F580" t="s">
        <v>68</v>
      </c>
      <c r="G580" t="s">
        <v>84</v>
      </c>
      <c r="H580" t="s">
        <v>80</v>
      </c>
      <c r="I580">
        <f>MROUND(Table1[[#This Row],[ProbH]]*100,2)/100</f>
        <v>0.36</v>
      </c>
      <c r="J580">
        <f>1/Table1[[#This Row],[odds_ft_home_team_win]]-Table1[[#This Row],[Margin]]</f>
        <v>0.36878254126509369</v>
      </c>
      <c r="K580">
        <f>1/Table1[[#This Row],[odds_ft_draw]]-Table1[[#This Row],[Margin]]</f>
        <v>0.31560872936745321</v>
      </c>
      <c r="L580">
        <f>1/Table1[[#This Row],[odds_ft_away_team_win]]-Table1[[#This Row],[Margin]]</f>
        <v>0.31560872936745321</v>
      </c>
      <c r="M580">
        <v>8</v>
      </c>
      <c r="N580">
        <v>2.29</v>
      </c>
      <c r="O580">
        <v>1.38</v>
      </c>
      <c r="P580">
        <v>2.37</v>
      </c>
      <c r="Q580">
        <v>1.38</v>
      </c>
      <c r="R580" t="str" cm="1">
        <f t="array" ref="R5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0">
        <v>2</v>
      </c>
      <c r="T580">
        <v>0</v>
      </c>
      <c r="U580">
        <v>2</v>
      </c>
      <c r="V580">
        <v>2</v>
      </c>
      <c r="W580">
        <v>2</v>
      </c>
      <c r="X580">
        <v>0</v>
      </c>
      <c r="Y580" t="s">
        <v>1088</v>
      </c>
      <c r="AA580">
        <v>5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22</v>
      </c>
      <c r="AL580">
        <v>10</v>
      </c>
      <c r="AM580">
        <v>8</v>
      </c>
      <c r="AN580">
        <v>4</v>
      </c>
      <c r="AO580">
        <v>14</v>
      </c>
      <c r="AP580">
        <v>6</v>
      </c>
      <c r="AQ580">
        <v>12</v>
      </c>
      <c r="AR580">
        <v>12</v>
      </c>
      <c r="AS580">
        <v>57</v>
      </c>
      <c r="AT580">
        <v>43</v>
      </c>
      <c r="AU580">
        <v>2.35</v>
      </c>
      <c r="AV580">
        <v>1.05</v>
      </c>
      <c r="AW580">
        <v>2.16</v>
      </c>
      <c r="AX580">
        <v>48</v>
      </c>
      <c r="AY580">
        <v>63</v>
      </c>
      <c r="AZ580">
        <v>40</v>
      </c>
      <c r="BA580">
        <v>26</v>
      </c>
      <c r="BB580">
        <v>0</v>
      </c>
      <c r="BC580">
        <v>26</v>
      </c>
      <c r="BD580">
        <v>63</v>
      </c>
      <c r="BE580">
        <v>37</v>
      </c>
      <c r="BF580">
        <v>74</v>
      </c>
      <c r="BG580">
        <v>11.64</v>
      </c>
      <c r="BH580">
        <v>3.27</v>
      </c>
      <c r="BI580">
        <v>2.5499999999999998</v>
      </c>
      <c r="BJ580">
        <v>2.95</v>
      </c>
      <c r="BK580">
        <v>2.95</v>
      </c>
      <c r="BL580">
        <f>(1/Table1[[#This Row],[odds_ft_home_team_win]]+1/Table1[[#This Row],[odds_ft_draw]]+1/Table1[[#This Row],[odds_ft_away_team_win]]-1)/3</f>
        <v>2.3374321480004401E-2</v>
      </c>
      <c r="BM580">
        <v>1.48</v>
      </c>
      <c r="BN580">
        <v>2.2999999999999998</v>
      </c>
      <c r="BO580">
        <v>4.05</v>
      </c>
      <c r="BP580">
        <v>8.25</v>
      </c>
      <c r="BQ580">
        <v>2</v>
      </c>
      <c r="BR580">
        <v>1.77</v>
      </c>
      <c r="BS580" t="s">
        <v>116</v>
      </c>
      <c r="BT580">
        <f>VLOOKUP(Table1[[#This Row],[Reference]],metron,8,FALSE)</f>
        <v>1.4023864615972674</v>
      </c>
      <c r="BU580">
        <f>VLOOKUP(Table1[[#This Row],[Reference]],metron,9,FALSE)</f>
        <v>1.3093265904245279</v>
      </c>
      <c r="BV580">
        <f>VLOOKUP(Table1[[#This Row],[Reference]],metron,10,FALSE)</f>
        <v>2.5110350525197691</v>
      </c>
      <c r="BW580">
        <f>VLOOKUP(Table1[[#This Row],[Reference]],metron,11,FALSE)</f>
        <v>1.269326094653606</v>
      </c>
      <c r="BX580">
        <f>VLOOKUP(Table1[[#This Row],[Reference]],metron,12,FALSE)</f>
        <v>1.2417089578661631</v>
      </c>
      <c r="BY580" s="6">
        <f>VLOOKUP(Table1[[#This Row],[Reference]],metron,13,FALSE)</f>
        <v>0.56586402266288949</v>
      </c>
      <c r="BZ580" s="6">
        <f>VLOOKUP(Table1[[#This Row],[Reference]],metron,14,FALSE)</f>
        <v>0.55158168083097259</v>
      </c>
      <c r="CA580" s="6">
        <f>VLOOKUP(Table1[[#This Row],[Reference]],metron,15,FALSE)</f>
        <v>11.49400826446281</v>
      </c>
      <c r="CB580" s="6">
        <f>VLOOKUP(Table1[[#This Row],[Reference]],metron,16,FALSE)</f>
        <v>10.507231404958681</v>
      </c>
      <c r="CC580" s="6">
        <f>VLOOKUP(Table1[[#This Row],[Reference]],metron,17,FALSE)</f>
        <v>4.9238790406673623</v>
      </c>
      <c r="CD580" s="6">
        <f>VLOOKUP(Table1[[#This Row],[Reference]],metron,18,FALSE)</f>
        <v>4.6296141814389991</v>
      </c>
      <c r="CE580" s="6">
        <f>VLOOKUP(Table1[[#This Row],[Reference]],metron,19,FALSE)</f>
        <v>6.5701292237954476</v>
      </c>
      <c r="CF580" s="6">
        <f>VLOOKUP(Table1[[#This Row],[Reference]],metron,20,FALSE)</f>
        <v>5.8776172235196817</v>
      </c>
      <c r="CG580" s="6">
        <f>VLOOKUP(Table1[[#This Row],[Reference]],metron,21,FALSE)</f>
        <v>12.798739495798319</v>
      </c>
      <c r="CH580" s="6">
        <f>VLOOKUP(Table1[[#This Row],[Reference]],metron,22,FALSE)</f>
        <v>12.98844537815126</v>
      </c>
      <c r="CI580" s="6">
        <f>VLOOKUP(Table1[[#This Row],[Reference]],metron,23,FALSE)</f>
        <v>1.604928297313674</v>
      </c>
      <c r="CJ580" s="6">
        <f>VLOOKUP(Table1[[#This Row],[Reference]],metron,24,FALSE)</f>
        <v>1.791961219955565</v>
      </c>
      <c r="CK580" s="6">
        <f>VLOOKUP(Table1[[#This Row],[Reference]],metron,25,FALSE)</f>
        <v>8.887093516461321E-2</v>
      </c>
      <c r="CL580" s="6">
        <f>VLOOKUP(Table1[[#This Row],[Reference]],metron,26,FALSE)</f>
        <v>0.11694607150070691</v>
      </c>
    </row>
    <row r="581" spans="1:90" x14ac:dyDescent="0.45">
      <c r="A581" t="s">
        <v>1256</v>
      </c>
      <c r="B581">
        <v>1614481200</v>
      </c>
      <c r="C581" s="23" t="s">
        <v>1089</v>
      </c>
      <c r="D581" t="s">
        <v>65</v>
      </c>
      <c r="E581" t="s">
        <v>66</v>
      </c>
      <c r="F581" t="s">
        <v>85</v>
      </c>
      <c r="G581" t="s">
        <v>112</v>
      </c>
      <c r="H581" t="s">
        <v>103</v>
      </c>
      <c r="I581">
        <f>MROUND(Table1[[#This Row],[ProbH]]*100,2)/100</f>
        <v>0.42</v>
      </c>
      <c r="J581">
        <f>1/Table1[[#This Row],[odds_ft_home_team_win]]-Table1[[#This Row],[Margin]]</f>
        <v>0.41106719367588934</v>
      </c>
      <c r="K581">
        <f>1/Table1[[#This Row],[odds_ft_draw]]-Table1[[#This Row],[Margin]]</f>
        <v>0.27931488801054016</v>
      </c>
      <c r="L581">
        <f>1/Table1[[#This Row],[odds_ft_away_team_win]]-Table1[[#This Row],[Margin]]</f>
        <v>0.30961791831357044</v>
      </c>
      <c r="M581">
        <v>8</v>
      </c>
      <c r="N581">
        <v>2.5</v>
      </c>
      <c r="O581">
        <v>1.67</v>
      </c>
      <c r="P581">
        <v>2.29</v>
      </c>
      <c r="Q581">
        <v>1.77</v>
      </c>
      <c r="R581" t="str" cm="1">
        <f t="array" ref="R5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Z581">
        <v>81</v>
      </c>
      <c r="AA581">
        <v>3</v>
      </c>
      <c r="AB581">
        <v>5</v>
      </c>
      <c r="AC581">
        <v>2</v>
      </c>
      <c r="AD581">
        <v>0</v>
      </c>
      <c r="AE581">
        <v>4</v>
      </c>
      <c r="AF581">
        <v>0</v>
      </c>
      <c r="AG581">
        <v>2</v>
      </c>
      <c r="AH581">
        <v>0</v>
      </c>
      <c r="AI581">
        <v>1</v>
      </c>
      <c r="AJ581">
        <v>3</v>
      </c>
      <c r="AK581">
        <v>11</v>
      </c>
      <c r="AL581">
        <v>5</v>
      </c>
      <c r="AM581">
        <v>2</v>
      </c>
      <c r="AN581">
        <v>2</v>
      </c>
      <c r="AO581">
        <v>9</v>
      </c>
      <c r="AP581">
        <v>3</v>
      </c>
      <c r="AQ581">
        <v>11</v>
      </c>
      <c r="AR581">
        <v>11</v>
      </c>
      <c r="AS581">
        <v>65</v>
      </c>
      <c r="AT581">
        <v>35</v>
      </c>
      <c r="AU581">
        <v>1.21</v>
      </c>
      <c r="AV581">
        <v>0.77</v>
      </c>
      <c r="AW581">
        <v>2.42</v>
      </c>
      <c r="AX581">
        <v>45</v>
      </c>
      <c r="AY581">
        <v>73</v>
      </c>
      <c r="AZ581">
        <v>42</v>
      </c>
      <c r="BA581">
        <v>24</v>
      </c>
      <c r="BB581">
        <v>7</v>
      </c>
      <c r="BC581">
        <v>28</v>
      </c>
      <c r="BD581">
        <v>69</v>
      </c>
      <c r="BE581">
        <v>32</v>
      </c>
      <c r="BF581">
        <v>79</v>
      </c>
      <c r="BG581">
        <v>9.6</v>
      </c>
      <c r="BH581">
        <v>3.33</v>
      </c>
      <c r="BI581">
        <v>2.2999999999999998</v>
      </c>
      <c r="BJ581">
        <v>3.3</v>
      </c>
      <c r="BK581">
        <v>3</v>
      </c>
      <c r="BL581">
        <f>(1/Table1[[#This Row],[odds_ft_home_team_win]]+1/Table1[[#This Row],[odds_ft_draw]]+1/Table1[[#This Row],[odds_ft_away_team_win]]-1)/3</f>
        <v>2.3715415019762858E-2</v>
      </c>
      <c r="BM581">
        <v>1.35</v>
      </c>
      <c r="BN581">
        <v>2</v>
      </c>
      <c r="BO581">
        <v>3.3</v>
      </c>
      <c r="BP581">
        <v>6.5</v>
      </c>
      <c r="BQ581">
        <v>1.8</v>
      </c>
      <c r="BR581">
        <v>1.95</v>
      </c>
      <c r="BS581" t="s">
        <v>128</v>
      </c>
      <c r="BT581">
        <f>VLOOKUP(Table1[[#This Row],[Reference]],metron,8,FALSE)</f>
        <v>1.5780106027030405</v>
      </c>
      <c r="BU581">
        <f>VLOOKUP(Table1[[#This Row],[Reference]],metron,9,FALSE)</f>
        <v>1.1353025412447635</v>
      </c>
      <c r="BV581">
        <f>VLOOKUP(Table1[[#This Row],[Reference]],metron,10,FALSE)</f>
        <v>2.4884649511978703</v>
      </c>
      <c r="BW581">
        <f>VLOOKUP(Table1[[#This Row],[Reference]],metron,11,FALSE)</f>
        <v>1.396960958296362</v>
      </c>
      <c r="BX581">
        <f>VLOOKUP(Table1[[#This Row],[Reference]],metron,12,FALSE)</f>
        <v>1.091503992901508</v>
      </c>
      <c r="BY581" s="6">
        <f>VLOOKUP(Table1[[#This Row],[Reference]],metron,13,FALSE)</f>
        <v>0.60765391014975045</v>
      </c>
      <c r="BZ581" s="6">
        <f>VLOOKUP(Table1[[#This Row],[Reference]],metron,14,FALSE)</f>
        <v>0.47276760953965608</v>
      </c>
      <c r="CA581" s="6">
        <f>VLOOKUP(Table1[[#This Row],[Reference]],metron,15,FALSE)</f>
        <v>12.29504785684561</v>
      </c>
      <c r="CB581" s="6">
        <f>VLOOKUP(Table1[[#This Row],[Reference]],metron,16,FALSE)</f>
        <v>10.047232625884311</v>
      </c>
      <c r="CC581" s="6">
        <f>VLOOKUP(Table1[[#This Row],[Reference]],metron,17,FALSE)</f>
        <v>5.2917192097519967</v>
      </c>
      <c r="CD581" s="6">
        <f>VLOOKUP(Table1[[#This Row],[Reference]],metron,18,FALSE)</f>
        <v>4.2580916351408158</v>
      </c>
      <c r="CE581" s="6">
        <f>VLOOKUP(Table1[[#This Row],[Reference]],metron,19,FALSE)</f>
        <v>7.0033286470936131</v>
      </c>
      <c r="CF581" s="6">
        <f>VLOOKUP(Table1[[#This Row],[Reference]],metron,20,FALSE)</f>
        <v>5.789140990743495</v>
      </c>
      <c r="CG581" s="6">
        <f>VLOOKUP(Table1[[#This Row],[Reference]],metron,21,FALSE)</f>
        <v>12.77041895895049</v>
      </c>
      <c r="CH581" s="6">
        <f>VLOOKUP(Table1[[#This Row],[Reference]],metron,22,FALSE)</f>
        <v>13.411129919593741</v>
      </c>
      <c r="CI581" s="6">
        <f>VLOOKUP(Table1[[#This Row],[Reference]],metron,23,FALSE)</f>
        <v>1.556141062018646</v>
      </c>
      <c r="CJ581" s="6">
        <f>VLOOKUP(Table1[[#This Row],[Reference]],metron,24,FALSE)</f>
        <v>1.9114308877178761</v>
      </c>
      <c r="CK581" s="6">
        <f>VLOOKUP(Table1[[#This Row],[Reference]],metron,25,FALSE)</f>
        <v>8.4920956627482766E-2</v>
      </c>
      <c r="CL581" s="6">
        <f>VLOOKUP(Table1[[#This Row],[Reference]],metron,26,FALSE)</f>
        <v>0.1323469801378192</v>
      </c>
    </row>
    <row r="582" spans="1:90" x14ac:dyDescent="0.45">
      <c r="A582" t="s">
        <v>1256</v>
      </c>
      <c r="B582">
        <v>1614553200</v>
      </c>
      <c r="C582" s="23" t="s">
        <v>1090</v>
      </c>
      <c r="D582" t="s">
        <v>65</v>
      </c>
      <c r="E582" t="s">
        <v>66</v>
      </c>
      <c r="F582" t="s">
        <v>101</v>
      </c>
      <c r="G582" t="s">
        <v>106</v>
      </c>
      <c r="H582" t="s">
        <v>122</v>
      </c>
      <c r="I582">
        <f>MROUND(Table1[[#This Row],[ProbH]]*100,2)/100</f>
        <v>0.6</v>
      </c>
      <c r="J582">
        <f>1/Table1[[#This Row],[odds_ft_home_team_win]]-Table1[[#This Row],[Margin]]</f>
        <v>0.59556075167219369</v>
      </c>
      <c r="K582">
        <f>1/Table1[[#This Row],[odds_ft_draw]]-Table1[[#This Row],[Margin]]</f>
        <v>0.25224940379463573</v>
      </c>
      <c r="L582">
        <f>1/Table1[[#This Row],[odds_ft_away_team_win]]-Table1[[#This Row],[Margin]]</f>
        <v>0.15218984453317061</v>
      </c>
      <c r="M582">
        <v>8</v>
      </c>
      <c r="N582">
        <v>2</v>
      </c>
      <c r="O582">
        <v>0.5</v>
      </c>
      <c r="P582">
        <v>1.79</v>
      </c>
      <c r="Q582">
        <v>0.47</v>
      </c>
      <c r="R582" t="str" cm="1">
        <f t="array" ref="R5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82">
        <v>1</v>
      </c>
      <c r="T582">
        <v>1</v>
      </c>
      <c r="U582">
        <v>2</v>
      </c>
      <c r="V582">
        <v>1</v>
      </c>
      <c r="W582">
        <v>1</v>
      </c>
      <c r="X582">
        <v>0</v>
      </c>
      <c r="Y582">
        <v>40</v>
      </c>
      <c r="Z582">
        <v>89</v>
      </c>
      <c r="AA582">
        <v>3</v>
      </c>
      <c r="AB582">
        <v>3</v>
      </c>
      <c r="AC582">
        <v>1</v>
      </c>
      <c r="AD582">
        <v>0</v>
      </c>
      <c r="AE582">
        <v>2</v>
      </c>
      <c r="AF582">
        <v>0</v>
      </c>
      <c r="AG582">
        <v>0</v>
      </c>
      <c r="AH582">
        <v>1</v>
      </c>
      <c r="AI582">
        <v>1</v>
      </c>
      <c r="AJ582">
        <v>1</v>
      </c>
      <c r="AK582">
        <v>10</v>
      </c>
      <c r="AL582">
        <v>12</v>
      </c>
      <c r="AM582">
        <v>5</v>
      </c>
      <c r="AN582">
        <v>6</v>
      </c>
      <c r="AO582">
        <v>5</v>
      </c>
      <c r="AP582">
        <v>6</v>
      </c>
      <c r="AQ582">
        <v>13</v>
      </c>
      <c r="AR582">
        <v>12</v>
      </c>
      <c r="AS582">
        <v>40</v>
      </c>
      <c r="AT582">
        <v>60</v>
      </c>
      <c r="AU582">
        <v>1.26</v>
      </c>
      <c r="AV582">
        <v>1.49</v>
      </c>
      <c r="AW582">
        <v>2.57</v>
      </c>
      <c r="AX582">
        <v>49</v>
      </c>
      <c r="AY582">
        <v>74</v>
      </c>
      <c r="AZ582">
        <v>48</v>
      </c>
      <c r="BA582">
        <v>35</v>
      </c>
      <c r="BB582">
        <v>4</v>
      </c>
      <c r="BC582">
        <v>30</v>
      </c>
      <c r="BD582">
        <v>83</v>
      </c>
      <c r="BE582">
        <v>53</v>
      </c>
      <c r="BF582">
        <v>70</v>
      </c>
      <c r="BG582">
        <v>9.5299999999999994</v>
      </c>
      <c r="BH582">
        <v>5</v>
      </c>
      <c r="BI582">
        <v>1.62</v>
      </c>
      <c r="BJ582">
        <v>3.65</v>
      </c>
      <c r="BK582">
        <v>5.75</v>
      </c>
      <c r="BL582">
        <f>(1/Table1[[#This Row],[odds_ft_home_team_win]]+1/Table1[[#This Row],[odds_ft_draw]]+1/Table1[[#This Row],[odds_ft_away_team_win]]-1)/3</f>
        <v>2.1723198945090266E-2</v>
      </c>
      <c r="BM582">
        <v>1.29</v>
      </c>
      <c r="BN582">
        <v>1.87</v>
      </c>
      <c r="BO582">
        <v>3.05</v>
      </c>
      <c r="BP582">
        <v>6</v>
      </c>
      <c r="BQ582">
        <v>1.83</v>
      </c>
      <c r="BR582">
        <v>1.91</v>
      </c>
      <c r="BS582" t="s">
        <v>713</v>
      </c>
      <c r="BT582">
        <f>VLOOKUP(Table1[[#This Row],[Reference]],metron,8,FALSE)</f>
        <v>2.0749792289385525</v>
      </c>
      <c r="BU582">
        <f>VLOOKUP(Table1[[#This Row],[Reference]],metron,9,FALSE)</f>
        <v>0.68220664089703831</v>
      </c>
      <c r="BV582">
        <f>VLOOKUP(Table1[[#This Row],[Reference]],metron,10,FALSE)</f>
        <v>2.7310090702947849</v>
      </c>
      <c r="BW582">
        <f>VLOOKUP(Table1[[#This Row],[Reference]],metron,11,FALSE)</f>
        <v>1.841836734693878</v>
      </c>
      <c r="BX582">
        <f>VLOOKUP(Table1[[#This Row],[Reference]],metron,12,FALSE)</f>
        <v>0.88917233560090703</v>
      </c>
      <c r="BY582" s="6">
        <f>VLOOKUP(Table1[[#This Row],[Reference]],metron,13,FALSE)</f>
        <v>0.804822695035461</v>
      </c>
      <c r="BZ582" s="6">
        <f>VLOOKUP(Table1[[#This Row],[Reference]],metron,14,FALSE)</f>
        <v>0.38099290780141842</v>
      </c>
      <c r="CA582" s="6">
        <f>VLOOKUP(Table1[[#This Row],[Reference]],metron,15,FALSE)</f>
        <v>14.25174825174825</v>
      </c>
      <c r="CB582" s="6">
        <f>VLOOKUP(Table1[[#This Row],[Reference]],metron,16,FALSE)</f>
        <v>8.8316683316683324</v>
      </c>
      <c r="CC582" s="6">
        <f>VLOOKUP(Table1[[#This Row],[Reference]],metron,17,FALSE)</f>
        <v>6.2901265822784813</v>
      </c>
      <c r="CD582" s="6">
        <f>VLOOKUP(Table1[[#This Row],[Reference]],metron,18,FALSE)</f>
        <v>3.6162025316455702</v>
      </c>
      <c r="CE582" s="6">
        <f>VLOOKUP(Table1[[#This Row],[Reference]],metron,19,FALSE)</f>
        <v>7.9616216694697686</v>
      </c>
      <c r="CF582" s="6">
        <f>VLOOKUP(Table1[[#This Row],[Reference]],metron,20,FALSE)</f>
        <v>5.2154658000227627</v>
      </c>
      <c r="CG582" s="6">
        <f>VLOOKUP(Table1[[#This Row],[Reference]],metron,21,FALSE)</f>
        <v>12.444895886236671</v>
      </c>
      <c r="CH582" s="6">
        <f>VLOOKUP(Table1[[#This Row],[Reference]],metron,22,FALSE)</f>
        <v>13.620619603859829</v>
      </c>
      <c r="CI582" s="6">
        <f>VLOOKUP(Table1[[#This Row],[Reference]],metron,23,FALSE)</f>
        <v>1.406084017382907</v>
      </c>
      <c r="CJ582" s="6">
        <f>VLOOKUP(Table1[[#This Row],[Reference]],metron,24,FALSE)</f>
        <v>2.070980202800579</v>
      </c>
      <c r="CK582" s="6">
        <f>VLOOKUP(Table1[[#This Row],[Reference]],metron,25,FALSE)</f>
        <v>6.1323032351521013E-2</v>
      </c>
      <c r="CL582" s="6">
        <f>VLOOKUP(Table1[[#This Row],[Reference]],metron,26,FALSE)</f>
        <v>0.1313375181071946</v>
      </c>
    </row>
    <row r="583" spans="1:90" x14ac:dyDescent="0.45">
      <c r="A583" t="s">
        <v>1256</v>
      </c>
      <c r="B583">
        <v>1614560760</v>
      </c>
      <c r="C583" s="23" t="s">
        <v>1091</v>
      </c>
      <c r="D583" t="s">
        <v>65</v>
      </c>
      <c r="E583" t="s">
        <v>66</v>
      </c>
      <c r="F583" t="s">
        <v>73</v>
      </c>
      <c r="G583" t="s">
        <v>78</v>
      </c>
      <c r="H583" t="s">
        <v>98</v>
      </c>
      <c r="I583">
        <f>MROUND(Table1[[#This Row],[ProbH]]*100,2)/100</f>
        <v>0.54</v>
      </c>
      <c r="J583">
        <f>1/Table1[[#This Row],[odds_ft_home_team_win]]-Table1[[#This Row],[Margin]]</f>
        <v>0.54066899829611692</v>
      </c>
      <c r="K583">
        <f>1/Table1[[#This Row],[odds_ft_draw]]-Table1[[#This Row],[Margin]]</f>
        <v>0.26141153259797323</v>
      </c>
      <c r="L583">
        <f>1/Table1[[#This Row],[odds_ft_away_team_win]]-Table1[[#This Row],[Margin]]</f>
        <v>0.19791946910590974</v>
      </c>
      <c r="M583">
        <v>8</v>
      </c>
      <c r="N583">
        <v>2.08</v>
      </c>
      <c r="O583">
        <v>0.83</v>
      </c>
      <c r="P583">
        <v>2.09</v>
      </c>
      <c r="Q583">
        <v>0.59</v>
      </c>
      <c r="R583" t="str" cm="1">
        <f t="array" ref="R5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3">
        <v>3</v>
      </c>
      <c r="T583">
        <v>2</v>
      </c>
      <c r="U583">
        <v>5</v>
      </c>
      <c r="V583">
        <v>2</v>
      </c>
      <c r="W583">
        <v>2</v>
      </c>
      <c r="X583">
        <v>0</v>
      </c>
      <c r="Y583" t="s">
        <v>1092</v>
      </c>
      <c r="Z583" t="s">
        <v>1093</v>
      </c>
      <c r="AA583">
        <v>7</v>
      </c>
      <c r="AB583">
        <v>4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17</v>
      </c>
      <c r="AL583">
        <v>10</v>
      </c>
      <c r="AM583">
        <v>9</v>
      </c>
      <c r="AN583">
        <v>5</v>
      </c>
      <c r="AO583">
        <v>8</v>
      </c>
      <c r="AP583">
        <v>5</v>
      </c>
      <c r="AQ583">
        <v>13</v>
      </c>
      <c r="AR583">
        <v>13</v>
      </c>
      <c r="AS583">
        <v>51</v>
      </c>
      <c r="AT583">
        <v>49</v>
      </c>
      <c r="AU583">
        <v>2.0699999999999998</v>
      </c>
      <c r="AV583">
        <v>1.33</v>
      </c>
      <c r="AW583">
        <v>2.4900000000000002</v>
      </c>
      <c r="AX583">
        <v>57</v>
      </c>
      <c r="AY583">
        <v>85</v>
      </c>
      <c r="AZ583">
        <v>44</v>
      </c>
      <c r="BA583">
        <v>17</v>
      </c>
      <c r="BB583">
        <v>9</v>
      </c>
      <c r="BC583">
        <v>37</v>
      </c>
      <c r="BD583">
        <v>69</v>
      </c>
      <c r="BE583">
        <v>37</v>
      </c>
      <c r="BF583">
        <v>89</v>
      </c>
      <c r="BG583">
        <v>10.69</v>
      </c>
      <c r="BH583">
        <v>3.89</v>
      </c>
      <c r="BI583">
        <v>1.77</v>
      </c>
      <c r="BJ583">
        <v>3.5</v>
      </c>
      <c r="BK583">
        <v>4.5</v>
      </c>
      <c r="BL583">
        <f>(1/Table1[[#This Row],[odds_ft_home_team_win]]+1/Table1[[#This Row],[odds_ft_draw]]+1/Table1[[#This Row],[odds_ft_away_team_win]]-1)/3</f>
        <v>2.430275311631247E-2</v>
      </c>
      <c r="BM583">
        <v>1.38</v>
      </c>
      <c r="BN583">
        <v>2.1</v>
      </c>
      <c r="BO583">
        <v>3.65</v>
      </c>
      <c r="BP583">
        <v>7.5</v>
      </c>
      <c r="BQ583">
        <v>2.0499999999999998</v>
      </c>
      <c r="BR583">
        <v>1.71</v>
      </c>
      <c r="BS583" t="s">
        <v>142</v>
      </c>
      <c r="BT583">
        <f>VLOOKUP(Table1[[#This Row],[Reference]],metron,8,FALSE)</f>
        <v>1.915666026436746</v>
      </c>
      <c r="BU583">
        <f>VLOOKUP(Table1[[#This Row],[Reference]],metron,9,FALSE)</f>
        <v>0.82283834599204153</v>
      </c>
      <c r="BV583">
        <f>VLOOKUP(Table1[[#This Row],[Reference]],metron,10,FALSE)</f>
        <v>2.6359702267612941</v>
      </c>
      <c r="BW583">
        <f>VLOOKUP(Table1[[#This Row],[Reference]],metron,11,FALSE)</f>
        <v>1.684957590444867</v>
      </c>
      <c r="BX583">
        <f>VLOOKUP(Table1[[#This Row],[Reference]],metron,12,FALSE)</f>
        <v>0.95101263631642718</v>
      </c>
      <c r="BY583" s="6">
        <f>VLOOKUP(Table1[[#This Row],[Reference]],metron,13,FALSE)</f>
        <v>0.72650164445213783</v>
      </c>
      <c r="BZ583" s="6">
        <f>VLOOKUP(Table1[[#This Row],[Reference]],metron,14,FALSE)</f>
        <v>0.42097974727367138</v>
      </c>
      <c r="CA583" s="6">
        <f>VLOOKUP(Table1[[#This Row],[Reference]],metron,15,FALSE)</f>
        <v>13.338806970509379</v>
      </c>
      <c r="CB583" s="6">
        <f>VLOOKUP(Table1[[#This Row],[Reference]],metron,16,FALSE)</f>
        <v>9.2530160857908843</v>
      </c>
      <c r="CC583" s="6">
        <f>VLOOKUP(Table1[[#This Row],[Reference]],metron,17,FALSE)</f>
        <v>5.9915081521739131</v>
      </c>
      <c r="CD583" s="6">
        <f>VLOOKUP(Table1[[#This Row],[Reference]],metron,18,FALSE)</f>
        <v>3.9772418478260869</v>
      </c>
      <c r="CE583" s="6">
        <f>VLOOKUP(Table1[[#This Row],[Reference]],metron,19,FALSE)</f>
        <v>7.3472988183354664</v>
      </c>
      <c r="CF583" s="6">
        <f>VLOOKUP(Table1[[#This Row],[Reference]],metron,20,FALSE)</f>
        <v>5.2757742379647974</v>
      </c>
      <c r="CG583" s="6">
        <f>VLOOKUP(Table1[[#This Row],[Reference]],metron,21,FALSE)</f>
        <v>12.59428182437032</v>
      </c>
      <c r="CH583" s="6">
        <f>VLOOKUP(Table1[[#This Row],[Reference]],metron,22,FALSE)</f>
        <v>13.577944179714089</v>
      </c>
      <c r="CI583" s="6">
        <f>VLOOKUP(Table1[[#This Row],[Reference]],metron,23,FALSE)</f>
        <v>1.4276913099870301</v>
      </c>
      <c r="CJ583" s="6">
        <f>VLOOKUP(Table1[[#This Row],[Reference]],metron,24,FALSE)</f>
        <v>1.940985732814527</v>
      </c>
      <c r="CK583" s="6">
        <f>VLOOKUP(Table1[[#This Row],[Reference]],metron,25,FALSE)</f>
        <v>8.0739299610894946E-2</v>
      </c>
      <c r="CL583" s="6">
        <f>VLOOKUP(Table1[[#This Row],[Reference]],metron,26,FALSE)</f>
        <v>0.12743190661478601</v>
      </c>
    </row>
    <row r="584" spans="1:90" x14ac:dyDescent="0.45">
      <c r="A584" t="s">
        <v>1256</v>
      </c>
      <c r="B584">
        <v>1614567600</v>
      </c>
      <c r="C584" s="23" t="s">
        <v>1094</v>
      </c>
      <c r="D584" t="s">
        <v>65</v>
      </c>
      <c r="E584" t="s">
        <v>66</v>
      </c>
      <c r="F584" t="s">
        <v>90</v>
      </c>
      <c r="G584" t="s">
        <v>96</v>
      </c>
      <c r="H584" t="s">
        <v>130</v>
      </c>
      <c r="I584">
        <f>MROUND(Table1[[#This Row],[ProbH]]*100,2)/100</f>
        <v>0.52</v>
      </c>
      <c r="J584">
        <f>1/Table1[[#This Row],[odds_ft_home_team_win]]-Table1[[#This Row],[Margin]]</f>
        <v>0.51076653848464815</v>
      </c>
      <c r="K584">
        <f>1/Table1[[#This Row],[odds_ft_draw]]-Table1[[#This Row],[Margin]]</f>
        <v>0.28850718019587812</v>
      </c>
      <c r="L584">
        <f>1/Table1[[#This Row],[odds_ft_away_team_win]]-Table1[[#This Row],[Margin]]</f>
        <v>0.20072628131947365</v>
      </c>
      <c r="M584">
        <v>8</v>
      </c>
      <c r="N584">
        <v>1.6</v>
      </c>
      <c r="O584">
        <v>1.1299999999999999</v>
      </c>
      <c r="P584">
        <v>1.6</v>
      </c>
      <c r="Q584">
        <v>1.25</v>
      </c>
      <c r="R584" t="str" cm="1">
        <f t="array" ref="R5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4">
        <v>2</v>
      </c>
      <c r="T584">
        <v>1</v>
      </c>
      <c r="U584">
        <v>3</v>
      </c>
      <c r="V584">
        <v>3</v>
      </c>
      <c r="W584">
        <v>2</v>
      </c>
      <c r="X584">
        <v>1</v>
      </c>
      <c r="Y584" t="s">
        <v>1095</v>
      </c>
      <c r="Z584">
        <v>14</v>
      </c>
      <c r="AA584">
        <v>6</v>
      </c>
      <c r="AB584">
        <v>3</v>
      </c>
      <c r="AC584">
        <v>1</v>
      </c>
      <c r="AD584">
        <v>0</v>
      </c>
      <c r="AE584">
        <v>2</v>
      </c>
      <c r="AF584">
        <v>0</v>
      </c>
      <c r="AG584">
        <v>1</v>
      </c>
      <c r="AH584">
        <v>0</v>
      </c>
      <c r="AI584">
        <v>0</v>
      </c>
      <c r="AJ584">
        <v>2</v>
      </c>
      <c r="AK584">
        <v>15</v>
      </c>
      <c r="AL584">
        <v>8</v>
      </c>
      <c r="AM584">
        <v>4</v>
      </c>
      <c r="AN584">
        <v>4</v>
      </c>
      <c r="AO584">
        <v>11</v>
      </c>
      <c r="AP584">
        <v>4</v>
      </c>
      <c r="AQ584">
        <v>14</v>
      </c>
      <c r="AR584">
        <v>13</v>
      </c>
      <c r="AS584">
        <v>52</v>
      </c>
      <c r="AT584">
        <v>48</v>
      </c>
      <c r="AU584">
        <v>1.58</v>
      </c>
      <c r="AV584">
        <v>0.95</v>
      </c>
      <c r="AW584">
        <v>2.1</v>
      </c>
      <c r="AX584">
        <v>50</v>
      </c>
      <c r="AY584">
        <v>67</v>
      </c>
      <c r="AZ584">
        <v>37</v>
      </c>
      <c r="BA584">
        <v>17</v>
      </c>
      <c r="BB584">
        <v>4</v>
      </c>
      <c r="BC584">
        <v>30</v>
      </c>
      <c r="BD584">
        <v>64</v>
      </c>
      <c r="BE584">
        <v>30</v>
      </c>
      <c r="BF584">
        <v>67</v>
      </c>
      <c r="BG584">
        <v>9.33</v>
      </c>
      <c r="BH584">
        <v>3.8</v>
      </c>
      <c r="BI584">
        <v>1.87</v>
      </c>
      <c r="BJ584">
        <v>3.2</v>
      </c>
      <c r="BK584">
        <v>4.45</v>
      </c>
      <c r="BL584">
        <f>(1/Table1[[#This Row],[odds_ft_home_team_win]]+1/Table1[[#This Row],[odds_ft_draw]]+1/Table1[[#This Row],[odds_ft_away_team_win]]-1)/3</f>
        <v>2.3992819804121861E-2</v>
      </c>
      <c r="BM584">
        <v>1.36</v>
      </c>
      <c r="BN584">
        <v>2.1</v>
      </c>
      <c r="BO584">
        <v>3.9</v>
      </c>
      <c r="BP584">
        <v>7.75</v>
      </c>
      <c r="BQ584">
        <v>1.95</v>
      </c>
      <c r="BR584">
        <v>1.8</v>
      </c>
      <c r="BS584" t="s">
        <v>94</v>
      </c>
      <c r="BT584">
        <f>VLOOKUP(Table1[[#This Row],[Reference]],metron,8,FALSE)</f>
        <v>1.8614830167843088</v>
      </c>
      <c r="BU584">
        <f>VLOOKUP(Table1[[#This Row],[Reference]],metron,9,FALSE)</f>
        <v>0.87079851622593896</v>
      </c>
      <c r="BV584">
        <f>VLOOKUP(Table1[[#This Row],[Reference]],metron,10,FALSE)</f>
        <v>2.5967403582378576</v>
      </c>
      <c r="BW584">
        <f>VLOOKUP(Table1[[#This Row],[Reference]],metron,11,FALSE)</f>
        <v>1.625948039373891</v>
      </c>
      <c r="BX584">
        <f>VLOOKUP(Table1[[#This Row],[Reference]],metron,12,FALSE)</f>
        <v>0.97079231886396644</v>
      </c>
      <c r="BY584" s="6">
        <f>VLOOKUP(Table1[[#This Row],[Reference]],metron,13,FALSE)</f>
        <v>0.71433182698515174</v>
      </c>
      <c r="BZ584" s="6">
        <f>VLOOKUP(Table1[[#This Row],[Reference]],metron,14,FALSE)</f>
        <v>0.43011620400258233</v>
      </c>
      <c r="CA584" s="6">
        <f>VLOOKUP(Table1[[#This Row],[Reference]],metron,15,FALSE)</f>
        <v>13.39951055368614</v>
      </c>
      <c r="CB584" s="6">
        <f>VLOOKUP(Table1[[#This Row],[Reference]],metron,16,FALSE)</f>
        <v>9.4252064851636579</v>
      </c>
      <c r="CC584" s="6">
        <f>VLOOKUP(Table1[[#This Row],[Reference]],metron,17,FALSE)</f>
        <v>5.7628422023992618</v>
      </c>
      <c r="CD584" s="6">
        <f>VLOOKUP(Table1[[#This Row],[Reference]],metron,18,FALSE)</f>
        <v>3.9375576745616732</v>
      </c>
      <c r="CE584" s="6">
        <f>VLOOKUP(Table1[[#This Row],[Reference]],metron,19,FALSE)</f>
        <v>7.636668351286878</v>
      </c>
      <c r="CF584" s="6">
        <f>VLOOKUP(Table1[[#This Row],[Reference]],metron,20,FALSE)</f>
        <v>5.4876488106019847</v>
      </c>
      <c r="CG584" s="6">
        <f>VLOOKUP(Table1[[#This Row],[Reference]],metron,21,FALSE)</f>
        <v>12.460420531849101</v>
      </c>
      <c r="CH584" s="6">
        <f>VLOOKUP(Table1[[#This Row],[Reference]],metron,22,FALSE)</f>
        <v>13.44897959183673</v>
      </c>
      <c r="CI584" s="6">
        <f>VLOOKUP(Table1[[#This Row],[Reference]],metron,23,FALSE)</f>
        <v>1.462202380952381</v>
      </c>
      <c r="CJ584" s="6">
        <f>VLOOKUP(Table1[[#This Row],[Reference]],metron,24,FALSE)</f>
        <v>2.01547619047619</v>
      </c>
      <c r="CK584" s="6">
        <f>VLOOKUP(Table1[[#This Row],[Reference]],metron,25,FALSE)</f>
        <v>7.7380952380952384E-2</v>
      </c>
      <c r="CL584" s="6">
        <f>VLOOKUP(Table1[[#This Row],[Reference]],metron,26,FALSE)</f>
        <v>0.13754093480202439</v>
      </c>
    </row>
    <row r="585" spans="1:90" x14ac:dyDescent="0.45">
      <c r="A585" t="s">
        <v>1256</v>
      </c>
      <c r="B585">
        <v>1614726000</v>
      </c>
      <c r="C585" s="23" t="s">
        <v>1096</v>
      </c>
      <c r="D585" t="s">
        <v>65</v>
      </c>
      <c r="E585" t="s">
        <v>66</v>
      </c>
      <c r="F585" t="s">
        <v>97</v>
      </c>
      <c r="G585" t="s">
        <v>91</v>
      </c>
      <c r="H585" t="s">
        <v>158</v>
      </c>
      <c r="I585">
        <f>MROUND(Table1[[#This Row],[ProbH]]*100,2)/100</f>
        <v>0.44</v>
      </c>
      <c r="J585">
        <f>1/Table1[[#This Row],[odds_ft_home_team_win]]-Table1[[#This Row],[Margin]]</f>
        <v>0.44280753446280119</v>
      </c>
      <c r="K585">
        <f>1/Table1[[#This Row],[odds_ft_draw]]-Table1[[#This Row],[Margin]]</f>
        <v>0.28538356308534146</v>
      </c>
      <c r="L585">
        <f>1/Table1[[#This Row],[odds_ft_away_team_win]]-Table1[[#This Row],[Margin]]</f>
        <v>0.27180890245185729</v>
      </c>
      <c r="M585">
        <v>9</v>
      </c>
      <c r="N585">
        <v>0.67</v>
      </c>
      <c r="O585">
        <v>0.5</v>
      </c>
      <c r="P585">
        <v>1.21</v>
      </c>
      <c r="Q585">
        <v>0.35</v>
      </c>
      <c r="R585" s="9" t="str" cm="1">
        <f t="array" ref="R5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5">
        <v>3</v>
      </c>
      <c r="T585">
        <v>1</v>
      </c>
      <c r="U585">
        <v>4</v>
      </c>
      <c r="V585">
        <v>2</v>
      </c>
      <c r="W585">
        <v>1</v>
      </c>
      <c r="X585">
        <v>1</v>
      </c>
      <c r="Y585" t="s">
        <v>1097</v>
      </c>
      <c r="Z585">
        <v>24</v>
      </c>
      <c r="AA585">
        <v>3</v>
      </c>
      <c r="AB585">
        <v>6</v>
      </c>
      <c r="AC585">
        <v>2</v>
      </c>
      <c r="AD585">
        <v>1</v>
      </c>
      <c r="AE585">
        <v>0</v>
      </c>
      <c r="AF585">
        <v>0</v>
      </c>
      <c r="AG585">
        <v>1</v>
      </c>
      <c r="AH585">
        <v>2</v>
      </c>
      <c r="AI585">
        <v>0</v>
      </c>
      <c r="AJ585">
        <v>0</v>
      </c>
      <c r="AK585">
        <v>26</v>
      </c>
      <c r="AL585">
        <v>7</v>
      </c>
      <c r="AM585">
        <v>10</v>
      </c>
      <c r="AN585">
        <v>3</v>
      </c>
      <c r="AO585">
        <v>16</v>
      </c>
      <c r="AP585">
        <v>4</v>
      </c>
      <c r="AQ585">
        <v>15</v>
      </c>
      <c r="AR585">
        <v>11</v>
      </c>
      <c r="AS585">
        <v>50</v>
      </c>
      <c r="AT585">
        <v>50</v>
      </c>
      <c r="AU585">
        <v>2.69</v>
      </c>
      <c r="AV585">
        <v>0.85</v>
      </c>
      <c r="AW585">
        <v>2.34</v>
      </c>
      <c r="AX585">
        <v>42</v>
      </c>
      <c r="AY585">
        <v>71</v>
      </c>
      <c r="AZ585">
        <v>46</v>
      </c>
      <c r="BA585">
        <v>13</v>
      </c>
      <c r="BB585">
        <v>4</v>
      </c>
      <c r="BC585">
        <v>25</v>
      </c>
      <c r="BD585">
        <v>67</v>
      </c>
      <c r="BE585">
        <v>38</v>
      </c>
      <c r="BF585">
        <v>84</v>
      </c>
      <c r="BG585">
        <v>9</v>
      </c>
      <c r="BH585">
        <v>5.5</v>
      </c>
      <c r="BI585">
        <v>2.15</v>
      </c>
      <c r="BJ585">
        <v>3.25</v>
      </c>
      <c r="BK585">
        <v>3.4</v>
      </c>
      <c r="BL585">
        <f>(1/Table1[[#This Row],[odds_ft_home_team_win]]+1/Table1[[#This Row],[odds_ft_draw]]+1/Table1[[#This Row],[odds_ft_away_team_win]]-1)/3</f>
        <v>2.2308744606966229E-2</v>
      </c>
      <c r="BM585">
        <v>1.47</v>
      </c>
      <c r="BN585">
        <v>2.2999999999999998</v>
      </c>
      <c r="BO585">
        <v>4.0999999999999996</v>
      </c>
      <c r="BP585">
        <v>8.25</v>
      </c>
      <c r="BQ585">
        <v>2.1</v>
      </c>
      <c r="BR585">
        <v>1.69</v>
      </c>
      <c r="BS585" t="s">
        <v>136</v>
      </c>
      <c r="BT585">
        <f>VLOOKUP(Table1[[#This Row],[Reference]],metron,8,FALSE)</f>
        <v>1.6395459745305552</v>
      </c>
      <c r="BU585">
        <f>VLOOKUP(Table1[[#This Row],[Reference]],metron,9,FALSE)</f>
        <v>1.0758429359324786</v>
      </c>
      <c r="BV585">
        <f>VLOOKUP(Table1[[#This Row],[Reference]],metron,10,FALSE)</f>
        <v>2.4807646356033461</v>
      </c>
      <c r="BW585">
        <f>VLOOKUP(Table1[[#This Row],[Reference]],metron,11,FALSE)</f>
        <v>1.4140979689366791</v>
      </c>
      <c r="BX585">
        <f>VLOOKUP(Table1[[#This Row],[Reference]],metron,12,FALSE)</f>
        <v>1.0666666666666671</v>
      </c>
      <c r="BY585" s="6">
        <f>VLOOKUP(Table1[[#This Row],[Reference]],metron,13,FALSE)</f>
        <v>0.62712066905615294</v>
      </c>
      <c r="BZ585" s="6">
        <f>VLOOKUP(Table1[[#This Row],[Reference]],metron,14,FALSE)</f>
        <v>0.46009557945041818</v>
      </c>
      <c r="CA585" s="6">
        <f>VLOOKUP(Table1[[#This Row],[Reference]],metron,15,FALSE)</f>
        <v>12.56969280146722</v>
      </c>
      <c r="CB585" s="6">
        <f>VLOOKUP(Table1[[#This Row],[Reference]],metron,16,FALSE)</f>
        <v>9.8695552498853729</v>
      </c>
      <c r="CC585" s="6">
        <f>VLOOKUP(Table1[[#This Row],[Reference]],metron,17,FALSE)</f>
        <v>5.2754256787850897</v>
      </c>
      <c r="CD585" s="6">
        <f>VLOOKUP(Table1[[#This Row],[Reference]],metron,18,FALSE)</f>
        <v>4.1279337321675103</v>
      </c>
      <c r="CE585" s="6">
        <f>VLOOKUP(Table1[[#This Row],[Reference]],metron,19,FALSE)</f>
        <v>7.2942671226821298</v>
      </c>
      <c r="CF585" s="6">
        <f>VLOOKUP(Table1[[#This Row],[Reference]],metron,20,FALSE)</f>
        <v>5.7416215177178627</v>
      </c>
      <c r="CG585" s="6">
        <f>VLOOKUP(Table1[[#This Row],[Reference]],metron,21,FALSE)</f>
        <v>12.897246007868549</v>
      </c>
      <c r="CH585" s="6">
        <f>VLOOKUP(Table1[[#This Row],[Reference]],metron,22,FALSE)</f>
        <v>13.507058551261281</v>
      </c>
      <c r="CI585" s="6">
        <f>VLOOKUP(Table1[[#This Row],[Reference]],metron,23,FALSE)</f>
        <v>1.576522702104098</v>
      </c>
      <c r="CJ585" s="6">
        <f>VLOOKUP(Table1[[#This Row],[Reference]],metron,24,FALSE)</f>
        <v>1.917165005537099</v>
      </c>
      <c r="CK585" s="6">
        <f>VLOOKUP(Table1[[#This Row],[Reference]],metron,25,FALSE)</f>
        <v>8.4385382059800659E-2</v>
      </c>
      <c r="CL585" s="6">
        <f>VLOOKUP(Table1[[#This Row],[Reference]],metron,26,FALSE)</f>
        <v>0.1233665559246955</v>
      </c>
    </row>
    <row r="586" spans="1:90" x14ac:dyDescent="0.45">
      <c r="A586" t="s">
        <v>1256</v>
      </c>
      <c r="B586">
        <v>1614733200</v>
      </c>
      <c r="C586" s="23" t="s">
        <v>1098</v>
      </c>
      <c r="D586" t="s">
        <v>65</v>
      </c>
      <c r="E586" t="s">
        <v>66</v>
      </c>
      <c r="F586" t="s">
        <v>107</v>
      </c>
      <c r="G586" t="s">
        <v>79</v>
      </c>
      <c r="H586" t="s">
        <v>69</v>
      </c>
      <c r="I586">
        <f>MROUND(Table1[[#This Row],[ProbH]]*100,2)/100</f>
        <v>0.6</v>
      </c>
      <c r="J586">
        <f>1/Table1[[#This Row],[odds_ft_home_team_win]]-Table1[[#This Row],[Margin]]</f>
        <v>0.60256410256410253</v>
      </c>
      <c r="K586">
        <f>1/Table1[[#This Row],[odds_ft_draw]]-Table1[[#This Row],[Margin]]</f>
        <v>0.22756410256410256</v>
      </c>
      <c r="L586">
        <f>1/Table1[[#This Row],[odds_ft_away_team_win]]-Table1[[#This Row],[Margin]]</f>
        <v>0.16987179487179485</v>
      </c>
      <c r="M586">
        <v>9</v>
      </c>
      <c r="N586">
        <v>1.73</v>
      </c>
      <c r="O586">
        <v>0.46</v>
      </c>
      <c r="P586">
        <v>1.53</v>
      </c>
      <c r="Q586">
        <v>0.55000000000000004</v>
      </c>
      <c r="R586" t="str" cm="1">
        <f t="array" ref="R5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Z586">
        <v>55</v>
      </c>
      <c r="AA586">
        <v>-1</v>
      </c>
      <c r="AB586">
        <v>-1</v>
      </c>
      <c r="AC586">
        <v>3</v>
      </c>
      <c r="AD586">
        <v>0</v>
      </c>
      <c r="AE586">
        <v>1</v>
      </c>
      <c r="AF586">
        <v>0</v>
      </c>
      <c r="AG586">
        <v>2</v>
      </c>
      <c r="AH586">
        <v>1</v>
      </c>
      <c r="AI586">
        <v>1</v>
      </c>
      <c r="AJ586">
        <v>0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0</v>
      </c>
      <c r="AV586">
        <v>0</v>
      </c>
      <c r="AW586">
        <v>3.02</v>
      </c>
      <c r="AX586">
        <v>76</v>
      </c>
      <c r="AY586">
        <v>93</v>
      </c>
      <c r="AZ586">
        <v>58</v>
      </c>
      <c r="BA586">
        <v>33</v>
      </c>
      <c r="BB586">
        <v>23</v>
      </c>
      <c r="BC586">
        <v>56</v>
      </c>
      <c r="BD586">
        <v>76</v>
      </c>
      <c r="BE586">
        <v>42</v>
      </c>
      <c r="BF586">
        <v>81</v>
      </c>
      <c r="BG586">
        <v>9.39</v>
      </c>
      <c r="BH586">
        <v>4.92</v>
      </c>
      <c r="BI586">
        <v>1.6</v>
      </c>
      <c r="BJ586">
        <v>4</v>
      </c>
      <c r="BK586">
        <v>5.2</v>
      </c>
      <c r="BL586">
        <f>(1/Table1[[#This Row],[odds_ft_home_team_win]]+1/Table1[[#This Row],[odds_ft_draw]]+1/Table1[[#This Row],[odds_ft_away_team_win]]-1)/3</f>
        <v>2.2435897435897429E-2</v>
      </c>
      <c r="BM586">
        <v>1.24</v>
      </c>
      <c r="BN586">
        <v>1.76</v>
      </c>
      <c r="BO586">
        <v>2.86</v>
      </c>
      <c r="BP586">
        <v>5.25</v>
      </c>
      <c r="BQ586">
        <v>1.79</v>
      </c>
      <c r="BR586">
        <v>1.91</v>
      </c>
      <c r="BS586" t="s">
        <v>161</v>
      </c>
      <c r="BT586">
        <f>VLOOKUP(Table1[[#This Row],[Reference]],metron,8,FALSE)</f>
        <v>2.0749792289385525</v>
      </c>
      <c r="BU586">
        <f>VLOOKUP(Table1[[#This Row],[Reference]],metron,9,FALSE)</f>
        <v>0.68220664089703831</v>
      </c>
      <c r="BV586">
        <f>VLOOKUP(Table1[[#This Row],[Reference]],metron,10,FALSE)</f>
        <v>2.7310090702947849</v>
      </c>
      <c r="BW586">
        <f>VLOOKUP(Table1[[#This Row],[Reference]],metron,11,FALSE)</f>
        <v>1.841836734693878</v>
      </c>
      <c r="BX586">
        <f>VLOOKUP(Table1[[#This Row],[Reference]],metron,12,FALSE)</f>
        <v>0.88917233560090703</v>
      </c>
      <c r="BY586" s="6">
        <f>VLOOKUP(Table1[[#This Row],[Reference]],metron,13,FALSE)</f>
        <v>0.804822695035461</v>
      </c>
      <c r="BZ586" s="6">
        <f>VLOOKUP(Table1[[#This Row],[Reference]],metron,14,FALSE)</f>
        <v>0.38099290780141842</v>
      </c>
      <c r="CA586" s="6">
        <f>VLOOKUP(Table1[[#This Row],[Reference]],metron,15,FALSE)</f>
        <v>14.25174825174825</v>
      </c>
      <c r="CB586" s="6">
        <f>VLOOKUP(Table1[[#This Row],[Reference]],metron,16,FALSE)</f>
        <v>8.8316683316683324</v>
      </c>
      <c r="CC586" s="6">
        <f>VLOOKUP(Table1[[#This Row],[Reference]],metron,17,FALSE)</f>
        <v>6.2901265822784813</v>
      </c>
      <c r="CD586" s="6">
        <f>VLOOKUP(Table1[[#This Row],[Reference]],metron,18,FALSE)</f>
        <v>3.6162025316455702</v>
      </c>
      <c r="CE586" s="6">
        <f>VLOOKUP(Table1[[#This Row],[Reference]],metron,19,FALSE)</f>
        <v>7.9616216694697686</v>
      </c>
      <c r="CF586" s="6">
        <f>VLOOKUP(Table1[[#This Row],[Reference]],metron,20,FALSE)</f>
        <v>5.2154658000227627</v>
      </c>
      <c r="CG586" s="6">
        <f>VLOOKUP(Table1[[#This Row],[Reference]],metron,21,FALSE)</f>
        <v>12.444895886236671</v>
      </c>
      <c r="CH586" s="6">
        <f>VLOOKUP(Table1[[#This Row],[Reference]],metron,22,FALSE)</f>
        <v>13.620619603859829</v>
      </c>
      <c r="CI586" s="6">
        <f>VLOOKUP(Table1[[#This Row],[Reference]],metron,23,FALSE)</f>
        <v>1.406084017382907</v>
      </c>
      <c r="CJ586" s="6">
        <f>VLOOKUP(Table1[[#This Row],[Reference]],metron,24,FALSE)</f>
        <v>2.070980202800579</v>
      </c>
      <c r="CK586" s="6">
        <f>VLOOKUP(Table1[[#This Row],[Reference]],metron,25,FALSE)</f>
        <v>6.1323032351521013E-2</v>
      </c>
      <c r="CL586" s="6">
        <f>VLOOKUP(Table1[[#This Row],[Reference]],metron,26,FALSE)</f>
        <v>0.1313375181071946</v>
      </c>
    </row>
    <row r="587" spans="1:90" x14ac:dyDescent="0.45">
      <c r="A587" t="s">
        <v>1256</v>
      </c>
      <c r="B587">
        <v>1614740400</v>
      </c>
      <c r="C587" s="23" t="s">
        <v>1099</v>
      </c>
      <c r="D587" t="s">
        <v>65</v>
      </c>
      <c r="E587" t="s">
        <v>66</v>
      </c>
      <c r="F587" t="s">
        <v>85</v>
      </c>
      <c r="G587" t="s">
        <v>102</v>
      </c>
      <c r="H587" t="s">
        <v>108</v>
      </c>
      <c r="I587">
        <f>MROUND(Table1[[#This Row],[ProbH]]*100,2)/100</f>
        <v>0.6</v>
      </c>
      <c r="J587">
        <f>1/Table1[[#This Row],[odds_ft_home_team_win]]-Table1[[#This Row],[Margin]]</f>
        <v>0.59536101758323978</v>
      </c>
      <c r="K587">
        <f>1/Table1[[#This Row],[odds_ft_draw]]-Table1[[#This Row],[Margin]]</f>
        <v>0.2447437336326225</v>
      </c>
      <c r="L587">
        <f>1/Table1[[#This Row],[odds_ft_away_team_win]]-Table1[[#This Row],[Margin]]</f>
        <v>0.15989524878413766</v>
      </c>
      <c r="M587">
        <v>9</v>
      </c>
      <c r="N587">
        <v>2.33</v>
      </c>
      <c r="O587">
        <v>1.21</v>
      </c>
      <c r="P587">
        <v>2.29</v>
      </c>
      <c r="Q587">
        <v>1.33</v>
      </c>
      <c r="R587" t="str" cm="1">
        <f t="array" ref="R5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7">
        <v>1</v>
      </c>
      <c r="T587">
        <v>2</v>
      </c>
      <c r="U587">
        <v>3</v>
      </c>
      <c r="V587">
        <v>1</v>
      </c>
      <c r="W587">
        <v>1</v>
      </c>
      <c r="X587">
        <v>0</v>
      </c>
      <c r="Y587">
        <v>40</v>
      </c>
      <c r="Z587" t="s">
        <v>1100</v>
      </c>
      <c r="AA587">
        <v>3</v>
      </c>
      <c r="AB587">
        <v>3</v>
      </c>
      <c r="AC587">
        <v>4</v>
      </c>
      <c r="AD587">
        <v>0</v>
      </c>
      <c r="AE587">
        <v>1</v>
      </c>
      <c r="AF587">
        <v>0</v>
      </c>
      <c r="AG587">
        <v>3</v>
      </c>
      <c r="AH587">
        <v>1</v>
      </c>
      <c r="AI587">
        <v>1</v>
      </c>
      <c r="AJ587">
        <v>0</v>
      </c>
      <c r="AK587">
        <v>10</v>
      </c>
      <c r="AL587">
        <v>11</v>
      </c>
      <c r="AM587">
        <v>5</v>
      </c>
      <c r="AN587">
        <v>3</v>
      </c>
      <c r="AO587">
        <v>5</v>
      </c>
      <c r="AP587">
        <v>8</v>
      </c>
      <c r="AQ587">
        <v>17</v>
      </c>
      <c r="AR587">
        <v>15</v>
      </c>
      <c r="AS587">
        <v>64</v>
      </c>
      <c r="AT587">
        <v>36</v>
      </c>
      <c r="AU587">
        <v>1.22</v>
      </c>
      <c r="AV587">
        <v>1.2</v>
      </c>
      <c r="AW587">
        <v>2.35</v>
      </c>
      <c r="AX587">
        <v>48</v>
      </c>
      <c r="AY587">
        <v>62</v>
      </c>
      <c r="AZ587">
        <v>42</v>
      </c>
      <c r="BA587">
        <v>25</v>
      </c>
      <c r="BB587">
        <v>11</v>
      </c>
      <c r="BC587">
        <v>32</v>
      </c>
      <c r="BD587">
        <v>73</v>
      </c>
      <c r="BE587">
        <v>35</v>
      </c>
      <c r="BF587">
        <v>65</v>
      </c>
      <c r="BG587">
        <v>7.93</v>
      </c>
      <c r="BH587">
        <v>4.51</v>
      </c>
      <c r="BI587">
        <v>1.62</v>
      </c>
      <c r="BJ587">
        <v>3.75</v>
      </c>
      <c r="BK587">
        <v>5.5</v>
      </c>
      <c r="BL587">
        <f>(1/Table1[[#This Row],[odds_ft_home_team_win]]+1/Table1[[#This Row],[odds_ft_draw]]+1/Table1[[#This Row],[odds_ft_away_team_win]]-1)/3</f>
        <v>2.1922933034044172E-2</v>
      </c>
      <c r="BM587">
        <v>1.34</v>
      </c>
      <c r="BN587">
        <v>2</v>
      </c>
      <c r="BO587">
        <v>3.45</v>
      </c>
      <c r="BP587">
        <v>7</v>
      </c>
      <c r="BQ587">
        <v>2.0499999999999998</v>
      </c>
      <c r="BR587">
        <v>1.74</v>
      </c>
      <c r="BS587" t="s">
        <v>128</v>
      </c>
      <c r="BT587">
        <f>VLOOKUP(Table1[[#This Row],[Reference]],metron,8,FALSE)</f>
        <v>2.0749792289385525</v>
      </c>
      <c r="BU587">
        <f>VLOOKUP(Table1[[#This Row],[Reference]],metron,9,FALSE)</f>
        <v>0.68220664089703831</v>
      </c>
      <c r="BV587">
        <f>VLOOKUP(Table1[[#This Row],[Reference]],metron,10,FALSE)</f>
        <v>2.7310090702947849</v>
      </c>
      <c r="BW587">
        <f>VLOOKUP(Table1[[#This Row],[Reference]],metron,11,FALSE)</f>
        <v>1.841836734693878</v>
      </c>
      <c r="BX587">
        <f>VLOOKUP(Table1[[#This Row],[Reference]],metron,12,FALSE)</f>
        <v>0.88917233560090703</v>
      </c>
      <c r="BY587" s="6">
        <f>VLOOKUP(Table1[[#This Row],[Reference]],metron,13,FALSE)</f>
        <v>0.804822695035461</v>
      </c>
      <c r="BZ587" s="6">
        <f>VLOOKUP(Table1[[#This Row],[Reference]],metron,14,FALSE)</f>
        <v>0.38099290780141842</v>
      </c>
      <c r="CA587" s="6">
        <f>VLOOKUP(Table1[[#This Row],[Reference]],metron,15,FALSE)</f>
        <v>14.25174825174825</v>
      </c>
      <c r="CB587" s="6">
        <f>VLOOKUP(Table1[[#This Row],[Reference]],metron,16,FALSE)</f>
        <v>8.8316683316683324</v>
      </c>
      <c r="CC587" s="6">
        <f>VLOOKUP(Table1[[#This Row],[Reference]],metron,17,FALSE)</f>
        <v>6.2901265822784813</v>
      </c>
      <c r="CD587" s="6">
        <f>VLOOKUP(Table1[[#This Row],[Reference]],metron,18,FALSE)</f>
        <v>3.6162025316455702</v>
      </c>
      <c r="CE587" s="6">
        <f>VLOOKUP(Table1[[#This Row],[Reference]],metron,19,FALSE)</f>
        <v>7.9616216694697686</v>
      </c>
      <c r="CF587" s="6">
        <f>VLOOKUP(Table1[[#This Row],[Reference]],metron,20,FALSE)</f>
        <v>5.2154658000227627</v>
      </c>
      <c r="CG587" s="6">
        <f>VLOOKUP(Table1[[#This Row],[Reference]],metron,21,FALSE)</f>
        <v>12.444895886236671</v>
      </c>
      <c r="CH587" s="6">
        <f>VLOOKUP(Table1[[#This Row],[Reference]],metron,22,FALSE)</f>
        <v>13.620619603859829</v>
      </c>
      <c r="CI587" s="6">
        <f>VLOOKUP(Table1[[#This Row],[Reference]],metron,23,FALSE)</f>
        <v>1.406084017382907</v>
      </c>
      <c r="CJ587" s="6">
        <f>VLOOKUP(Table1[[#This Row],[Reference]],metron,24,FALSE)</f>
        <v>2.070980202800579</v>
      </c>
      <c r="CK587" s="6">
        <f>VLOOKUP(Table1[[#This Row],[Reference]],metron,25,FALSE)</f>
        <v>6.1323032351521013E-2</v>
      </c>
      <c r="CL587" s="6">
        <f>VLOOKUP(Table1[[#This Row],[Reference]],metron,26,FALSE)</f>
        <v>0.1313375181071946</v>
      </c>
    </row>
    <row r="588" spans="1:90" x14ac:dyDescent="0.45">
      <c r="A588" t="s">
        <v>1256</v>
      </c>
      <c r="B588">
        <v>1614819600</v>
      </c>
      <c r="C588" s="23" t="s">
        <v>1101</v>
      </c>
      <c r="D588" t="s">
        <v>65</v>
      </c>
      <c r="E588" t="s">
        <v>66</v>
      </c>
      <c r="F588" t="s">
        <v>67</v>
      </c>
      <c r="G588" t="s">
        <v>90</v>
      </c>
      <c r="H588" t="s">
        <v>215</v>
      </c>
      <c r="I588">
        <f>MROUND(Table1[[#This Row],[ProbH]]*100,2)/100</f>
        <v>0.32</v>
      </c>
      <c r="J588">
        <f>1/Table1[[#This Row],[odds_ft_home_team_win]]-Table1[[#This Row],[Margin]]</f>
        <v>0.31626647834274951</v>
      </c>
      <c r="K588">
        <f>1/Table1[[#This Row],[odds_ft_draw]]-Table1[[#This Row],[Margin]]</f>
        <v>0.2897834274952919</v>
      </c>
      <c r="L588">
        <f>1/Table1[[#This Row],[odds_ft_away_team_win]]-Table1[[#This Row],[Margin]]</f>
        <v>0.39395009416195859</v>
      </c>
      <c r="M588">
        <v>9</v>
      </c>
      <c r="N588">
        <v>1.75</v>
      </c>
      <c r="O588">
        <v>1.36</v>
      </c>
      <c r="P588">
        <v>1.82</v>
      </c>
      <c r="Q588">
        <v>1.35</v>
      </c>
      <c r="R588" t="str" cm="1">
        <f t="array" ref="R5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88">
        <v>2</v>
      </c>
      <c r="T588">
        <v>2</v>
      </c>
      <c r="U588">
        <v>4</v>
      </c>
      <c r="V588">
        <v>2</v>
      </c>
      <c r="W588">
        <v>1</v>
      </c>
      <c r="X588">
        <v>1</v>
      </c>
      <c r="Y588" t="s">
        <v>1102</v>
      </c>
      <c r="Z588" t="s">
        <v>1057</v>
      </c>
      <c r="AA588">
        <v>5</v>
      </c>
      <c r="AB588">
        <v>4</v>
      </c>
      <c r="AC588">
        <v>2</v>
      </c>
      <c r="AD588">
        <v>0</v>
      </c>
      <c r="AE588">
        <v>4</v>
      </c>
      <c r="AF588">
        <v>0</v>
      </c>
      <c r="AG588">
        <v>0</v>
      </c>
      <c r="AH588">
        <v>2</v>
      </c>
      <c r="AI588">
        <v>0</v>
      </c>
      <c r="AJ588">
        <v>4</v>
      </c>
      <c r="AK588">
        <v>19</v>
      </c>
      <c r="AL588">
        <v>9</v>
      </c>
      <c r="AM588">
        <v>5</v>
      </c>
      <c r="AN588">
        <v>3</v>
      </c>
      <c r="AO588">
        <v>14</v>
      </c>
      <c r="AP588">
        <v>6</v>
      </c>
      <c r="AQ588">
        <v>8</v>
      </c>
      <c r="AR588">
        <v>13</v>
      </c>
      <c r="AS588">
        <v>50</v>
      </c>
      <c r="AT588">
        <v>50</v>
      </c>
      <c r="AU588">
        <v>1.77</v>
      </c>
      <c r="AV588">
        <v>1.07</v>
      </c>
      <c r="AW588">
        <v>2.64</v>
      </c>
      <c r="AX588">
        <v>62</v>
      </c>
      <c r="AY588">
        <v>73</v>
      </c>
      <c r="AZ588">
        <v>47</v>
      </c>
      <c r="BA588">
        <v>36</v>
      </c>
      <c r="BB588">
        <v>13</v>
      </c>
      <c r="BC588">
        <v>23</v>
      </c>
      <c r="BD588">
        <v>69</v>
      </c>
      <c r="BE588">
        <v>55</v>
      </c>
      <c r="BF588">
        <v>77</v>
      </c>
      <c r="BG588">
        <v>8.58</v>
      </c>
      <c r="BH588">
        <v>4.18</v>
      </c>
      <c r="BI588">
        <v>2.95</v>
      </c>
      <c r="BJ588">
        <v>3.2</v>
      </c>
      <c r="BK588">
        <v>2.4</v>
      </c>
      <c r="BL588">
        <f>(1/Table1[[#This Row],[odds_ft_home_team_win]]+1/Table1[[#This Row],[odds_ft_draw]]+1/Table1[[#This Row],[odds_ft_away_team_win]]-1)/3</f>
        <v>2.2716572504708116E-2</v>
      </c>
      <c r="BM588">
        <v>1.4</v>
      </c>
      <c r="BN588">
        <v>2.1</v>
      </c>
      <c r="BO588">
        <v>3.6</v>
      </c>
      <c r="BP588">
        <v>7.25</v>
      </c>
      <c r="BQ588">
        <v>1.91</v>
      </c>
      <c r="BR588">
        <v>1.87</v>
      </c>
      <c r="BS588" t="s">
        <v>70</v>
      </c>
      <c r="BT588">
        <f>VLOOKUP(Table1[[#This Row],[Reference]],metron,8,FALSE)</f>
        <v>1.274681051426811</v>
      </c>
      <c r="BU588">
        <f>VLOOKUP(Table1[[#This Row],[Reference]],metron,9,FALSE)</f>
        <v>1.4392482240810365</v>
      </c>
      <c r="BV588">
        <f>VLOOKUP(Table1[[#This Row],[Reference]],metron,10,FALSE)</f>
        <v>2.5313454284174597</v>
      </c>
      <c r="BW588">
        <f>VLOOKUP(Table1[[#This Row],[Reference]],metron,11,FALSE)</f>
        <v>1.210167055864918</v>
      </c>
      <c r="BX588">
        <f>VLOOKUP(Table1[[#This Row],[Reference]],metron,12,FALSE)</f>
        <v>1.3211783725525419</v>
      </c>
      <c r="BY588" s="6">
        <f>VLOOKUP(Table1[[#This Row],[Reference]],metron,13,FALSE)</f>
        <v>0.53135669362084459</v>
      </c>
      <c r="BZ588" s="6">
        <f>VLOOKUP(Table1[[#This Row],[Reference]],metron,14,FALSE)</f>
        <v>0.55633423180592989</v>
      </c>
      <c r="CA588" s="6">
        <f>VLOOKUP(Table1[[#This Row],[Reference]],metron,15,FALSE)</f>
        <v>11.21109010712035</v>
      </c>
      <c r="CB588" s="6">
        <f>VLOOKUP(Table1[[#This Row],[Reference]],metron,16,FALSE)</f>
        <v>11.01700787401575</v>
      </c>
      <c r="CC588" s="6">
        <f>VLOOKUP(Table1[[#This Row],[Reference]],metron,17,FALSE)</f>
        <v>4.6792332268370611</v>
      </c>
      <c r="CD588" s="6">
        <f>VLOOKUP(Table1[[#This Row],[Reference]],metron,18,FALSE)</f>
        <v>4.7080804854679013</v>
      </c>
      <c r="CE588" s="6">
        <f>VLOOKUP(Table1[[#This Row],[Reference]],metron,19,FALSE)</f>
        <v>6.5318568802832893</v>
      </c>
      <c r="CF588" s="6">
        <f>VLOOKUP(Table1[[#This Row],[Reference]],metron,20,FALSE)</f>
        <v>6.3089273885478487</v>
      </c>
      <c r="CG588" s="6">
        <f>VLOOKUP(Table1[[#This Row],[Reference]],metron,21,FALSE)</f>
        <v>12.72547770700637</v>
      </c>
      <c r="CH588" s="6">
        <f>VLOOKUP(Table1[[#This Row],[Reference]],metron,22,FALSE)</f>
        <v>13.06847133757962</v>
      </c>
      <c r="CI588" s="6">
        <f>VLOOKUP(Table1[[#This Row],[Reference]],metron,23,FALSE)</f>
        <v>1.6902356902356901</v>
      </c>
      <c r="CJ588" s="6">
        <f>VLOOKUP(Table1[[#This Row],[Reference]],metron,24,FALSE)</f>
        <v>1.8050198959289869</v>
      </c>
      <c r="CK588" s="6">
        <f>VLOOKUP(Table1[[#This Row],[Reference]],metron,25,FALSE)</f>
        <v>0.105907560453015</v>
      </c>
      <c r="CL588" s="6">
        <f>VLOOKUP(Table1[[#This Row],[Reference]],metron,26,FALSE)</f>
        <v>0.1141720232629324</v>
      </c>
    </row>
    <row r="589" spans="1:90" x14ac:dyDescent="0.45">
      <c r="A589" t="s">
        <v>1256</v>
      </c>
      <c r="B589">
        <v>1614819600</v>
      </c>
      <c r="C589" s="23" t="s">
        <v>1101</v>
      </c>
      <c r="D589" t="s">
        <v>65</v>
      </c>
      <c r="E589" t="s">
        <v>66</v>
      </c>
      <c r="F589" t="s">
        <v>78</v>
      </c>
      <c r="G589" t="s">
        <v>101</v>
      </c>
      <c r="H589" t="s">
        <v>114</v>
      </c>
      <c r="I589">
        <f>MROUND(Table1[[#This Row],[ProbH]]*100,2)/100</f>
        <v>0.28000000000000003</v>
      </c>
      <c r="J589">
        <f>1/Table1[[#This Row],[odds_ft_home_team_win]]-Table1[[#This Row],[Margin]]</f>
        <v>0.27180890245185729</v>
      </c>
      <c r="K589">
        <f>1/Table1[[#This Row],[odds_ft_draw]]-Table1[[#This Row],[Margin]]</f>
        <v>0.28538356308534146</v>
      </c>
      <c r="L589">
        <f>1/Table1[[#This Row],[odds_ft_away_team_win]]-Table1[[#This Row],[Margin]]</f>
        <v>0.44280753446280119</v>
      </c>
      <c r="M589">
        <v>9</v>
      </c>
      <c r="N589">
        <v>1.55</v>
      </c>
      <c r="O589">
        <v>1.46</v>
      </c>
      <c r="P589">
        <v>1.41</v>
      </c>
      <c r="Q589">
        <v>1.39</v>
      </c>
      <c r="R589" t="str" cm="1">
        <f t="array" ref="R5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9">
        <v>1</v>
      </c>
      <c r="T589">
        <v>6</v>
      </c>
      <c r="U589">
        <v>7</v>
      </c>
      <c r="V589">
        <v>3</v>
      </c>
      <c r="W589">
        <v>1</v>
      </c>
      <c r="X589">
        <v>2</v>
      </c>
      <c r="Y589">
        <v>34</v>
      </c>
      <c r="Z589" t="s">
        <v>1103</v>
      </c>
      <c r="AA589">
        <v>5</v>
      </c>
      <c r="AB589">
        <v>11</v>
      </c>
      <c r="AC589">
        <v>4</v>
      </c>
      <c r="AD589">
        <v>0</v>
      </c>
      <c r="AE589">
        <v>2</v>
      </c>
      <c r="AF589">
        <v>0</v>
      </c>
      <c r="AG589">
        <v>1</v>
      </c>
      <c r="AH589">
        <v>3</v>
      </c>
      <c r="AI589">
        <v>2</v>
      </c>
      <c r="AJ589">
        <v>0</v>
      </c>
      <c r="AK589">
        <v>9</v>
      </c>
      <c r="AL589">
        <v>20</v>
      </c>
      <c r="AM589">
        <v>4</v>
      </c>
      <c r="AN589">
        <v>11</v>
      </c>
      <c r="AO589">
        <v>5</v>
      </c>
      <c r="AP589">
        <v>9</v>
      </c>
      <c r="AQ589">
        <v>10</v>
      </c>
      <c r="AR589">
        <v>16</v>
      </c>
      <c r="AS589">
        <v>46</v>
      </c>
      <c r="AT589">
        <v>54</v>
      </c>
      <c r="AU589">
        <v>1.1399999999999999</v>
      </c>
      <c r="AV589">
        <v>2.2999999999999998</v>
      </c>
      <c r="AW589">
        <v>1.75</v>
      </c>
      <c r="AX589">
        <v>48</v>
      </c>
      <c r="AY589">
        <v>57</v>
      </c>
      <c r="AZ589">
        <v>23</v>
      </c>
      <c r="BA589">
        <v>8</v>
      </c>
      <c r="BB589">
        <v>0</v>
      </c>
      <c r="BC589">
        <v>19</v>
      </c>
      <c r="BD589">
        <v>53</v>
      </c>
      <c r="BE589">
        <v>21</v>
      </c>
      <c r="BF589">
        <v>71</v>
      </c>
      <c r="BG589">
        <v>9.92</v>
      </c>
      <c r="BH589">
        <v>4.1500000000000004</v>
      </c>
      <c r="BI589">
        <v>3.4</v>
      </c>
      <c r="BJ589">
        <v>3.25</v>
      </c>
      <c r="BK589">
        <v>2.15</v>
      </c>
      <c r="BL589">
        <f>(1/Table1[[#This Row],[odds_ft_home_team_win]]+1/Table1[[#This Row],[odds_ft_draw]]+1/Table1[[#This Row],[odds_ft_away_team_win]]-1)/3</f>
        <v>2.2308744606966229E-2</v>
      </c>
      <c r="BM589">
        <v>1.36</v>
      </c>
      <c r="BN589">
        <v>2.0499999999999998</v>
      </c>
      <c r="BO589">
        <v>3.45</v>
      </c>
      <c r="BP589">
        <v>6.75</v>
      </c>
      <c r="BQ589">
        <v>1.87</v>
      </c>
      <c r="BR589">
        <v>1.91</v>
      </c>
      <c r="BS589" t="s">
        <v>82</v>
      </c>
      <c r="BT589">
        <f>VLOOKUP(Table1[[#This Row],[Reference]],metron,8,FALSE)</f>
        <v>1.1529533168233341</v>
      </c>
      <c r="BU589">
        <f>VLOOKUP(Table1[[#This Row],[Reference]],metron,9,FALSE)</f>
        <v>1.5628535554286829</v>
      </c>
      <c r="BV589">
        <f>VLOOKUP(Table1[[#This Row],[Reference]],metron,10,FALSE)</f>
        <v>2.5445607358071678</v>
      </c>
      <c r="BW589">
        <f>VLOOKUP(Table1[[#This Row],[Reference]],metron,11,FALSE)</f>
        <v>1.128766254360926</v>
      </c>
      <c r="BX589">
        <f>VLOOKUP(Table1[[#This Row],[Reference]],metron,12,FALSE)</f>
        <v>1.415794481446242</v>
      </c>
      <c r="BY589" s="6">
        <f>VLOOKUP(Table1[[#This Row],[Reference]],metron,13,FALSE)</f>
        <v>0.49635267998731369</v>
      </c>
      <c r="BZ589" s="6">
        <f>VLOOKUP(Table1[[#This Row],[Reference]],metron,14,FALSE)</f>
        <v>0.61084681255946716</v>
      </c>
      <c r="CA589" s="6">
        <f>VLOOKUP(Table1[[#This Row],[Reference]],metron,15,FALSE)</f>
        <v>11.04442036836403</v>
      </c>
      <c r="CB589" s="6">
        <f>VLOOKUP(Table1[[#This Row],[Reference]],metron,16,FALSE)</f>
        <v>11.38840736728061</v>
      </c>
      <c r="CC589" s="6">
        <f>VLOOKUP(Table1[[#This Row],[Reference]],metron,17,FALSE)</f>
        <v>4.5379574003276897</v>
      </c>
      <c r="CD589" s="6">
        <f>VLOOKUP(Table1[[#This Row],[Reference]],metron,18,FALSE)</f>
        <v>4.8481703986892413</v>
      </c>
      <c r="CE589" s="6">
        <f>VLOOKUP(Table1[[#This Row],[Reference]],metron,19,FALSE)</f>
        <v>6.5064629680363399</v>
      </c>
      <c r="CF589" s="6">
        <f>VLOOKUP(Table1[[#This Row],[Reference]],metron,20,FALSE)</f>
        <v>6.540236968591369</v>
      </c>
      <c r="CG589" s="6">
        <f>VLOOKUP(Table1[[#This Row],[Reference]],metron,21,FALSE)</f>
        <v>13.117582417582421</v>
      </c>
      <c r="CH589" s="6">
        <f>VLOOKUP(Table1[[#This Row],[Reference]],metron,22,FALSE)</f>
        <v>13.28241758241758</v>
      </c>
      <c r="CI589" s="6">
        <f>VLOOKUP(Table1[[#This Row],[Reference]],metron,23,FALSE)</f>
        <v>1.792592592592593</v>
      </c>
      <c r="CJ589" s="6">
        <f>VLOOKUP(Table1[[#This Row],[Reference]],metron,24,FALSE)</f>
        <v>1.806980433632998</v>
      </c>
      <c r="CK589" s="6">
        <f>VLOOKUP(Table1[[#This Row],[Reference]],metron,25,FALSE)</f>
        <v>0.1047065044949762</v>
      </c>
      <c r="CL589" s="6">
        <f>VLOOKUP(Table1[[#This Row],[Reference]],metron,26,FALSE)</f>
        <v>0.1073506081438392</v>
      </c>
    </row>
    <row r="590" spans="1:90" hidden="1" x14ac:dyDescent="0.45">
      <c r="A590" t="s">
        <v>1256</v>
      </c>
      <c r="B590">
        <v>1614826800</v>
      </c>
      <c r="C590" s="23" t="s">
        <v>1104</v>
      </c>
      <c r="D590" t="s">
        <v>65</v>
      </c>
      <c r="E590" t="s">
        <v>66</v>
      </c>
      <c r="F590" t="s">
        <v>112</v>
      </c>
      <c r="G590" t="s">
        <v>113</v>
      </c>
      <c r="H590" t="s">
        <v>98</v>
      </c>
      <c r="I590">
        <f>MROUND(Table1[[#This Row],[ProbH]]*100,2)/100</f>
        <v>0.72</v>
      </c>
      <c r="J590">
        <f>1/Table1[[#This Row],[odds_ft_home_team_win]]-Table1[[#This Row],[Margin]]</f>
        <v>0.72257509445254919</v>
      </c>
      <c r="K590">
        <f>1/Table1[[#This Row],[odds_ft_draw]]-Table1[[#This Row],[Margin]]</f>
        <v>0.18683275352560505</v>
      </c>
      <c r="L590">
        <f>1/Table1[[#This Row],[odds_ft_away_team_win]]-Table1[[#This Row],[Margin]]</f>
        <v>9.0592152021845673E-2</v>
      </c>
      <c r="M590">
        <v>9</v>
      </c>
      <c r="N590">
        <v>1.92</v>
      </c>
      <c r="O590">
        <v>0.42</v>
      </c>
      <c r="P590">
        <v>2.1800000000000002</v>
      </c>
      <c r="Q590">
        <v>0.65</v>
      </c>
      <c r="R590" t="str" cm="1">
        <f t="array" ref="R5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66</v>
      </c>
      <c r="AA590">
        <v>7</v>
      </c>
      <c r="AB590">
        <v>3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11</v>
      </c>
      <c r="AL590">
        <v>5</v>
      </c>
      <c r="AM590">
        <v>6</v>
      </c>
      <c r="AN590">
        <v>3</v>
      </c>
      <c r="AO590">
        <v>5</v>
      </c>
      <c r="AP590">
        <v>2</v>
      </c>
      <c r="AQ590">
        <v>10</v>
      </c>
      <c r="AR590">
        <v>11</v>
      </c>
      <c r="AS590">
        <v>74</v>
      </c>
      <c r="AT590">
        <v>26</v>
      </c>
      <c r="AU590">
        <v>1.56</v>
      </c>
      <c r="AV590">
        <v>0.68</v>
      </c>
      <c r="AW590">
        <v>2.98</v>
      </c>
      <c r="AX590">
        <v>45</v>
      </c>
      <c r="AY590">
        <v>76</v>
      </c>
      <c r="AZ590">
        <v>57</v>
      </c>
      <c r="BA590">
        <v>37</v>
      </c>
      <c r="BB590">
        <v>24</v>
      </c>
      <c r="BC590">
        <v>32</v>
      </c>
      <c r="BD590">
        <v>56</v>
      </c>
      <c r="BE590">
        <v>49</v>
      </c>
      <c r="BF590">
        <v>80</v>
      </c>
      <c r="BG590">
        <v>9.7899999999999991</v>
      </c>
      <c r="BH590">
        <v>3.79</v>
      </c>
      <c r="BI590">
        <v>1.34</v>
      </c>
      <c r="BJ590">
        <v>4.75</v>
      </c>
      <c r="BK590">
        <v>8.75</v>
      </c>
      <c r="BL590">
        <f>(1/Table1[[#This Row],[odds_ft_home_team_win]]+1/Table1[[#This Row],[odds_ft_draw]]+1/Table1[[#This Row],[odds_ft_away_team_win]]-1)/3</f>
        <v>2.3693562263868612E-2</v>
      </c>
      <c r="BM590">
        <v>1.3</v>
      </c>
      <c r="BN590">
        <v>1.87</v>
      </c>
      <c r="BO590">
        <v>3.2</v>
      </c>
      <c r="BP590">
        <v>6.5</v>
      </c>
      <c r="BQ590">
        <v>2.25</v>
      </c>
      <c r="BR590">
        <v>1.59</v>
      </c>
      <c r="BS590" t="s">
        <v>116</v>
      </c>
      <c r="BT590">
        <f>VLOOKUP(Table1[[#This Row],[Reference]],metron,8,FALSE)</f>
        <v>2.3749635199551693</v>
      </c>
      <c r="BU590">
        <f>VLOOKUP(Table1[[#This Row],[Reference]],metron,9,FALSE)</f>
        <v>0.44130366263957893</v>
      </c>
      <c r="BV590">
        <f>VLOOKUP(Table1[[#This Row],[Reference]],metron,10,FALSE)</f>
        <v>2.9969924812030078</v>
      </c>
      <c r="BW590">
        <f>VLOOKUP(Table1[[#This Row],[Reference]],metron,11,FALSE)</f>
        <v>2.2436090225563912</v>
      </c>
      <c r="BX590">
        <f>VLOOKUP(Table1[[#This Row],[Reference]],metron,12,FALSE)</f>
        <v>0.75338345864661649</v>
      </c>
      <c r="BY590" s="6">
        <f>VLOOKUP(Table1[[#This Row],[Reference]],metron,13,FALSE)</f>
        <v>1.018796992481203</v>
      </c>
      <c r="BZ590" s="6">
        <f>VLOOKUP(Table1[[#This Row],[Reference]],metron,14,FALSE)</f>
        <v>0.35112781954887218</v>
      </c>
      <c r="CA590" s="6">
        <f>VLOOKUP(Table1[[#This Row],[Reference]],metron,15,FALSE)</f>
        <v>16.67069486404834</v>
      </c>
      <c r="CB590" s="6">
        <f>VLOOKUP(Table1[[#This Row],[Reference]],metron,16,FALSE)</f>
        <v>8.2024169184290034</v>
      </c>
      <c r="CC590" s="6">
        <f>VLOOKUP(Table1[[#This Row],[Reference]],metron,17,FALSE)</f>
        <v>7.274390243902439</v>
      </c>
      <c r="CD590" s="6">
        <f>VLOOKUP(Table1[[#This Row],[Reference]],metron,18,FALSE)</f>
        <v>3.282012195121951</v>
      </c>
      <c r="CE590" s="6">
        <f>VLOOKUP(Table1[[#This Row],[Reference]],metron,19,FALSE)</f>
        <v>9.3963046201459015</v>
      </c>
      <c r="CF590" s="6">
        <f>VLOOKUP(Table1[[#This Row],[Reference]],metron,20,FALSE)</f>
        <v>4.9204047233070529</v>
      </c>
      <c r="CG590" s="6">
        <f>VLOOKUP(Table1[[#This Row],[Reference]],metron,21,FALSE)</f>
        <v>11.79352850539291</v>
      </c>
      <c r="CH590" s="6">
        <f>VLOOKUP(Table1[[#This Row],[Reference]],metron,22,FALSE)</f>
        <v>13.348228043143299</v>
      </c>
      <c r="CI590" s="6">
        <f>VLOOKUP(Table1[[#This Row],[Reference]],metron,23,FALSE)</f>
        <v>1.2705530642750369</v>
      </c>
      <c r="CJ590" s="6">
        <f>VLOOKUP(Table1[[#This Row],[Reference]],metron,24,FALSE)</f>
        <v>2.0822122571001489</v>
      </c>
      <c r="CK590" s="6">
        <f>VLOOKUP(Table1[[#This Row],[Reference]],metron,25,FALSE)</f>
        <v>5.6801195814648729E-2</v>
      </c>
      <c r="CL590" s="6">
        <f>VLOOKUP(Table1[[#This Row],[Reference]],metron,26,FALSE)</f>
        <v>0.12257100149476829</v>
      </c>
    </row>
    <row r="591" spans="1:90" x14ac:dyDescent="0.45">
      <c r="A591" t="s">
        <v>1256</v>
      </c>
      <c r="B591">
        <v>1614827160</v>
      </c>
      <c r="C591" s="23" t="s">
        <v>1105</v>
      </c>
      <c r="D591" t="s">
        <v>65</v>
      </c>
      <c r="E591" t="s">
        <v>66</v>
      </c>
      <c r="F591" t="s">
        <v>106</v>
      </c>
      <c r="G591" t="s">
        <v>68</v>
      </c>
      <c r="H591" t="s">
        <v>103</v>
      </c>
      <c r="I591">
        <f>MROUND(Table1[[#This Row],[ProbH]]*100,2)/100</f>
        <v>0.4</v>
      </c>
      <c r="J591">
        <f>1/Table1[[#This Row],[odds_ft_home_team_win]]-Table1[[#This Row],[Margin]]</f>
        <v>0.39417989417989419</v>
      </c>
      <c r="K591">
        <f>1/Table1[[#This Row],[odds_ft_draw]]-Table1[[#This Row],[Margin]]</f>
        <v>0.29497354497354494</v>
      </c>
      <c r="L591">
        <f>1/Table1[[#This Row],[odds_ft_away_team_win]]-Table1[[#This Row],[Margin]]</f>
        <v>0.31084656084656082</v>
      </c>
      <c r="M591">
        <v>9</v>
      </c>
      <c r="N591">
        <v>1.75</v>
      </c>
      <c r="O591">
        <v>1.33</v>
      </c>
      <c r="P591">
        <v>1.59</v>
      </c>
      <c r="Q591">
        <v>1.63</v>
      </c>
      <c r="R591" t="str" cm="1">
        <f t="array" ref="R5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91">
        <v>0</v>
      </c>
      <c r="T591">
        <v>2</v>
      </c>
      <c r="U591">
        <v>2</v>
      </c>
      <c r="V591">
        <v>0</v>
      </c>
      <c r="W591">
        <v>0</v>
      </c>
      <c r="X591">
        <v>0</v>
      </c>
      <c r="Z591" t="s">
        <v>1106</v>
      </c>
      <c r="AA591">
        <v>1</v>
      </c>
      <c r="AB591">
        <v>9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7</v>
      </c>
      <c r="AL591">
        <v>13</v>
      </c>
      <c r="AM591">
        <v>3</v>
      </c>
      <c r="AN591">
        <v>6</v>
      </c>
      <c r="AO591">
        <v>4</v>
      </c>
      <c r="AP591">
        <v>7</v>
      </c>
      <c r="AQ591">
        <v>18</v>
      </c>
      <c r="AR591">
        <v>9</v>
      </c>
      <c r="AS591">
        <v>46</v>
      </c>
      <c r="AT591">
        <v>54</v>
      </c>
      <c r="AU591">
        <v>1.1100000000000001</v>
      </c>
      <c r="AV591">
        <v>1.53</v>
      </c>
      <c r="AW591">
        <v>2.33</v>
      </c>
      <c r="AX591">
        <v>55</v>
      </c>
      <c r="AY591">
        <v>71</v>
      </c>
      <c r="AZ591">
        <v>42</v>
      </c>
      <c r="BA591">
        <v>21</v>
      </c>
      <c r="BB591">
        <v>17</v>
      </c>
      <c r="BC591">
        <v>29</v>
      </c>
      <c r="BD591">
        <v>75</v>
      </c>
      <c r="BE591">
        <v>21</v>
      </c>
      <c r="BF591">
        <v>75</v>
      </c>
      <c r="BG591">
        <v>9.17</v>
      </c>
      <c r="BH591">
        <v>4.41</v>
      </c>
      <c r="BI591">
        <v>2.4</v>
      </c>
      <c r="BJ591">
        <v>3.15</v>
      </c>
      <c r="BK591">
        <v>3</v>
      </c>
      <c r="BL591">
        <f>(1/Table1[[#This Row],[odds_ft_home_team_win]]+1/Table1[[#This Row],[odds_ft_draw]]+1/Table1[[#This Row],[odds_ft_away_team_win]]-1)/3</f>
        <v>2.2486772486772482E-2</v>
      </c>
      <c r="BM591">
        <v>1.36</v>
      </c>
      <c r="BN591">
        <v>2</v>
      </c>
      <c r="BO591">
        <v>3.3</v>
      </c>
      <c r="BP591">
        <v>6.5</v>
      </c>
      <c r="BQ591">
        <v>1.8</v>
      </c>
      <c r="BR591">
        <v>1.95</v>
      </c>
      <c r="BS591" t="s">
        <v>110</v>
      </c>
      <c r="BT591">
        <f>VLOOKUP(Table1[[#This Row],[Reference]],metron,8,FALSE)</f>
        <v>1.5181603563290151</v>
      </c>
      <c r="BU591">
        <f>VLOOKUP(Table1[[#This Row],[Reference]],metron,9,FALSE)</f>
        <v>1.1952730370775513</v>
      </c>
      <c r="BV591">
        <f>VLOOKUP(Table1[[#This Row],[Reference]],metron,10,FALSE)</f>
        <v>2.4956155335383219</v>
      </c>
      <c r="BW591">
        <f>VLOOKUP(Table1[[#This Row],[Reference]],metron,11,FALSE)</f>
        <v>1.344038264434575</v>
      </c>
      <c r="BX591">
        <f>VLOOKUP(Table1[[#This Row],[Reference]],metron,12,FALSE)</f>
        <v>1.1515772691037469</v>
      </c>
      <c r="BY591" s="6">
        <f>VLOOKUP(Table1[[#This Row],[Reference]],metron,13,FALSE)</f>
        <v>0.59936225942375587</v>
      </c>
      <c r="BZ591" s="6">
        <f>VLOOKUP(Table1[[#This Row],[Reference]],metron,14,FALSE)</f>
        <v>0.50723152260562576</v>
      </c>
      <c r="CA591" s="6">
        <f>VLOOKUP(Table1[[#This Row],[Reference]],metron,15,FALSE)</f>
        <v>11.99278846153846</v>
      </c>
      <c r="CB591" s="6">
        <f>VLOOKUP(Table1[[#This Row],[Reference]],metron,16,FALSE)</f>
        <v>10.0277534965035</v>
      </c>
      <c r="CC591" s="6">
        <f>VLOOKUP(Table1[[#This Row],[Reference]],metron,17,FALSE)</f>
        <v>5.2857459543338514</v>
      </c>
      <c r="CD591" s="6">
        <f>VLOOKUP(Table1[[#This Row],[Reference]],metron,18,FALSE)</f>
        <v>4.4067834183107957</v>
      </c>
      <c r="CE591" s="6">
        <f>VLOOKUP(Table1[[#This Row],[Reference]],metron,19,FALSE)</f>
        <v>6.7070425072046085</v>
      </c>
      <c r="CF591" s="6">
        <f>VLOOKUP(Table1[[#This Row],[Reference]],metron,20,FALSE)</f>
        <v>5.6209700781927046</v>
      </c>
      <c r="CG591" s="6">
        <f>VLOOKUP(Table1[[#This Row],[Reference]],metron,21,FALSE)</f>
        <v>13.04463690872752</v>
      </c>
      <c r="CH591" s="6">
        <f>VLOOKUP(Table1[[#This Row],[Reference]],metron,22,FALSE)</f>
        <v>13.49811236953142</v>
      </c>
      <c r="CI591" s="6">
        <f>VLOOKUP(Table1[[#This Row],[Reference]],metron,23,FALSE)</f>
        <v>1.5836526181353769</v>
      </c>
      <c r="CJ591" s="6">
        <f>VLOOKUP(Table1[[#This Row],[Reference]],metron,24,FALSE)</f>
        <v>1.8744146445295871</v>
      </c>
      <c r="CK591" s="6">
        <f>VLOOKUP(Table1[[#This Row],[Reference]],metron,25,FALSE)</f>
        <v>8.5994040017028525E-2</v>
      </c>
      <c r="CL591" s="6">
        <f>VLOOKUP(Table1[[#This Row],[Reference]],metron,26,FALSE)</f>
        <v>0.13452532992762881</v>
      </c>
    </row>
    <row r="592" spans="1:90" x14ac:dyDescent="0.45">
      <c r="A592" t="s">
        <v>1256</v>
      </c>
      <c r="B592">
        <v>1614906000</v>
      </c>
      <c r="C592" s="23" t="s">
        <v>1107</v>
      </c>
      <c r="D592" t="s">
        <v>65</v>
      </c>
      <c r="E592" t="s">
        <v>66</v>
      </c>
      <c r="F592" t="s">
        <v>72</v>
      </c>
      <c r="G592" t="s">
        <v>84</v>
      </c>
      <c r="H592" t="s">
        <v>122</v>
      </c>
      <c r="I592">
        <f>MROUND(Table1[[#This Row],[ProbH]]*100,2)/100</f>
        <v>0.28000000000000003</v>
      </c>
      <c r="J592">
        <f>1/Table1[[#This Row],[odds_ft_home_team_win]]-Table1[[#This Row],[Margin]]</f>
        <v>0.28769841269841273</v>
      </c>
      <c r="K592">
        <f>1/Table1[[#This Row],[odds_ft_draw]]-Table1[[#This Row],[Margin]]</f>
        <v>0.29265873015873017</v>
      </c>
      <c r="L592">
        <f>1/Table1[[#This Row],[odds_ft_away_team_win]]-Table1[[#This Row],[Margin]]</f>
        <v>0.41964285714285715</v>
      </c>
      <c r="M592">
        <v>9</v>
      </c>
      <c r="N592">
        <v>1.42</v>
      </c>
      <c r="O592">
        <v>1.29</v>
      </c>
      <c r="P592">
        <v>1.29</v>
      </c>
      <c r="Q592">
        <v>1.38</v>
      </c>
      <c r="R592" t="str" cm="1">
        <f t="array" ref="R5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2">
        <v>2</v>
      </c>
      <c r="T592">
        <v>2</v>
      </c>
      <c r="U592">
        <v>4</v>
      </c>
      <c r="V592">
        <v>2</v>
      </c>
      <c r="W592">
        <v>1</v>
      </c>
      <c r="X592">
        <v>1</v>
      </c>
      <c r="Y592" t="s">
        <v>1108</v>
      </c>
      <c r="Z592" t="s">
        <v>1109</v>
      </c>
      <c r="AA592">
        <v>4</v>
      </c>
      <c r="AB592">
        <v>5</v>
      </c>
      <c r="AC592">
        <v>2</v>
      </c>
      <c r="AD592">
        <v>0</v>
      </c>
      <c r="AE592">
        <v>2</v>
      </c>
      <c r="AF592">
        <v>0</v>
      </c>
      <c r="AG592">
        <v>0</v>
      </c>
      <c r="AH592">
        <v>2</v>
      </c>
      <c r="AI592">
        <v>1</v>
      </c>
      <c r="AJ592">
        <v>1</v>
      </c>
      <c r="AK592">
        <v>15</v>
      </c>
      <c r="AL592">
        <v>20</v>
      </c>
      <c r="AM592">
        <v>4</v>
      </c>
      <c r="AN592">
        <v>8</v>
      </c>
      <c r="AO592">
        <v>11</v>
      </c>
      <c r="AP592">
        <v>12</v>
      </c>
      <c r="AQ592">
        <v>10</v>
      </c>
      <c r="AR592">
        <v>12</v>
      </c>
      <c r="AS592">
        <v>53</v>
      </c>
      <c r="AT592">
        <v>47</v>
      </c>
      <c r="AU592">
        <v>1.49</v>
      </c>
      <c r="AV592">
        <v>2.14</v>
      </c>
      <c r="AW592">
        <v>1.88</v>
      </c>
      <c r="AX592">
        <v>36</v>
      </c>
      <c r="AY592">
        <v>63</v>
      </c>
      <c r="AZ592">
        <v>24</v>
      </c>
      <c r="BA592">
        <v>8</v>
      </c>
      <c r="BB592">
        <v>4</v>
      </c>
      <c r="BC592">
        <v>23</v>
      </c>
      <c r="BD592">
        <v>67</v>
      </c>
      <c r="BE592">
        <v>23</v>
      </c>
      <c r="BF592">
        <v>66</v>
      </c>
      <c r="BG592">
        <v>10.36</v>
      </c>
      <c r="BH592">
        <v>4.3899999999999997</v>
      </c>
      <c r="BI592">
        <v>3.2</v>
      </c>
      <c r="BJ592">
        <v>3.15</v>
      </c>
      <c r="BK592">
        <v>2.25</v>
      </c>
      <c r="BL592">
        <f>(1/Table1[[#This Row],[odds_ft_home_team_win]]+1/Table1[[#This Row],[odds_ft_draw]]+1/Table1[[#This Row],[odds_ft_away_team_win]]-1)/3</f>
        <v>2.4801587301587286E-2</v>
      </c>
      <c r="BM592">
        <v>1.45</v>
      </c>
      <c r="BN592">
        <v>2.25</v>
      </c>
      <c r="BO592">
        <v>4.05</v>
      </c>
      <c r="BP592">
        <v>8.25</v>
      </c>
      <c r="BQ592">
        <v>2.0499999999999998</v>
      </c>
      <c r="BR592">
        <v>1.74</v>
      </c>
      <c r="BS592" t="s">
        <v>76</v>
      </c>
      <c r="BT592">
        <f>VLOOKUP(Table1[[#This Row],[Reference]],metron,8,FALSE)</f>
        <v>1.1529533168233341</v>
      </c>
      <c r="BU592">
        <f>VLOOKUP(Table1[[#This Row],[Reference]],metron,9,FALSE)</f>
        <v>1.5628535554286829</v>
      </c>
      <c r="BV592">
        <f>VLOOKUP(Table1[[#This Row],[Reference]],metron,10,FALSE)</f>
        <v>2.5445607358071678</v>
      </c>
      <c r="BW592">
        <f>VLOOKUP(Table1[[#This Row],[Reference]],metron,11,FALSE)</f>
        <v>1.128766254360926</v>
      </c>
      <c r="BX592">
        <f>VLOOKUP(Table1[[#This Row],[Reference]],metron,12,FALSE)</f>
        <v>1.415794481446242</v>
      </c>
      <c r="BY592" s="6">
        <f>VLOOKUP(Table1[[#This Row],[Reference]],metron,13,FALSE)</f>
        <v>0.49635267998731369</v>
      </c>
      <c r="BZ592" s="6">
        <f>VLOOKUP(Table1[[#This Row],[Reference]],metron,14,FALSE)</f>
        <v>0.61084681255946716</v>
      </c>
      <c r="CA592" s="6">
        <f>VLOOKUP(Table1[[#This Row],[Reference]],metron,15,FALSE)</f>
        <v>11.04442036836403</v>
      </c>
      <c r="CB592" s="6">
        <f>VLOOKUP(Table1[[#This Row],[Reference]],metron,16,FALSE)</f>
        <v>11.38840736728061</v>
      </c>
      <c r="CC592" s="6">
        <f>VLOOKUP(Table1[[#This Row],[Reference]],metron,17,FALSE)</f>
        <v>4.5379574003276897</v>
      </c>
      <c r="CD592" s="6">
        <f>VLOOKUP(Table1[[#This Row],[Reference]],metron,18,FALSE)</f>
        <v>4.8481703986892413</v>
      </c>
      <c r="CE592" s="6">
        <f>VLOOKUP(Table1[[#This Row],[Reference]],metron,19,FALSE)</f>
        <v>6.5064629680363399</v>
      </c>
      <c r="CF592" s="6">
        <f>VLOOKUP(Table1[[#This Row],[Reference]],metron,20,FALSE)</f>
        <v>6.540236968591369</v>
      </c>
      <c r="CG592" s="6">
        <f>VLOOKUP(Table1[[#This Row],[Reference]],metron,21,FALSE)</f>
        <v>13.117582417582421</v>
      </c>
      <c r="CH592" s="6">
        <f>VLOOKUP(Table1[[#This Row],[Reference]],metron,22,FALSE)</f>
        <v>13.28241758241758</v>
      </c>
      <c r="CI592" s="6">
        <f>VLOOKUP(Table1[[#This Row],[Reference]],metron,23,FALSE)</f>
        <v>1.792592592592593</v>
      </c>
      <c r="CJ592" s="6">
        <f>VLOOKUP(Table1[[#This Row],[Reference]],metron,24,FALSE)</f>
        <v>1.806980433632998</v>
      </c>
      <c r="CK592" s="6">
        <f>VLOOKUP(Table1[[#This Row],[Reference]],metron,25,FALSE)</f>
        <v>0.1047065044949762</v>
      </c>
      <c r="CL592" s="6">
        <f>VLOOKUP(Table1[[#This Row],[Reference]],metron,26,FALSE)</f>
        <v>0.1073506081438392</v>
      </c>
    </row>
    <row r="593" spans="1:90" x14ac:dyDescent="0.45">
      <c r="A593" t="s">
        <v>1256</v>
      </c>
      <c r="B593">
        <v>1614913200</v>
      </c>
      <c r="C593" s="23" t="s">
        <v>1110</v>
      </c>
      <c r="D593" t="s">
        <v>65</v>
      </c>
      <c r="E593" t="s">
        <v>66</v>
      </c>
      <c r="F593" t="s">
        <v>96</v>
      </c>
      <c r="G593" t="s">
        <v>73</v>
      </c>
      <c r="H593" t="s">
        <v>80</v>
      </c>
      <c r="I593">
        <f>MROUND(Table1[[#This Row],[ProbH]]*100,2)/100</f>
        <v>0.28000000000000003</v>
      </c>
      <c r="J593">
        <f>1/Table1[[#This Row],[odds_ft_home_team_win]]-Table1[[#This Row],[Margin]]</f>
        <v>0.27930467465351183</v>
      </c>
      <c r="K593">
        <f>1/Table1[[#This Row],[odds_ft_draw]]-Table1[[#This Row],[Margin]]</f>
        <v>0.27930467465351183</v>
      </c>
      <c r="L593">
        <f>1/Table1[[#This Row],[odds_ft_away_team_win]]-Table1[[#This Row],[Margin]]</f>
        <v>0.44139065069297623</v>
      </c>
      <c r="M593">
        <v>9</v>
      </c>
      <c r="N593">
        <v>1.87</v>
      </c>
      <c r="O593">
        <v>0.83</v>
      </c>
      <c r="P593">
        <v>1.65</v>
      </c>
      <c r="Q593">
        <v>0.8</v>
      </c>
      <c r="R593" t="str" cm="1">
        <f t="array" ref="R5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70</v>
      </c>
      <c r="AA593">
        <v>5</v>
      </c>
      <c r="AB593">
        <v>3</v>
      </c>
      <c r="AC593">
        <v>6</v>
      </c>
      <c r="AD593">
        <v>0</v>
      </c>
      <c r="AE593">
        <v>2</v>
      </c>
      <c r="AF593">
        <v>0</v>
      </c>
      <c r="AG593">
        <v>2</v>
      </c>
      <c r="AH593">
        <v>4</v>
      </c>
      <c r="AI593">
        <v>1</v>
      </c>
      <c r="AJ593">
        <v>1</v>
      </c>
      <c r="AK593">
        <v>12</v>
      </c>
      <c r="AL593">
        <v>21</v>
      </c>
      <c r="AM593">
        <v>4</v>
      </c>
      <c r="AN593">
        <v>7</v>
      </c>
      <c r="AO593">
        <v>8</v>
      </c>
      <c r="AP593">
        <v>14</v>
      </c>
      <c r="AQ593">
        <v>22</v>
      </c>
      <c r="AR593">
        <v>4</v>
      </c>
      <c r="AS593">
        <v>47</v>
      </c>
      <c r="AT593">
        <v>53</v>
      </c>
      <c r="AU593">
        <v>1.28</v>
      </c>
      <c r="AV593">
        <v>2.11</v>
      </c>
      <c r="AW593">
        <v>2.4</v>
      </c>
      <c r="AX593">
        <v>53</v>
      </c>
      <c r="AY593">
        <v>78</v>
      </c>
      <c r="AZ593">
        <v>45</v>
      </c>
      <c r="BA593">
        <v>22</v>
      </c>
      <c r="BB593">
        <v>7</v>
      </c>
      <c r="BC593">
        <v>23</v>
      </c>
      <c r="BD593">
        <v>72</v>
      </c>
      <c r="BE593">
        <v>45</v>
      </c>
      <c r="BF593">
        <v>81</v>
      </c>
      <c r="BG593">
        <v>10.94</v>
      </c>
      <c r="BH593">
        <v>4.58</v>
      </c>
      <c r="BI593">
        <v>3.3</v>
      </c>
      <c r="BJ593">
        <v>3.3</v>
      </c>
      <c r="BK593">
        <v>2.15</v>
      </c>
      <c r="BL593">
        <f>(1/Table1[[#This Row],[odds_ft_home_team_win]]+1/Table1[[#This Row],[odds_ft_draw]]+1/Table1[[#This Row],[odds_ft_away_team_win]]-1)/3</f>
        <v>2.3725628376791191E-2</v>
      </c>
      <c r="BM593">
        <v>1.39</v>
      </c>
      <c r="BN593">
        <v>2.1</v>
      </c>
      <c r="BO593">
        <v>3.6</v>
      </c>
      <c r="BP593">
        <v>7.25</v>
      </c>
      <c r="BQ593">
        <v>1.91</v>
      </c>
      <c r="BR593">
        <v>1.83</v>
      </c>
      <c r="BS593" t="s">
        <v>99</v>
      </c>
      <c r="BT593">
        <f>VLOOKUP(Table1[[#This Row],[Reference]],metron,8,FALSE)</f>
        <v>1.1529533168233341</v>
      </c>
      <c r="BU593">
        <f>VLOOKUP(Table1[[#This Row],[Reference]],metron,9,FALSE)</f>
        <v>1.5628535554286829</v>
      </c>
      <c r="BV593">
        <f>VLOOKUP(Table1[[#This Row],[Reference]],metron,10,FALSE)</f>
        <v>2.5445607358071678</v>
      </c>
      <c r="BW593">
        <f>VLOOKUP(Table1[[#This Row],[Reference]],metron,11,FALSE)</f>
        <v>1.128766254360926</v>
      </c>
      <c r="BX593">
        <f>VLOOKUP(Table1[[#This Row],[Reference]],metron,12,FALSE)</f>
        <v>1.415794481446242</v>
      </c>
      <c r="BY593" s="6">
        <f>VLOOKUP(Table1[[#This Row],[Reference]],metron,13,FALSE)</f>
        <v>0.49635267998731369</v>
      </c>
      <c r="BZ593" s="6">
        <f>VLOOKUP(Table1[[#This Row],[Reference]],metron,14,FALSE)</f>
        <v>0.61084681255946716</v>
      </c>
      <c r="CA593" s="6">
        <f>VLOOKUP(Table1[[#This Row],[Reference]],metron,15,FALSE)</f>
        <v>11.04442036836403</v>
      </c>
      <c r="CB593" s="6">
        <f>VLOOKUP(Table1[[#This Row],[Reference]],metron,16,FALSE)</f>
        <v>11.38840736728061</v>
      </c>
      <c r="CC593" s="6">
        <f>VLOOKUP(Table1[[#This Row],[Reference]],metron,17,FALSE)</f>
        <v>4.5379574003276897</v>
      </c>
      <c r="CD593" s="6">
        <f>VLOOKUP(Table1[[#This Row],[Reference]],metron,18,FALSE)</f>
        <v>4.8481703986892413</v>
      </c>
      <c r="CE593" s="6">
        <f>VLOOKUP(Table1[[#This Row],[Reference]],metron,19,FALSE)</f>
        <v>6.5064629680363399</v>
      </c>
      <c r="CF593" s="6">
        <f>VLOOKUP(Table1[[#This Row],[Reference]],metron,20,FALSE)</f>
        <v>6.540236968591369</v>
      </c>
      <c r="CG593" s="6">
        <f>VLOOKUP(Table1[[#This Row],[Reference]],metron,21,FALSE)</f>
        <v>13.117582417582421</v>
      </c>
      <c r="CH593" s="6">
        <f>VLOOKUP(Table1[[#This Row],[Reference]],metron,22,FALSE)</f>
        <v>13.28241758241758</v>
      </c>
      <c r="CI593" s="6">
        <f>VLOOKUP(Table1[[#This Row],[Reference]],metron,23,FALSE)</f>
        <v>1.792592592592593</v>
      </c>
      <c r="CJ593" s="6">
        <f>VLOOKUP(Table1[[#This Row],[Reference]],metron,24,FALSE)</f>
        <v>1.806980433632998</v>
      </c>
      <c r="CK593" s="6">
        <f>VLOOKUP(Table1[[#This Row],[Reference]],metron,25,FALSE)</f>
        <v>0.1047065044949762</v>
      </c>
      <c r="CL593" s="6">
        <f>VLOOKUP(Table1[[#This Row],[Reference]],metron,26,FALSE)</f>
        <v>0.1073506081438392</v>
      </c>
    </row>
    <row r="594" spans="1:90" x14ac:dyDescent="0.45">
      <c r="A594" t="s">
        <v>1256</v>
      </c>
      <c r="B594">
        <v>1614994200</v>
      </c>
      <c r="C594" s="23" t="s">
        <v>1111</v>
      </c>
      <c r="D594" t="s">
        <v>65</v>
      </c>
      <c r="E594" t="s">
        <v>66</v>
      </c>
      <c r="F594" t="s">
        <v>91</v>
      </c>
      <c r="G594" t="s">
        <v>79</v>
      </c>
      <c r="H594" t="s">
        <v>130</v>
      </c>
      <c r="I594">
        <f>MROUND(Table1[[#This Row],[ProbH]]*100,2)/100</f>
        <v>0.46</v>
      </c>
      <c r="J594">
        <f>1/Table1[[#This Row],[odds_ft_home_team_win]]-Table1[[#This Row],[Margin]]</f>
        <v>0.46245815399330464</v>
      </c>
      <c r="K594">
        <f>1/Table1[[#This Row],[odds_ft_draw]]-Table1[[#This Row],[Margin]]</f>
        <v>0.26877092300334765</v>
      </c>
      <c r="L594">
        <f>1/Table1[[#This Row],[odds_ft_away_team_win]]-Table1[[#This Row],[Margin]]</f>
        <v>0.26877092300334765</v>
      </c>
      <c r="M594">
        <v>10</v>
      </c>
      <c r="N594">
        <v>1.23</v>
      </c>
      <c r="O594">
        <v>0.64</v>
      </c>
      <c r="P594">
        <v>1</v>
      </c>
      <c r="Q594">
        <v>0.55000000000000004</v>
      </c>
      <c r="R594" t="str" cm="1">
        <f t="array" ref="R5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AA594">
        <v>5</v>
      </c>
      <c r="AB594">
        <v>5</v>
      </c>
      <c r="AC594">
        <v>1</v>
      </c>
      <c r="AD594">
        <v>0</v>
      </c>
      <c r="AE594">
        <v>3</v>
      </c>
      <c r="AF594">
        <v>0</v>
      </c>
      <c r="AG594">
        <v>1</v>
      </c>
      <c r="AH594">
        <v>0</v>
      </c>
      <c r="AI594">
        <v>1</v>
      </c>
      <c r="AJ594">
        <v>2</v>
      </c>
      <c r="AK594">
        <v>10</v>
      </c>
      <c r="AL594">
        <v>16</v>
      </c>
      <c r="AM594">
        <v>2</v>
      </c>
      <c r="AN594">
        <v>7</v>
      </c>
      <c r="AO594">
        <v>8</v>
      </c>
      <c r="AP594">
        <v>9</v>
      </c>
      <c r="AQ594">
        <v>21</v>
      </c>
      <c r="AR594">
        <v>10</v>
      </c>
      <c r="AS594">
        <v>46</v>
      </c>
      <c r="AT594">
        <v>54</v>
      </c>
      <c r="AU594">
        <v>1.1200000000000001</v>
      </c>
      <c r="AV594">
        <v>1.78</v>
      </c>
      <c r="AW594">
        <v>3.11</v>
      </c>
      <c r="AX594">
        <v>78</v>
      </c>
      <c r="AY594">
        <v>86</v>
      </c>
      <c r="AZ594">
        <v>67</v>
      </c>
      <c r="BA594">
        <v>41</v>
      </c>
      <c r="BB594">
        <v>22</v>
      </c>
      <c r="BC594">
        <v>71</v>
      </c>
      <c r="BD594">
        <v>90</v>
      </c>
      <c r="BE594">
        <v>30</v>
      </c>
      <c r="BF594">
        <v>70</v>
      </c>
      <c r="BG594">
        <v>10.08</v>
      </c>
      <c r="BH594">
        <v>5.94</v>
      </c>
      <c r="BI594">
        <v>2.0499999999999998</v>
      </c>
      <c r="BJ594">
        <v>3.4</v>
      </c>
      <c r="BK594">
        <v>3.4</v>
      </c>
      <c r="BL594">
        <f>(1/Table1[[#This Row],[odds_ft_home_team_win]]+1/Table1[[#This Row],[odds_ft_draw]]+1/Table1[[#This Row],[odds_ft_away_team_win]]-1)/3</f>
        <v>2.5346724055475889E-2</v>
      </c>
      <c r="BM594">
        <v>1.29</v>
      </c>
      <c r="BN594">
        <v>1.91</v>
      </c>
      <c r="BO594">
        <v>3.1</v>
      </c>
      <c r="BP594">
        <v>5.5</v>
      </c>
      <c r="BQ594">
        <v>1.69</v>
      </c>
      <c r="BR594">
        <v>2.1</v>
      </c>
      <c r="BS594" t="s">
        <v>144</v>
      </c>
      <c r="BT594">
        <f>VLOOKUP(Table1[[#This Row],[Reference]],metron,8,FALSE)</f>
        <v>1.6955772349985931</v>
      </c>
      <c r="BU594">
        <f>VLOOKUP(Table1[[#This Row],[Reference]],metron,9,FALSE)</f>
        <v>1.0239029519551039</v>
      </c>
      <c r="BV594">
        <f>VLOOKUP(Table1[[#This Row],[Reference]],metron,10,FALSE)</f>
        <v>2.5405629139072849</v>
      </c>
      <c r="BW594">
        <f>VLOOKUP(Table1[[#This Row],[Reference]],metron,11,FALSE)</f>
        <v>1.4888836329233679</v>
      </c>
      <c r="BX594">
        <f>VLOOKUP(Table1[[#This Row],[Reference]],metron,12,FALSE)</f>
        <v>1.0516792809839171</v>
      </c>
      <c r="BY594" s="6">
        <f>VLOOKUP(Table1[[#This Row],[Reference]],metron,13,FALSE)</f>
        <v>0.64581362346263005</v>
      </c>
      <c r="BZ594" s="6">
        <f>VLOOKUP(Table1[[#This Row],[Reference]],metron,14,FALSE)</f>
        <v>0.45364238410596031</v>
      </c>
      <c r="CA594" s="6">
        <f>VLOOKUP(Table1[[#This Row],[Reference]],metron,15,FALSE)</f>
        <v>12.686892177589851</v>
      </c>
      <c r="CB594" s="6">
        <f>VLOOKUP(Table1[[#This Row],[Reference]],metron,16,FALSE)</f>
        <v>9.8059196617336148</v>
      </c>
      <c r="CC594" s="6">
        <f>VLOOKUP(Table1[[#This Row],[Reference]],metron,17,FALSE)</f>
        <v>5.3198121263877027</v>
      </c>
      <c r="CD594" s="6">
        <f>VLOOKUP(Table1[[#This Row],[Reference]],metron,18,FALSE)</f>
        <v>4.0954312553373189</v>
      </c>
      <c r="CE594" s="6">
        <f>VLOOKUP(Table1[[#This Row],[Reference]],metron,19,FALSE)</f>
        <v>7.3670800512021479</v>
      </c>
      <c r="CF594" s="6">
        <f>VLOOKUP(Table1[[#This Row],[Reference]],metron,20,FALSE)</f>
        <v>5.710488406396296</v>
      </c>
      <c r="CG594" s="6">
        <f>VLOOKUP(Table1[[#This Row],[Reference]],metron,21,FALSE)</f>
        <v>13.0488908033599</v>
      </c>
      <c r="CH594" s="6">
        <f>VLOOKUP(Table1[[#This Row],[Reference]],metron,22,FALSE)</f>
        <v>13.714839543398661</v>
      </c>
      <c r="CI594" s="6">
        <f>VLOOKUP(Table1[[#This Row],[Reference]],metron,23,FALSE)</f>
        <v>1.567523459812322</v>
      </c>
      <c r="CJ594" s="6">
        <f>VLOOKUP(Table1[[#This Row],[Reference]],metron,24,FALSE)</f>
        <v>1.951040391676867</v>
      </c>
      <c r="CK594" s="6">
        <f>VLOOKUP(Table1[[#This Row],[Reference]],metron,25,FALSE)</f>
        <v>8.3027335781313744E-2</v>
      </c>
      <c r="CL594" s="6">
        <f>VLOOKUP(Table1[[#This Row],[Reference]],metron,26,FALSE)</f>
        <v>0.13117095063239501</v>
      </c>
    </row>
    <row r="595" spans="1:90" x14ac:dyDescent="0.45">
      <c r="A595" t="s">
        <v>1256</v>
      </c>
      <c r="B595">
        <v>1615001400</v>
      </c>
      <c r="C595" s="23" t="s">
        <v>1112</v>
      </c>
      <c r="D595" t="s">
        <v>65</v>
      </c>
      <c r="E595" t="s">
        <v>66</v>
      </c>
      <c r="F595" t="s">
        <v>102</v>
      </c>
      <c r="G595" t="s">
        <v>107</v>
      </c>
      <c r="H595" t="s">
        <v>103</v>
      </c>
      <c r="I595">
        <f>MROUND(Table1[[#This Row],[ProbH]]*100,2)/100</f>
        <v>0.3</v>
      </c>
      <c r="J595">
        <f>1/Table1[[#This Row],[odds_ft_home_team_win]]-Table1[[#This Row],[Margin]]</f>
        <v>0.2982490037698734</v>
      </c>
      <c r="K595">
        <f>1/Table1[[#This Row],[odds_ft_draw]]-Table1[[#This Row],[Margin]]</f>
        <v>0.28318479256963242</v>
      </c>
      <c r="L595">
        <f>1/Table1[[#This Row],[odds_ft_away_team_win]]-Table1[[#This Row],[Margin]]</f>
        <v>0.41856620366049418</v>
      </c>
      <c r="M595">
        <v>10</v>
      </c>
      <c r="N595">
        <v>1.36</v>
      </c>
      <c r="O595">
        <v>1.58</v>
      </c>
      <c r="P595">
        <v>1.5</v>
      </c>
      <c r="Q595">
        <v>1.47</v>
      </c>
      <c r="R595" t="str" cm="1">
        <f t="array" ref="R5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5">
        <v>1</v>
      </c>
      <c r="T595">
        <v>1</v>
      </c>
      <c r="U595">
        <v>2</v>
      </c>
      <c r="V595">
        <v>2</v>
      </c>
      <c r="W595">
        <v>1</v>
      </c>
      <c r="X595">
        <v>1</v>
      </c>
      <c r="Y595">
        <v>23</v>
      </c>
      <c r="Z595">
        <v>11</v>
      </c>
      <c r="AA595">
        <v>4</v>
      </c>
      <c r="AB595">
        <v>5</v>
      </c>
      <c r="AC595">
        <v>4</v>
      </c>
      <c r="AD595">
        <v>0</v>
      </c>
      <c r="AE595">
        <v>2</v>
      </c>
      <c r="AF595">
        <v>0</v>
      </c>
      <c r="AG595">
        <v>1</v>
      </c>
      <c r="AH595">
        <v>3</v>
      </c>
      <c r="AI595">
        <v>0</v>
      </c>
      <c r="AJ595">
        <v>2</v>
      </c>
      <c r="AK595">
        <v>12</v>
      </c>
      <c r="AL595">
        <v>15</v>
      </c>
      <c r="AM595">
        <v>4</v>
      </c>
      <c r="AN595">
        <v>4</v>
      </c>
      <c r="AO595">
        <v>8</v>
      </c>
      <c r="AP595">
        <v>11</v>
      </c>
      <c r="AQ595">
        <v>14</v>
      </c>
      <c r="AR595">
        <v>13</v>
      </c>
      <c r="AS595">
        <v>41</v>
      </c>
      <c r="AT595">
        <v>59</v>
      </c>
      <c r="AU595">
        <v>1.22</v>
      </c>
      <c r="AV595">
        <v>1.55</v>
      </c>
      <c r="AW595">
        <v>2.5</v>
      </c>
      <c r="AX595">
        <v>46</v>
      </c>
      <c r="AY595">
        <v>74</v>
      </c>
      <c r="AZ595">
        <v>38</v>
      </c>
      <c r="BA595">
        <v>27</v>
      </c>
      <c r="BB595">
        <v>15</v>
      </c>
      <c r="BC595">
        <v>34</v>
      </c>
      <c r="BD595">
        <v>61</v>
      </c>
      <c r="BE595">
        <v>47</v>
      </c>
      <c r="BF595">
        <v>78</v>
      </c>
      <c r="BG595">
        <v>10.220000000000001</v>
      </c>
      <c r="BH595">
        <v>3.72</v>
      </c>
      <c r="BI595">
        <v>3.18</v>
      </c>
      <c r="BJ595">
        <v>3.34</v>
      </c>
      <c r="BK595">
        <v>2.2999999999999998</v>
      </c>
      <c r="BL595">
        <f>(1/Table1[[#This Row],[odds_ft_home_team_win]]+1/Table1[[#This Row],[odds_ft_draw]]+1/Table1[[#This Row],[odds_ft_away_team_win]]-1)/3</f>
        <v>1.6216405035158015E-2</v>
      </c>
      <c r="BM595">
        <v>1.36</v>
      </c>
      <c r="BN595">
        <v>2.13</v>
      </c>
      <c r="BO595">
        <v>3.75</v>
      </c>
      <c r="BP595">
        <v>7.75</v>
      </c>
      <c r="BQ595">
        <v>1.91</v>
      </c>
      <c r="BR595">
        <v>1.83</v>
      </c>
      <c r="BS595" t="s">
        <v>124</v>
      </c>
      <c r="BT595">
        <f>VLOOKUP(Table1[[#This Row],[Reference]],metron,8,FALSE)</f>
        <v>1.2142445227270171</v>
      </c>
      <c r="BU595">
        <f>VLOOKUP(Table1[[#This Row],[Reference]],metron,9,FALSE)</f>
        <v>1.4993969533036628</v>
      </c>
      <c r="BV595">
        <f>VLOOKUP(Table1[[#This Row],[Reference]],metron,10,FALSE)</f>
        <v>2.5726407816919519</v>
      </c>
      <c r="BW595">
        <f>VLOOKUP(Table1[[#This Row],[Reference]],metron,11,FALSE)</f>
        <v>1.1805091283106199</v>
      </c>
      <c r="BX595">
        <f>VLOOKUP(Table1[[#This Row],[Reference]],metron,12,FALSE)</f>
        <v>1.3921316533813319</v>
      </c>
      <c r="BY595" s="6">
        <f>VLOOKUP(Table1[[#This Row],[Reference]],metron,13,FALSE)</f>
        <v>0.5209673269873939</v>
      </c>
      <c r="BZ595" s="6">
        <f>VLOOKUP(Table1[[#This Row],[Reference]],metron,14,FALSE)</f>
        <v>0.61847182917417032</v>
      </c>
      <c r="CA595" s="6">
        <f>VLOOKUP(Table1[[#This Row],[Reference]],metron,15,FALSE)</f>
        <v>11.149200710479571</v>
      </c>
      <c r="CB595" s="6">
        <f>VLOOKUP(Table1[[#This Row],[Reference]],metron,16,FALSE)</f>
        <v>11.444049733570161</v>
      </c>
      <c r="CC595" s="6">
        <f>VLOOKUP(Table1[[#This Row],[Reference]],metron,17,FALSE)</f>
        <v>4.5257270693512304</v>
      </c>
      <c r="CD595" s="6">
        <f>VLOOKUP(Table1[[#This Row],[Reference]],metron,18,FALSE)</f>
        <v>4.8465324384787474</v>
      </c>
      <c r="CE595" s="6">
        <f>VLOOKUP(Table1[[#This Row],[Reference]],metron,19,FALSE)</f>
        <v>6.6234736411283404</v>
      </c>
      <c r="CF595" s="6">
        <f>VLOOKUP(Table1[[#This Row],[Reference]],metron,20,FALSE)</f>
        <v>6.5975172950914134</v>
      </c>
      <c r="CG595" s="6">
        <f>VLOOKUP(Table1[[#This Row],[Reference]],metron,21,FALSE)</f>
        <v>12.90081154192967</v>
      </c>
      <c r="CH595" s="6">
        <f>VLOOKUP(Table1[[#This Row],[Reference]],metron,22,FALSE)</f>
        <v>13.00360685302074</v>
      </c>
      <c r="CI595" s="6">
        <f>VLOOKUP(Table1[[#This Row],[Reference]],metron,23,FALSE)</f>
        <v>1.7502145922746779</v>
      </c>
      <c r="CJ595" s="6">
        <f>VLOOKUP(Table1[[#This Row],[Reference]],metron,24,FALSE)</f>
        <v>1.831402831402831</v>
      </c>
      <c r="CK595" s="6">
        <f>VLOOKUP(Table1[[#This Row],[Reference]],metron,25,FALSE)</f>
        <v>9.6525096525096526E-2</v>
      </c>
      <c r="CL595" s="6">
        <f>VLOOKUP(Table1[[#This Row],[Reference]],metron,26,FALSE)</f>
        <v>0.1244101244101244</v>
      </c>
    </row>
    <row r="596" spans="1:90" x14ac:dyDescent="0.45">
      <c r="A596" t="s">
        <v>1256</v>
      </c>
      <c r="B596">
        <v>1615071600</v>
      </c>
      <c r="C596" s="23" t="s">
        <v>1113</v>
      </c>
      <c r="D596" t="s">
        <v>65</v>
      </c>
      <c r="E596" t="s">
        <v>66</v>
      </c>
      <c r="F596" t="s">
        <v>97</v>
      </c>
      <c r="G596" t="s">
        <v>78</v>
      </c>
      <c r="H596" t="s">
        <v>69</v>
      </c>
      <c r="I596">
        <f>MROUND(Table1[[#This Row],[ProbH]]*100,2)/100</f>
        <v>0.5</v>
      </c>
      <c r="J596">
        <f>1/Table1[[#This Row],[odds_ft_home_team_win]]-Table1[[#This Row],[Margin]]</f>
        <v>0.50124136725238222</v>
      </c>
      <c r="K596">
        <f>1/Table1[[#This Row],[odds_ft_draw]]-Table1[[#This Row],[Margin]]</f>
        <v>0.26848500743071946</v>
      </c>
      <c r="L596">
        <f>1/Table1[[#This Row],[odds_ft_away_team_win]]-Table1[[#This Row],[Margin]]</f>
        <v>0.23027362531689835</v>
      </c>
      <c r="M596">
        <v>10</v>
      </c>
      <c r="N596">
        <v>0.85</v>
      </c>
      <c r="O596">
        <v>0.77</v>
      </c>
      <c r="P596">
        <v>1.21</v>
      </c>
      <c r="Q596">
        <v>0.59</v>
      </c>
      <c r="R596" t="str" cm="1">
        <f t="array" ref="R5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6">
        <v>2</v>
      </c>
      <c r="T596">
        <v>0</v>
      </c>
      <c r="U596">
        <v>2</v>
      </c>
      <c r="V596">
        <v>1</v>
      </c>
      <c r="W596">
        <v>1</v>
      </c>
      <c r="X596">
        <v>0</v>
      </c>
      <c r="Y596" t="s">
        <v>1073</v>
      </c>
      <c r="AA596">
        <v>6</v>
      </c>
      <c r="AB596">
        <v>1</v>
      </c>
      <c r="AC596">
        <v>0</v>
      </c>
      <c r="AD596">
        <v>0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15</v>
      </c>
      <c r="AL596">
        <v>6</v>
      </c>
      <c r="AM596">
        <v>8</v>
      </c>
      <c r="AN596">
        <v>2</v>
      </c>
      <c r="AO596">
        <v>7</v>
      </c>
      <c r="AP596">
        <v>4</v>
      </c>
      <c r="AQ596">
        <v>16</v>
      </c>
      <c r="AR596">
        <v>9</v>
      </c>
      <c r="AS596">
        <v>54</v>
      </c>
      <c r="AT596">
        <v>46</v>
      </c>
      <c r="AU596">
        <v>1.93</v>
      </c>
      <c r="AV596">
        <v>0.72</v>
      </c>
      <c r="AW596">
        <v>2.46</v>
      </c>
      <c r="AX596">
        <v>58</v>
      </c>
      <c r="AY596">
        <v>77</v>
      </c>
      <c r="AZ596">
        <v>39</v>
      </c>
      <c r="BA596">
        <v>20</v>
      </c>
      <c r="BB596">
        <v>12</v>
      </c>
      <c r="BC596">
        <v>35</v>
      </c>
      <c r="BD596">
        <v>73</v>
      </c>
      <c r="BE596">
        <v>35</v>
      </c>
      <c r="BF596">
        <v>89</v>
      </c>
      <c r="BG596">
        <v>9.08</v>
      </c>
      <c r="BH596">
        <v>5.46</v>
      </c>
      <c r="BI596">
        <v>1.86</v>
      </c>
      <c r="BJ596">
        <v>3.28</v>
      </c>
      <c r="BK596">
        <v>3.75</v>
      </c>
      <c r="BL596">
        <f>(1/Table1[[#This Row],[odds_ft_home_team_win]]+1/Table1[[#This Row],[odds_ft_draw]]+1/Table1[[#This Row],[odds_ft_away_team_win]]-1)/3</f>
        <v>3.6393041349768319E-2</v>
      </c>
      <c r="BM596">
        <v>1.33</v>
      </c>
      <c r="BN596">
        <v>1.95</v>
      </c>
      <c r="BO596">
        <v>3.55</v>
      </c>
      <c r="BP596">
        <v>7</v>
      </c>
      <c r="BQ596">
        <v>1.95</v>
      </c>
      <c r="BR596">
        <v>1.77</v>
      </c>
      <c r="BS596" t="s">
        <v>136</v>
      </c>
      <c r="BT596">
        <f>VLOOKUP(Table1[[#This Row],[Reference]],metron,8,FALSE)</f>
        <v>1.8001937313313046</v>
      </c>
      <c r="BU596">
        <f>VLOOKUP(Table1[[#This Row],[Reference]],metron,9,FALSE)</f>
        <v>0.9268512077832276</v>
      </c>
      <c r="BV596">
        <f>VLOOKUP(Table1[[#This Row],[Reference]],metron,10,FALSE)</f>
        <v>2.5202079886551649</v>
      </c>
      <c r="BW596">
        <f>VLOOKUP(Table1[[#This Row],[Reference]],metron,11,FALSE)</f>
        <v>1.5342708579532029</v>
      </c>
      <c r="BX596">
        <f>VLOOKUP(Table1[[#This Row],[Reference]],metron,12,FALSE)</f>
        <v>0.98593713070196176</v>
      </c>
      <c r="BY596" s="6">
        <f>VLOOKUP(Table1[[#This Row],[Reference]],metron,13,FALSE)</f>
        <v>0.67513590167809023</v>
      </c>
      <c r="BZ596" s="6">
        <f>VLOOKUP(Table1[[#This Row],[Reference]],metron,14,FALSE)</f>
        <v>0.4286727337194185</v>
      </c>
      <c r="CA596" s="6">
        <f>VLOOKUP(Table1[[#This Row],[Reference]],metron,15,FALSE)</f>
        <v>12.98669114272602</v>
      </c>
      <c r="CB596" s="6">
        <f>VLOOKUP(Table1[[#This Row],[Reference]],metron,16,FALSE)</f>
        <v>9.4167049105094076</v>
      </c>
      <c r="CC596" s="6">
        <f>VLOOKUP(Table1[[#This Row],[Reference]],metron,17,FALSE)</f>
        <v>5.6645716945996272</v>
      </c>
      <c r="CD596" s="6">
        <f>VLOOKUP(Table1[[#This Row],[Reference]],metron,18,FALSE)</f>
        <v>4.0242085661080074</v>
      </c>
      <c r="CE596" s="6">
        <f>VLOOKUP(Table1[[#This Row],[Reference]],metron,19,FALSE)</f>
        <v>7.3221194481263927</v>
      </c>
      <c r="CF596" s="6">
        <f>VLOOKUP(Table1[[#This Row],[Reference]],metron,20,FALSE)</f>
        <v>5.3924963444014002</v>
      </c>
      <c r="CG596" s="6">
        <f>VLOOKUP(Table1[[#This Row],[Reference]],metron,21,FALSE)</f>
        <v>12.508162313432839</v>
      </c>
      <c r="CH596" s="6">
        <f>VLOOKUP(Table1[[#This Row],[Reference]],metron,22,FALSE)</f>
        <v>13.36963619402985</v>
      </c>
      <c r="CI596" s="6">
        <f>VLOOKUP(Table1[[#This Row],[Reference]],metron,23,FALSE)</f>
        <v>1.4438014689517029</v>
      </c>
      <c r="CJ596" s="6">
        <f>VLOOKUP(Table1[[#This Row],[Reference]],metron,24,FALSE)</f>
        <v>1.9410193634542621</v>
      </c>
      <c r="CK596" s="6">
        <f>VLOOKUP(Table1[[#This Row],[Reference]],metron,25,FALSE)</f>
        <v>8.4130870242599604E-2</v>
      </c>
      <c r="CL596" s="6">
        <f>VLOOKUP(Table1[[#This Row],[Reference]],metron,26,FALSE)</f>
        <v>0.1275317160026708</v>
      </c>
    </row>
    <row r="597" spans="1:90" x14ac:dyDescent="0.45">
      <c r="A597" t="s">
        <v>1256</v>
      </c>
      <c r="B597">
        <v>1615078800</v>
      </c>
      <c r="C597" s="23" t="s">
        <v>1114</v>
      </c>
      <c r="D597" t="s">
        <v>65</v>
      </c>
      <c r="E597" t="s">
        <v>66</v>
      </c>
      <c r="F597" t="s">
        <v>68</v>
      </c>
      <c r="G597" t="s">
        <v>85</v>
      </c>
      <c r="H597" t="s">
        <v>92</v>
      </c>
      <c r="I597">
        <f>MROUND(Table1[[#This Row],[ProbH]]*100,2)/100</f>
        <v>0.44</v>
      </c>
      <c r="J597">
        <f>1/Table1[[#This Row],[odds_ft_home_team_win]]-Table1[[#This Row],[Margin]]</f>
        <v>0.44287516418919798</v>
      </c>
      <c r="K597">
        <f>1/Table1[[#This Row],[odds_ft_draw]]-Table1[[#This Row],[Margin]]</f>
        <v>0.30672492944741392</v>
      </c>
      <c r="L597">
        <f>1/Table1[[#This Row],[odds_ft_away_team_win]]-Table1[[#This Row],[Margin]]</f>
        <v>0.2503999063633881</v>
      </c>
      <c r="M597">
        <v>10</v>
      </c>
      <c r="N597">
        <v>2.33</v>
      </c>
      <c r="O597">
        <v>1.53</v>
      </c>
      <c r="P597">
        <v>2.37</v>
      </c>
      <c r="Q597">
        <v>1.5</v>
      </c>
      <c r="R597" t="str" cm="1">
        <f t="array" ref="R5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7">
        <v>2</v>
      </c>
      <c r="T597">
        <v>1</v>
      </c>
      <c r="U597">
        <v>3</v>
      </c>
      <c r="V597">
        <v>2</v>
      </c>
      <c r="W597">
        <v>1</v>
      </c>
      <c r="X597">
        <v>1</v>
      </c>
      <c r="Y597" t="s">
        <v>1115</v>
      </c>
      <c r="Z597">
        <v>1</v>
      </c>
      <c r="AA597">
        <v>3</v>
      </c>
      <c r="AB597">
        <v>3</v>
      </c>
      <c r="AC597">
        <v>2</v>
      </c>
      <c r="AD597">
        <v>0</v>
      </c>
      <c r="AE597">
        <v>2</v>
      </c>
      <c r="AF597">
        <v>0</v>
      </c>
      <c r="AG597">
        <v>1</v>
      </c>
      <c r="AH597">
        <v>1</v>
      </c>
      <c r="AI597">
        <v>0</v>
      </c>
      <c r="AJ597">
        <v>2</v>
      </c>
      <c r="AK597">
        <v>9</v>
      </c>
      <c r="AL597">
        <v>8</v>
      </c>
      <c r="AM597">
        <v>3</v>
      </c>
      <c r="AN597">
        <v>2</v>
      </c>
      <c r="AO597">
        <v>6</v>
      </c>
      <c r="AP597">
        <v>6</v>
      </c>
      <c r="AQ597">
        <v>13</v>
      </c>
      <c r="AR597">
        <v>16</v>
      </c>
      <c r="AS597">
        <v>39</v>
      </c>
      <c r="AT597">
        <v>61</v>
      </c>
      <c r="AU597">
        <v>1.05</v>
      </c>
      <c r="AV597">
        <v>0.93</v>
      </c>
      <c r="AW597">
        <v>2.44</v>
      </c>
      <c r="AX597">
        <v>50</v>
      </c>
      <c r="AY597">
        <v>77</v>
      </c>
      <c r="AZ597">
        <v>44</v>
      </c>
      <c r="BA597">
        <v>27</v>
      </c>
      <c r="BB597">
        <v>4</v>
      </c>
      <c r="BC597">
        <v>27</v>
      </c>
      <c r="BD597">
        <v>70</v>
      </c>
      <c r="BE597">
        <v>37</v>
      </c>
      <c r="BF597">
        <v>80</v>
      </c>
      <c r="BG597">
        <v>8.6</v>
      </c>
      <c r="BH597">
        <v>3.86</v>
      </c>
      <c r="BI597">
        <v>2.13</v>
      </c>
      <c r="BJ597">
        <v>3</v>
      </c>
      <c r="BK597">
        <v>3.61</v>
      </c>
      <c r="BL597">
        <f>(1/Table1[[#This Row],[odds_ft_home_team_win]]+1/Table1[[#This Row],[odds_ft_draw]]+1/Table1[[#This Row],[odds_ft_away_team_win]]-1)/3</f>
        <v>2.6608403885919413E-2</v>
      </c>
      <c r="BM597">
        <v>1.38</v>
      </c>
      <c r="BN597">
        <v>2</v>
      </c>
      <c r="BO597">
        <v>3.6</v>
      </c>
      <c r="BP597">
        <v>7</v>
      </c>
      <c r="BQ597">
        <v>1.8</v>
      </c>
      <c r="BR597">
        <v>1.91</v>
      </c>
      <c r="BS597" t="s">
        <v>116</v>
      </c>
      <c r="BT597">
        <f>VLOOKUP(Table1[[#This Row],[Reference]],metron,8,FALSE)</f>
        <v>1.6395459745305552</v>
      </c>
      <c r="BU597">
        <f>VLOOKUP(Table1[[#This Row],[Reference]],metron,9,FALSE)</f>
        <v>1.0758429359324786</v>
      </c>
      <c r="BV597">
        <f>VLOOKUP(Table1[[#This Row],[Reference]],metron,10,FALSE)</f>
        <v>2.4807646356033461</v>
      </c>
      <c r="BW597">
        <f>VLOOKUP(Table1[[#This Row],[Reference]],metron,11,FALSE)</f>
        <v>1.4140979689366791</v>
      </c>
      <c r="BX597">
        <f>VLOOKUP(Table1[[#This Row],[Reference]],metron,12,FALSE)</f>
        <v>1.0666666666666671</v>
      </c>
      <c r="BY597" s="6">
        <f>VLOOKUP(Table1[[#This Row],[Reference]],metron,13,FALSE)</f>
        <v>0.62712066905615294</v>
      </c>
      <c r="BZ597" s="6">
        <f>VLOOKUP(Table1[[#This Row],[Reference]],metron,14,FALSE)</f>
        <v>0.46009557945041818</v>
      </c>
      <c r="CA597" s="6">
        <f>VLOOKUP(Table1[[#This Row],[Reference]],metron,15,FALSE)</f>
        <v>12.56969280146722</v>
      </c>
      <c r="CB597" s="6">
        <f>VLOOKUP(Table1[[#This Row],[Reference]],metron,16,FALSE)</f>
        <v>9.8695552498853729</v>
      </c>
      <c r="CC597" s="6">
        <f>VLOOKUP(Table1[[#This Row],[Reference]],metron,17,FALSE)</f>
        <v>5.2754256787850897</v>
      </c>
      <c r="CD597" s="6">
        <f>VLOOKUP(Table1[[#This Row],[Reference]],metron,18,FALSE)</f>
        <v>4.1279337321675103</v>
      </c>
      <c r="CE597" s="6">
        <f>VLOOKUP(Table1[[#This Row],[Reference]],metron,19,FALSE)</f>
        <v>7.2942671226821298</v>
      </c>
      <c r="CF597" s="6">
        <f>VLOOKUP(Table1[[#This Row],[Reference]],metron,20,FALSE)</f>
        <v>5.7416215177178627</v>
      </c>
      <c r="CG597" s="6">
        <f>VLOOKUP(Table1[[#This Row],[Reference]],metron,21,FALSE)</f>
        <v>12.897246007868549</v>
      </c>
      <c r="CH597" s="6">
        <f>VLOOKUP(Table1[[#This Row],[Reference]],metron,22,FALSE)</f>
        <v>13.507058551261281</v>
      </c>
      <c r="CI597" s="6">
        <f>VLOOKUP(Table1[[#This Row],[Reference]],metron,23,FALSE)</f>
        <v>1.576522702104098</v>
      </c>
      <c r="CJ597" s="6">
        <f>VLOOKUP(Table1[[#This Row],[Reference]],metron,24,FALSE)</f>
        <v>1.917165005537099</v>
      </c>
      <c r="CK597" s="6">
        <f>VLOOKUP(Table1[[#This Row],[Reference]],metron,25,FALSE)</f>
        <v>8.4385382059800659E-2</v>
      </c>
      <c r="CL597" s="6">
        <f>VLOOKUP(Table1[[#This Row],[Reference]],metron,26,FALSE)</f>
        <v>0.1233665559246955</v>
      </c>
    </row>
    <row r="598" spans="1:90" x14ac:dyDescent="0.45">
      <c r="A598" t="s">
        <v>1256</v>
      </c>
      <c r="B598">
        <v>1615079160</v>
      </c>
      <c r="C598" s="23" t="s">
        <v>1116</v>
      </c>
      <c r="D598" t="s">
        <v>65</v>
      </c>
      <c r="E598" t="s">
        <v>66</v>
      </c>
      <c r="F598" t="s">
        <v>101</v>
      </c>
      <c r="G598" t="s">
        <v>67</v>
      </c>
      <c r="H598" t="s">
        <v>108</v>
      </c>
      <c r="I598">
        <f>MROUND(Table1[[#This Row],[ProbH]]*100,2)/100</f>
        <v>0.66</v>
      </c>
      <c r="J598">
        <f>1/Table1[[#This Row],[odds_ft_home_team_win]]-Table1[[#This Row],[Margin]]</f>
        <v>0.66295655277157295</v>
      </c>
      <c r="K598">
        <f>1/Table1[[#This Row],[odds_ft_draw]]-Table1[[#This Row],[Margin]]</f>
        <v>0.21426523577946649</v>
      </c>
      <c r="L598">
        <f>1/Table1[[#This Row],[odds_ft_away_team_win]]-Table1[[#This Row],[Margin]]</f>
        <v>0.1227782114489606</v>
      </c>
      <c r="M598">
        <v>10</v>
      </c>
      <c r="N598">
        <v>1.92</v>
      </c>
      <c r="O598">
        <v>0.15</v>
      </c>
      <c r="P598">
        <v>1.79</v>
      </c>
      <c r="Q598">
        <v>0.17</v>
      </c>
      <c r="R598" t="str" cm="1">
        <f t="array" ref="R5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8">
        <v>2</v>
      </c>
      <c r="T598">
        <v>1</v>
      </c>
      <c r="U598">
        <v>3</v>
      </c>
      <c r="V598">
        <v>3</v>
      </c>
      <c r="W598">
        <v>2</v>
      </c>
      <c r="X598">
        <v>1</v>
      </c>
      <c r="Y598" t="s">
        <v>1117</v>
      </c>
      <c r="Z598">
        <v>27</v>
      </c>
      <c r="AA598">
        <v>5</v>
      </c>
      <c r="AB598">
        <v>3</v>
      </c>
      <c r="AC598">
        <v>1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0</v>
      </c>
      <c r="AJ598">
        <v>1</v>
      </c>
      <c r="AK598">
        <v>11</v>
      </c>
      <c r="AL598">
        <v>6</v>
      </c>
      <c r="AM598">
        <v>3</v>
      </c>
      <c r="AN598">
        <v>4</v>
      </c>
      <c r="AO598">
        <v>8</v>
      </c>
      <c r="AP598">
        <v>2</v>
      </c>
      <c r="AQ598">
        <v>12</v>
      </c>
      <c r="AR598">
        <v>12</v>
      </c>
      <c r="AS598">
        <v>49</v>
      </c>
      <c r="AT598">
        <v>51</v>
      </c>
      <c r="AU598">
        <v>1.21</v>
      </c>
      <c r="AV598">
        <v>0.93</v>
      </c>
      <c r="AW598">
        <v>2.79</v>
      </c>
      <c r="AX598">
        <v>65</v>
      </c>
      <c r="AY598">
        <v>76</v>
      </c>
      <c r="AZ598">
        <v>56</v>
      </c>
      <c r="BA598">
        <v>32</v>
      </c>
      <c r="BB598">
        <v>12</v>
      </c>
      <c r="BC598">
        <v>36</v>
      </c>
      <c r="BD598">
        <v>80</v>
      </c>
      <c r="BE598">
        <v>45</v>
      </c>
      <c r="BF598">
        <v>84</v>
      </c>
      <c r="BG598">
        <v>10.54</v>
      </c>
      <c r="BH598">
        <v>5</v>
      </c>
      <c r="BI598">
        <v>1.45</v>
      </c>
      <c r="BJ598">
        <v>4.1500000000000004</v>
      </c>
      <c r="BK598">
        <v>6.69</v>
      </c>
      <c r="BL598">
        <f>(1/Table1[[#This Row],[odds_ft_home_team_win]]+1/Table1[[#This Row],[odds_ft_draw]]+1/Table1[[#This Row],[odds_ft_away_team_win]]-1)/3</f>
        <v>2.6698619642220239E-2</v>
      </c>
      <c r="BM598">
        <v>1.3</v>
      </c>
      <c r="BN598">
        <v>1.89</v>
      </c>
      <c r="BO598">
        <v>3.4</v>
      </c>
      <c r="BP598">
        <v>6.75</v>
      </c>
      <c r="BQ598">
        <v>2.15</v>
      </c>
      <c r="BR598">
        <v>1.62</v>
      </c>
      <c r="BS598" t="s">
        <v>713</v>
      </c>
      <c r="BT598">
        <f>VLOOKUP(Table1[[#This Row],[Reference]],metron,8,FALSE)</f>
        <v>2.2311424831798083</v>
      </c>
      <c r="BU598">
        <f>VLOOKUP(Table1[[#This Row],[Reference]],metron,9,FALSE)</f>
        <v>0.55281092137037047</v>
      </c>
      <c r="BV598">
        <f>VLOOKUP(Table1[[#This Row],[Reference]],metron,10,FALSE)</f>
        <v>2.9251336898395728</v>
      </c>
      <c r="BW598">
        <f>VLOOKUP(Table1[[#This Row],[Reference]],metron,11,FALSE)</f>
        <v>2.089675030851502</v>
      </c>
      <c r="BX598">
        <f>VLOOKUP(Table1[[#This Row],[Reference]],metron,12,FALSE)</f>
        <v>0.8354586589880707</v>
      </c>
      <c r="BY598" s="6">
        <f>VLOOKUP(Table1[[#This Row],[Reference]],metron,13,FALSE)</f>
        <v>0.92472233648704238</v>
      </c>
      <c r="BZ598" s="6">
        <f>VLOOKUP(Table1[[#This Row],[Reference]],metron,14,FALSE)</f>
        <v>0.35252982311805842</v>
      </c>
      <c r="CA598" s="6">
        <f>VLOOKUP(Table1[[#This Row],[Reference]],metron,15,FALSE)</f>
        <v>15.366666666666671</v>
      </c>
      <c r="CB598" s="6">
        <f>VLOOKUP(Table1[[#This Row],[Reference]],metron,16,FALSE)</f>
        <v>8.5234848484848484</v>
      </c>
      <c r="CC598" s="6">
        <f>VLOOKUP(Table1[[#This Row],[Reference]],metron,17,FALSE)</f>
        <v>6.6873065015479876</v>
      </c>
      <c r="CD598" s="6">
        <f>VLOOKUP(Table1[[#This Row],[Reference]],metron,18,FALSE)</f>
        <v>3.3490712074303399</v>
      </c>
      <c r="CE598" s="6">
        <f>VLOOKUP(Table1[[#This Row],[Reference]],metron,19,FALSE)</f>
        <v>8.679360165118684</v>
      </c>
      <c r="CF598" s="6">
        <f>VLOOKUP(Table1[[#This Row],[Reference]],metron,20,FALSE)</f>
        <v>5.1744136410545085</v>
      </c>
      <c r="CG598" s="6">
        <f>VLOOKUP(Table1[[#This Row],[Reference]],metron,21,FALSE)</f>
        <v>12.62384615384615</v>
      </c>
      <c r="CH598" s="6">
        <f>VLOOKUP(Table1[[#This Row],[Reference]],metron,22,FALSE)</f>
        <v>13.844615384615381</v>
      </c>
      <c r="CI598" s="6">
        <f>VLOOKUP(Table1[[#This Row],[Reference]],metron,23,FALSE)</f>
        <v>1.369710467706013</v>
      </c>
      <c r="CJ598" s="6">
        <f>VLOOKUP(Table1[[#This Row],[Reference]],metron,24,FALSE)</f>
        <v>2.0920564216778019</v>
      </c>
      <c r="CK598" s="6">
        <f>VLOOKUP(Table1[[#This Row],[Reference]],metron,25,FALSE)</f>
        <v>7.126948775055679E-2</v>
      </c>
      <c r="CL598" s="6">
        <f>VLOOKUP(Table1[[#This Row],[Reference]],metron,26,FALSE)</f>
        <v>0.13214550853749071</v>
      </c>
    </row>
    <row r="599" spans="1:90" x14ac:dyDescent="0.45">
      <c r="A599" t="s">
        <v>1256</v>
      </c>
      <c r="B599">
        <v>1615086000</v>
      </c>
      <c r="C599" s="23" t="s">
        <v>1118</v>
      </c>
      <c r="D599" t="s">
        <v>65</v>
      </c>
      <c r="E599" t="s">
        <v>66</v>
      </c>
      <c r="F599" t="s">
        <v>113</v>
      </c>
      <c r="G599" t="s">
        <v>90</v>
      </c>
      <c r="H599" t="s">
        <v>122</v>
      </c>
      <c r="I599">
        <f>MROUND(Table1[[#This Row],[ProbH]]*100,2)/100</f>
        <v>0.32</v>
      </c>
      <c r="J599">
        <f>1/Table1[[#This Row],[odds_ft_home_team_win]]-Table1[[#This Row],[Margin]]</f>
        <v>0.31795046225221174</v>
      </c>
      <c r="K599">
        <f>1/Table1[[#This Row],[odds_ft_draw]]-Table1[[#This Row],[Margin]]</f>
        <v>0.29570352120660548</v>
      </c>
      <c r="L599">
        <f>1/Table1[[#This Row],[odds_ft_away_team_win]]-Table1[[#This Row],[Margin]]</f>
        <v>0.38634601654118295</v>
      </c>
      <c r="M599">
        <v>10</v>
      </c>
      <c r="N599">
        <v>1.62</v>
      </c>
      <c r="O599">
        <v>1.33</v>
      </c>
      <c r="P599">
        <v>1.53</v>
      </c>
      <c r="Q599">
        <v>1.35</v>
      </c>
      <c r="R599" t="str" cm="1">
        <f t="array" ref="R5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9">
        <v>1</v>
      </c>
      <c r="T599">
        <v>1</v>
      </c>
      <c r="U599">
        <v>2</v>
      </c>
      <c r="V599">
        <v>2</v>
      </c>
      <c r="W599">
        <v>1</v>
      </c>
      <c r="X599">
        <v>1</v>
      </c>
      <c r="Y599">
        <v>6</v>
      </c>
      <c r="Z599">
        <v>34</v>
      </c>
      <c r="AA599">
        <v>5</v>
      </c>
      <c r="AB599">
        <v>3</v>
      </c>
      <c r="AC599">
        <v>2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8</v>
      </c>
      <c r="AL599">
        <v>7</v>
      </c>
      <c r="AM599">
        <v>4</v>
      </c>
      <c r="AN599">
        <v>4</v>
      </c>
      <c r="AO599">
        <v>4</v>
      </c>
      <c r="AP599">
        <v>3</v>
      </c>
      <c r="AQ599">
        <v>13</v>
      </c>
      <c r="AR599">
        <v>9</v>
      </c>
      <c r="AS599">
        <v>36</v>
      </c>
      <c r="AT599">
        <v>64</v>
      </c>
      <c r="AU599">
        <v>1.04</v>
      </c>
      <c r="AV599">
        <v>1.08</v>
      </c>
      <c r="AW599">
        <v>2.62</v>
      </c>
      <c r="AX599">
        <v>57</v>
      </c>
      <c r="AY599">
        <v>71</v>
      </c>
      <c r="AZ599">
        <v>55</v>
      </c>
      <c r="BA599">
        <v>32</v>
      </c>
      <c r="BB599">
        <v>16</v>
      </c>
      <c r="BC599">
        <v>45</v>
      </c>
      <c r="BD599">
        <v>75</v>
      </c>
      <c r="BE599">
        <v>39</v>
      </c>
      <c r="BF599">
        <v>71</v>
      </c>
      <c r="BG599">
        <v>7.92</v>
      </c>
      <c r="BH599">
        <v>4.91</v>
      </c>
      <c r="BI599">
        <v>2.9</v>
      </c>
      <c r="BJ599">
        <v>3.1</v>
      </c>
      <c r="BK599">
        <v>2.42</v>
      </c>
      <c r="BL599">
        <f>(1/Table1[[#This Row],[odds_ft_home_team_win]]+1/Table1[[#This Row],[odds_ft_draw]]+1/Table1[[#This Row],[odds_ft_away_team_win]]-1)/3</f>
        <v>2.6877123954684851E-2</v>
      </c>
      <c r="BM599">
        <v>1.36</v>
      </c>
      <c r="BN599">
        <v>2</v>
      </c>
      <c r="BO599">
        <v>3.45</v>
      </c>
      <c r="BP599">
        <v>7</v>
      </c>
      <c r="BQ599">
        <v>1.83</v>
      </c>
      <c r="BR599">
        <v>1.87</v>
      </c>
      <c r="BS599" t="s">
        <v>120</v>
      </c>
      <c r="BT599">
        <f>VLOOKUP(Table1[[#This Row],[Reference]],metron,8,FALSE)</f>
        <v>1.274681051426811</v>
      </c>
      <c r="BU599">
        <f>VLOOKUP(Table1[[#This Row],[Reference]],metron,9,FALSE)</f>
        <v>1.4392482240810365</v>
      </c>
      <c r="BV599">
        <f>VLOOKUP(Table1[[#This Row],[Reference]],metron,10,FALSE)</f>
        <v>2.5313454284174597</v>
      </c>
      <c r="BW599">
        <f>VLOOKUP(Table1[[#This Row],[Reference]],metron,11,FALSE)</f>
        <v>1.210167055864918</v>
      </c>
      <c r="BX599">
        <f>VLOOKUP(Table1[[#This Row],[Reference]],metron,12,FALSE)</f>
        <v>1.3211783725525419</v>
      </c>
      <c r="BY599" s="6">
        <f>VLOOKUP(Table1[[#This Row],[Reference]],metron,13,FALSE)</f>
        <v>0.53135669362084459</v>
      </c>
      <c r="BZ599" s="6">
        <f>VLOOKUP(Table1[[#This Row],[Reference]],metron,14,FALSE)</f>
        <v>0.55633423180592989</v>
      </c>
      <c r="CA599" s="6">
        <f>VLOOKUP(Table1[[#This Row],[Reference]],metron,15,FALSE)</f>
        <v>11.21109010712035</v>
      </c>
      <c r="CB599" s="6">
        <f>VLOOKUP(Table1[[#This Row],[Reference]],metron,16,FALSE)</f>
        <v>11.01700787401575</v>
      </c>
      <c r="CC599" s="6">
        <f>VLOOKUP(Table1[[#This Row],[Reference]],metron,17,FALSE)</f>
        <v>4.6792332268370611</v>
      </c>
      <c r="CD599" s="6">
        <f>VLOOKUP(Table1[[#This Row],[Reference]],metron,18,FALSE)</f>
        <v>4.7080804854679013</v>
      </c>
      <c r="CE599" s="6">
        <f>VLOOKUP(Table1[[#This Row],[Reference]],metron,19,FALSE)</f>
        <v>6.5318568802832893</v>
      </c>
      <c r="CF599" s="6">
        <f>VLOOKUP(Table1[[#This Row],[Reference]],metron,20,FALSE)</f>
        <v>6.3089273885478487</v>
      </c>
      <c r="CG599" s="6">
        <f>VLOOKUP(Table1[[#This Row],[Reference]],metron,21,FALSE)</f>
        <v>12.72547770700637</v>
      </c>
      <c r="CH599" s="6">
        <f>VLOOKUP(Table1[[#This Row],[Reference]],metron,22,FALSE)</f>
        <v>13.06847133757962</v>
      </c>
      <c r="CI599" s="6">
        <f>VLOOKUP(Table1[[#This Row],[Reference]],metron,23,FALSE)</f>
        <v>1.6902356902356901</v>
      </c>
      <c r="CJ599" s="6">
        <f>VLOOKUP(Table1[[#This Row],[Reference]],metron,24,FALSE)</f>
        <v>1.8050198959289869</v>
      </c>
      <c r="CK599" s="6">
        <f>VLOOKUP(Table1[[#This Row],[Reference]],metron,25,FALSE)</f>
        <v>0.105907560453015</v>
      </c>
      <c r="CL599" s="6">
        <f>VLOOKUP(Table1[[#This Row],[Reference]],metron,26,FALSE)</f>
        <v>0.1141720232629324</v>
      </c>
    </row>
    <row r="600" spans="1:90" x14ac:dyDescent="0.45">
      <c r="A600" t="s">
        <v>1256</v>
      </c>
      <c r="B600">
        <v>1615165560</v>
      </c>
      <c r="C600" s="23" t="s">
        <v>1119</v>
      </c>
      <c r="D600" t="s">
        <v>65</v>
      </c>
      <c r="E600" t="s">
        <v>66</v>
      </c>
      <c r="F600" t="s">
        <v>73</v>
      </c>
      <c r="G600" t="s">
        <v>72</v>
      </c>
      <c r="H600" t="s">
        <v>215</v>
      </c>
      <c r="I600">
        <f>MROUND(Table1[[#This Row],[ProbH]]*100,2)/100</f>
        <v>0.57999999999999996</v>
      </c>
      <c r="J600">
        <f>1/Table1[[#This Row],[odds_ft_home_team_win]]-Table1[[#This Row],[Margin]]</f>
        <v>0.58417508417508412</v>
      </c>
      <c r="K600">
        <f>1/Table1[[#This Row],[odds_ft_draw]]-Table1[[#This Row],[Margin]]</f>
        <v>0.25589225589225589</v>
      </c>
      <c r="L600">
        <f>1/Table1[[#This Row],[odds_ft_away_team_win]]-Table1[[#This Row],[Margin]]</f>
        <v>0.1599326599326599</v>
      </c>
      <c r="M600">
        <v>10</v>
      </c>
      <c r="N600">
        <v>2.14</v>
      </c>
      <c r="O600">
        <v>0.93</v>
      </c>
      <c r="P600">
        <v>2.09</v>
      </c>
      <c r="Q600">
        <v>0.72</v>
      </c>
      <c r="R600" t="str" cm="1">
        <f t="array" ref="R6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00">
        <v>3</v>
      </c>
      <c r="T600">
        <v>1</v>
      </c>
      <c r="U600">
        <v>4</v>
      </c>
      <c r="V600">
        <v>1</v>
      </c>
      <c r="W600">
        <v>1</v>
      </c>
      <c r="X600">
        <v>0</v>
      </c>
      <c r="Y600" t="s">
        <v>1120</v>
      </c>
      <c r="Z600">
        <v>78</v>
      </c>
      <c r="AA600">
        <v>10</v>
      </c>
      <c r="AB600">
        <v>4</v>
      </c>
      <c r="AC600">
        <v>1</v>
      </c>
      <c r="AD600">
        <v>0</v>
      </c>
      <c r="AE600">
        <v>4</v>
      </c>
      <c r="AF600">
        <v>0</v>
      </c>
      <c r="AG600">
        <v>0</v>
      </c>
      <c r="AH600">
        <v>1</v>
      </c>
      <c r="AI600">
        <v>1</v>
      </c>
      <c r="AJ600">
        <v>3</v>
      </c>
      <c r="AK600">
        <v>21</v>
      </c>
      <c r="AL600">
        <v>8</v>
      </c>
      <c r="AM600">
        <v>9</v>
      </c>
      <c r="AN600">
        <v>4</v>
      </c>
      <c r="AO600">
        <v>12</v>
      </c>
      <c r="AP600">
        <v>4</v>
      </c>
      <c r="AQ600">
        <v>10</v>
      </c>
      <c r="AR600">
        <v>13</v>
      </c>
      <c r="AS600">
        <v>54</v>
      </c>
      <c r="AT600">
        <v>46</v>
      </c>
      <c r="AU600">
        <v>2.39</v>
      </c>
      <c r="AV600">
        <v>1.05</v>
      </c>
      <c r="AW600">
        <v>2.2200000000000002</v>
      </c>
      <c r="AX600">
        <v>43</v>
      </c>
      <c r="AY600">
        <v>68</v>
      </c>
      <c r="AZ600">
        <v>36</v>
      </c>
      <c r="BA600">
        <v>14</v>
      </c>
      <c r="BB600">
        <v>7</v>
      </c>
      <c r="BC600">
        <v>29</v>
      </c>
      <c r="BD600">
        <v>61</v>
      </c>
      <c r="BE600">
        <v>36</v>
      </c>
      <c r="BF600">
        <v>83</v>
      </c>
      <c r="BG600">
        <v>9.85</v>
      </c>
      <c r="BH600">
        <v>4.1399999999999997</v>
      </c>
      <c r="BI600">
        <v>1.65</v>
      </c>
      <c r="BJ600">
        <v>3.6</v>
      </c>
      <c r="BK600">
        <v>5.5</v>
      </c>
      <c r="BL600">
        <f>(1/Table1[[#This Row],[odds_ft_home_team_win]]+1/Table1[[#This Row],[odds_ft_draw]]+1/Table1[[#This Row],[odds_ft_away_team_win]]-1)/3</f>
        <v>2.1885521885521914E-2</v>
      </c>
      <c r="BM600">
        <v>1.38</v>
      </c>
      <c r="BN600">
        <v>2.1</v>
      </c>
      <c r="BO600">
        <v>3.6</v>
      </c>
      <c r="BP600">
        <v>7.25</v>
      </c>
      <c r="BQ600">
        <v>2.1</v>
      </c>
      <c r="BR600">
        <v>1.69</v>
      </c>
      <c r="BS600" t="s">
        <v>142</v>
      </c>
      <c r="BT600">
        <f>VLOOKUP(Table1[[#This Row],[Reference]],metron,8,FALSE)</f>
        <v>2.0230889143600308</v>
      </c>
      <c r="BU600">
        <f>VLOOKUP(Table1[[#This Row],[Reference]],metron,9,FALSE)</f>
        <v>0.72731480520165426</v>
      </c>
      <c r="BV600">
        <f>VLOOKUP(Table1[[#This Row],[Reference]],metron,10,FALSE)</f>
        <v>2.6362999299229148</v>
      </c>
      <c r="BW600">
        <f>VLOOKUP(Table1[[#This Row],[Reference]],metron,11,FALSE)</f>
        <v>1.7619715019855171</v>
      </c>
      <c r="BX600">
        <f>VLOOKUP(Table1[[#This Row],[Reference]],metron,12,FALSE)</f>
        <v>0.87432842793739785</v>
      </c>
      <c r="BY600" s="6">
        <f>VLOOKUP(Table1[[#This Row],[Reference]],metron,13,FALSE)</f>
        <v>0.78411214953271025</v>
      </c>
      <c r="BZ600" s="6">
        <f>VLOOKUP(Table1[[#This Row],[Reference]],metron,14,FALSE)</f>
        <v>0.38060747663551397</v>
      </c>
      <c r="CA600" s="6">
        <f>VLOOKUP(Table1[[#This Row],[Reference]],metron,15,FALSE)</f>
        <v>14.215499378367181</v>
      </c>
      <c r="CB600" s="6">
        <f>VLOOKUP(Table1[[#This Row],[Reference]],metron,16,FALSE)</f>
        <v>8.9523612261806136</v>
      </c>
      <c r="CC600" s="6">
        <f>VLOOKUP(Table1[[#This Row],[Reference]],metron,17,FALSE)</f>
        <v>6.3083121289228163</v>
      </c>
      <c r="CD600" s="6">
        <f>VLOOKUP(Table1[[#This Row],[Reference]],metron,18,FALSE)</f>
        <v>3.7757524374735061</v>
      </c>
      <c r="CE600" s="6">
        <f>VLOOKUP(Table1[[#This Row],[Reference]],metron,19,FALSE)</f>
        <v>7.9071872494443642</v>
      </c>
      <c r="CF600" s="6">
        <f>VLOOKUP(Table1[[#This Row],[Reference]],metron,20,FALSE)</f>
        <v>5.1766087887071075</v>
      </c>
      <c r="CG600" s="6">
        <f>VLOOKUP(Table1[[#This Row],[Reference]],metron,21,FALSE)</f>
        <v>12.634239592183521</v>
      </c>
      <c r="CH600" s="6">
        <f>VLOOKUP(Table1[[#This Row],[Reference]],metron,22,FALSE)</f>
        <v>13.597706032285471</v>
      </c>
      <c r="CI600" s="6">
        <f>VLOOKUP(Table1[[#This Row],[Reference]],metron,23,FALSE)</f>
        <v>1.365400161681487</v>
      </c>
      <c r="CJ600" s="6">
        <f>VLOOKUP(Table1[[#This Row],[Reference]],metron,24,FALSE)</f>
        <v>1.963621665319321</v>
      </c>
      <c r="CK600" s="6">
        <f>VLOOKUP(Table1[[#This Row],[Reference]],metron,25,FALSE)</f>
        <v>7.1544058205335492E-2</v>
      </c>
      <c r="CL600" s="6">
        <f>VLOOKUP(Table1[[#This Row],[Reference]],metron,26,FALSE)</f>
        <v>0.1216653193209378</v>
      </c>
    </row>
    <row r="601" spans="1:90" x14ac:dyDescent="0.45">
      <c r="A601" t="s">
        <v>1256</v>
      </c>
      <c r="B601">
        <v>1615172400</v>
      </c>
      <c r="C601" s="23" t="s">
        <v>1121</v>
      </c>
      <c r="D601" t="s">
        <v>65</v>
      </c>
      <c r="E601" t="s">
        <v>66</v>
      </c>
      <c r="F601" t="s">
        <v>96</v>
      </c>
      <c r="G601" t="s">
        <v>112</v>
      </c>
      <c r="H601" t="s">
        <v>158</v>
      </c>
      <c r="I601">
        <f>MROUND(Table1[[#This Row],[ProbH]]*100,2)/100</f>
        <v>0.2</v>
      </c>
      <c r="J601">
        <f>1/Table1[[#This Row],[odds_ft_home_team_win]]-Table1[[#This Row],[Margin]]</f>
        <v>0.20465990668497908</v>
      </c>
      <c r="K601">
        <f>1/Table1[[#This Row],[odds_ft_draw]]-Table1[[#This Row],[Margin]]</f>
        <v>0.27150482647107532</v>
      </c>
      <c r="L601">
        <f>1/Table1[[#This Row],[odds_ft_away_team_win]]-Table1[[#This Row],[Margin]]</f>
        <v>0.52383526684394577</v>
      </c>
      <c r="M601">
        <v>10</v>
      </c>
      <c r="N601">
        <v>1.94</v>
      </c>
      <c r="O601">
        <v>1.75</v>
      </c>
      <c r="P601">
        <v>1.65</v>
      </c>
      <c r="Q601">
        <v>1.77</v>
      </c>
      <c r="R601" s="9" t="str" cm="1">
        <f t="array" ref="R6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Z601" t="s">
        <v>329</v>
      </c>
      <c r="AA601">
        <v>5</v>
      </c>
      <c r="AB601">
        <v>6</v>
      </c>
      <c r="AC601">
        <v>4</v>
      </c>
      <c r="AD601">
        <v>0</v>
      </c>
      <c r="AE601">
        <v>1</v>
      </c>
      <c r="AF601">
        <v>0</v>
      </c>
      <c r="AG601">
        <v>0</v>
      </c>
      <c r="AH601">
        <v>4</v>
      </c>
      <c r="AI601">
        <v>0</v>
      </c>
      <c r="AJ601">
        <v>1</v>
      </c>
      <c r="AK601">
        <v>8</v>
      </c>
      <c r="AL601">
        <v>10</v>
      </c>
      <c r="AM601">
        <v>5</v>
      </c>
      <c r="AN601">
        <v>4</v>
      </c>
      <c r="AO601">
        <v>3</v>
      </c>
      <c r="AP601">
        <v>6</v>
      </c>
      <c r="AQ601">
        <v>10</v>
      </c>
      <c r="AR601">
        <v>14</v>
      </c>
      <c r="AS601">
        <v>46</v>
      </c>
      <c r="AT601">
        <v>54</v>
      </c>
      <c r="AU601">
        <v>1.07</v>
      </c>
      <c r="AV601">
        <v>1.24</v>
      </c>
      <c r="AW601">
        <v>2.3199999999999998</v>
      </c>
      <c r="AX601">
        <v>38</v>
      </c>
      <c r="AY601">
        <v>66</v>
      </c>
      <c r="AZ601">
        <v>38</v>
      </c>
      <c r="BA601">
        <v>25</v>
      </c>
      <c r="BB601">
        <v>10</v>
      </c>
      <c r="BC601">
        <v>22</v>
      </c>
      <c r="BD601">
        <v>60</v>
      </c>
      <c r="BE601">
        <v>35</v>
      </c>
      <c r="BF601">
        <v>88</v>
      </c>
      <c r="BG601">
        <v>11.69</v>
      </c>
      <c r="BH601">
        <v>4.1900000000000004</v>
      </c>
      <c r="BI601">
        <v>4.4000000000000004</v>
      </c>
      <c r="BJ601">
        <v>3.4</v>
      </c>
      <c r="BK601">
        <v>1.83</v>
      </c>
      <c r="BL601">
        <f>(1/Table1[[#This Row],[odds_ft_home_team_win]]+1/Table1[[#This Row],[odds_ft_draw]]+1/Table1[[#This Row],[odds_ft_away_team_win]]-1)/3</f>
        <v>2.26128205877482E-2</v>
      </c>
      <c r="BM601">
        <v>1.42</v>
      </c>
      <c r="BN601">
        <v>2.15</v>
      </c>
      <c r="BO601">
        <v>3.8</v>
      </c>
      <c r="BP601">
        <v>7.5</v>
      </c>
      <c r="BQ601">
        <v>2.0499999999999998</v>
      </c>
      <c r="BR601">
        <v>1.71</v>
      </c>
      <c r="BS601" t="s">
        <v>99</v>
      </c>
      <c r="BT601">
        <f>VLOOKUP(Table1[[#This Row],[Reference]],metron,8,FALSE)</f>
        <v>0.89040268062788797</v>
      </c>
      <c r="BU601">
        <f>VLOOKUP(Table1[[#This Row],[Reference]],metron,9,FALSE)</f>
        <v>1.8482406971105219</v>
      </c>
      <c r="BV601">
        <f>VLOOKUP(Table1[[#This Row],[Reference]],metron,10,FALSE)</f>
        <v>2.7065095398428731</v>
      </c>
      <c r="BW601">
        <f>VLOOKUP(Table1[[#This Row],[Reference]],metron,11,FALSE)</f>
        <v>1.0101010101010099</v>
      </c>
      <c r="BX601">
        <f>VLOOKUP(Table1[[#This Row],[Reference]],metron,12,FALSE)</f>
        <v>1.696408529741863</v>
      </c>
      <c r="BY601" s="6">
        <f>VLOOKUP(Table1[[#This Row],[Reference]],metron,13,FALSE)</f>
        <v>0.44044943820224719</v>
      </c>
      <c r="BZ601" s="6">
        <f>VLOOKUP(Table1[[#This Row],[Reference]],metron,14,FALSE)</f>
        <v>0.74606741573033708</v>
      </c>
      <c r="CA601" s="6">
        <f>VLOOKUP(Table1[[#This Row],[Reference]],metron,15,FALSE)</f>
        <v>10.265072765072761</v>
      </c>
      <c r="CB601" s="6">
        <f>VLOOKUP(Table1[[#This Row],[Reference]],metron,16,FALSE)</f>
        <v>13.023908523908521</v>
      </c>
      <c r="CC601" s="6">
        <f>VLOOKUP(Table1[[#This Row],[Reference]],metron,17,FALSE)</f>
        <v>4.0483193277310923</v>
      </c>
      <c r="CD601" s="6">
        <f>VLOOKUP(Table1[[#This Row],[Reference]],metron,18,FALSE)</f>
        <v>5.60609243697479</v>
      </c>
      <c r="CE601" s="6">
        <f>VLOOKUP(Table1[[#This Row],[Reference]],metron,19,FALSE)</f>
        <v>6.2167534373416684</v>
      </c>
      <c r="CF601" s="6">
        <f>VLOOKUP(Table1[[#This Row],[Reference]],metron,20,FALSE)</f>
        <v>7.4178160869337306</v>
      </c>
      <c r="CG601" s="6">
        <f>VLOOKUP(Table1[[#This Row],[Reference]],metron,21,FALSE)</f>
        <v>13.223628691983119</v>
      </c>
      <c r="CH601" s="6">
        <f>VLOOKUP(Table1[[#This Row],[Reference]],metron,22,FALSE)</f>
        <v>12.78586497890295</v>
      </c>
      <c r="CI601" s="6">
        <f>VLOOKUP(Table1[[#This Row],[Reference]],metron,23,FALSE)</f>
        <v>1.8442211055276381</v>
      </c>
      <c r="CJ601" s="6">
        <f>VLOOKUP(Table1[[#This Row],[Reference]],metron,24,FALSE)</f>
        <v>1.7989949748743721</v>
      </c>
      <c r="CK601" s="6">
        <f>VLOOKUP(Table1[[#This Row],[Reference]],metron,25,FALSE)</f>
        <v>0.12060301507537689</v>
      </c>
      <c r="CL601" s="6">
        <f>VLOOKUP(Table1[[#This Row],[Reference]],metron,26,FALSE)</f>
        <v>0.11658291457286429</v>
      </c>
    </row>
    <row r="602" spans="1:90" x14ac:dyDescent="0.45">
      <c r="A602" t="s">
        <v>1256</v>
      </c>
      <c r="B602">
        <v>1615258800</v>
      </c>
      <c r="C602" s="23" t="s">
        <v>1122</v>
      </c>
      <c r="D602" t="s">
        <v>65</v>
      </c>
      <c r="E602" t="s">
        <v>66</v>
      </c>
      <c r="F602" t="s">
        <v>84</v>
      </c>
      <c r="G602" t="s">
        <v>106</v>
      </c>
      <c r="H602" t="s">
        <v>114</v>
      </c>
      <c r="I602">
        <f>MROUND(Table1[[#This Row],[ProbH]]*100,2)/100</f>
        <v>0.5</v>
      </c>
      <c r="J602">
        <f>1/Table1[[#This Row],[odds_ft_home_team_win]]-Table1[[#This Row],[Margin]]</f>
        <v>0.49607904791851282</v>
      </c>
      <c r="K602">
        <f>1/Table1[[#This Row],[odds_ft_draw]]-Table1[[#This Row],[Margin]]</f>
        <v>0.27911652326368042</v>
      </c>
      <c r="L602">
        <f>1/Table1[[#This Row],[odds_ft_away_team_win]]-Table1[[#This Row],[Margin]]</f>
        <v>0.22480442881780674</v>
      </c>
      <c r="M602">
        <v>10</v>
      </c>
      <c r="N602">
        <v>1</v>
      </c>
      <c r="O602">
        <v>0.54</v>
      </c>
      <c r="P602">
        <v>1.43</v>
      </c>
      <c r="Q602">
        <v>0.47</v>
      </c>
      <c r="R602" t="str" cm="1">
        <f t="array" ref="R6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02">
        <v>2</v>
      </c>
      <c r="T602">
        <v>1</v>
      </c>
      <c r="U602">
        <v>3</v>
      </c>
      <c r="V602">
        <v>3</v>
      </c>
      <c r="W602">
        <v>2</v>
      </c>
      <c r="X602">
        <v>1</v>
      </c>
      <c r="Y602" t="s">
        <v>1123</v>
      </c>
      <c r="Z602">
        <v>35</v>
      </c>
      <c r="AA602">
        <v>6</v>
      </c>
      <c r="AB602">
        <v>5</v>
      </c>
      <c r="AC602">
        <v>0</v>
      </c>
      <c r="AD602">
        <v>1</v>
      </c>
      <c r="AE602">
        <v>2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15</v>
      </c>
      <c r="AL602">
        <v>11</v>
      </c>
      <c r="AM602">
        <v>6</v>
      </c>
      <c r="AN602">
        <v>5</v>
      </c>
      <c r="AO602">
        <v>9</v>
      </c>
      <c r="AP602">
        <v>6</v>
      </c>
      <c r="AQ602">
        <v>13</v>
      </c>
      <c r="AR602">
        <v>7</v>
      </c>
      <c r="AS602">
        <v>34</v>
      </c>
      <c r="AT602">
        <v>66</v>
      </c>
      <c r="AU602">
        <v>1.68</v>
      </c>
      <c r="AV602">
        <v>1.41</v>
      </c>
      <c r="AW602">
        <v>2.27</v>
      </c>
      <c r="AX602">
        <v>44</v>
      </c>
      <c r="AY602">
        <v>64</v>
      </c>
      <c r="AZ602">
        <v>34</v>
      </c>
      <c r="BA602">
        <v>23</v>
      </c>
      <c r="BB602">
        <v>8</v>
      </c>
      <c r="BC602">
        <v>26</v>
      </c>
      <c r="BD602">
        <v>78</v>
      </c>
      <c r="BE602">
        <v>30</v>
      </c>
      <c r="BF602">
        <v>63</v>
      </c>
      <c r="BG602">
        <v>8.65</v>
      </c>
      <c r="BH602">
        <v>5.42</v>
      </c>
      <c r="BI602">
        <v>1.95</v>
      </c>
      <c r="BJ602">
        <v>3.38</v>
      </c>
      <c r="BK602">
        <v>4.1399999999999997</v>
      </c>
      <c r="BL602">
        <f>(1/Table1[[#This Row],[odds_ft_home_team_win]]+1/Table1[[#This Row],[odds_ft_draw]]+1/Table1[[#This Row],[odds_ft_away_team_win]]-1)/3</f>
        <v>1.6741464902000052E-2</v>
      </c>
      <c r="BM602">
        <v>1.33</v>
      </c>
      <c r="BN602">
        <v>2.2400000000000002</v>
      </c>
      <c r="BO602">
        <v>3.5</v>
      </c>
      <c r="BP602">
        <v>7.25</v>
      </c>
      <c r="BQ602">
        <v>1.95</v>
      </c>
      <c r="BR602">
        <v>1.8</v>
      </c>
      <c r="BS602" t="s">
        <v>88</v>
      </c>
      <c r="BT602">
        <f>VLOOKUP(Table1[[#This Row],[Reference]],metron,8,FALSE)</f>
        <v>1.8001937313313046</v>
      </c>
      <c r="BU602">
        <f>VLOOKUP(Table1[[#This Row],[Reference]],metron,9,FALSE)</f>
        <v>0.9268512077832276</v>
      </c>
      <c r="BV602">
        <f>VLOOKUP(Table1[[#This Row],[Reference]],metron,10,FALSE)</f>
        <v>2.5202079886551649</v>
      </c>
      <c r="BW602">
        <f>VLOOKUP(Table1[[#This Row],[Reference]],metron,11,FALSE)</f>
        <v>1.5342708579532029</v>
      </c>
      <c r="BX602">
        <f>VLOOKUP(Table1[[#This Row],[Reference]],metron,12,FALSE)</f>
        <v>0.98593713070196176</v>
      </c>
      <c r="BY602" s="6">
        <f>VLOOKUP(Table1[[#This Row],[Reference]],metron,13,FALSE)</f>
        <v>0.67513590167809023</v>
      </c>
      <c r="BZ602" s="6">
        <f>VLOOKUP(Table1[[#This Row],[Reference]],metron,14,FALSE)</f>
        <v>0.4286727337194185</v>
      </c>
      <c r="CA602" s="6">
        <f>VLOOKUP(Table1[[#This Row],[Reference]],metron,15,FALSE)</f>
        <v>12.98669114272602</v>
      </c>
      <c r="CB602" s="6">
        <f>VLOOKUP(Table1[[#This Row],[Reference]],metron,16,FALSE)</f>
        <v>9.4167049105094076</v>
      </c>
      <c r="CC602" s="6">
        <f>VLOOKUP(Table1[[#This Row],[Reference]],metron,17,FALSE)</f>
        <v>5.6645716945996272</v>
      </c>
      <c r="CD602" s="6">
        <f>VLOOKUP(Table1[[#This Row],[Reference]],metron,18,FALSE)</f>
        <v>4.0242085661080074</v>
      </c>
      <c r="CE602" s="6">
        <f>VLOOKUP(Table1[[#This Row],[Reference]],metron,19,FALSE)</f>
        <v>7.3221194481263927</v>
      </c>
      <c r="CF602" s="6">
        <f>VLOOKUP(Table1[[#This Row],[Reference]],metron,20,FALSE)</f>
        <v>5.3924963444014002</v>
      </c>
      <c r="CG602" s="6">
        <f>VLOOKUP(Table1[[#This Row],[Reference]],metron,21,FALSE)</f>
        <v>12.508162313432839</v>
      </c>
      <c r="CH602" s="6">
        <f>VLOOKUP(Table1[[#This Row],[Reference]],metron,22,FALSE)</f>
        <v>13.36963619402985</v>
      </c>
      <c r="CI602" s="6">
        <f>VLOOKUP(Table1[[#This Row],[Reference]],metron,23,FALSE)</f>
        <v>1.4438014689517029</v>
      </c>
      <c r="CJ602" s="6">
        <f>VLOOKUP(Table1[[#This Row],[Reference]],metron,24,FALSE)</f>
        <v>1.9410193634542621</v>
      </c>
      <c r="CK602" s="6">
        <f>VLOOKUP(Table1[[#This Row],[Reference]],metron,25,FALSE)</f>
        <v>8.4130870242599604E-2</v>
      </c>
      <c r="CL602" s="6">
        <f>VLOOKUP(Table1[[#This Row],[Reference]],metron,26,FALSE)</f>
        <v>0.1275317160026708</v>
      </c>
    </row>
    <row r="603" spans="1:90" x14ac:dyDescent="0.45">
      <c r="A603" t="s">
        <v>1256</v>
      </c>
      <c r="B603">
        <v>1615431600</v>
      </c>
      <c r="C603" s="23" t="s">
        <v>1124</v>
      </c>
      <c r="D603" t="s">
        <v>65</v>
      </c>
      <c r="E603" t="s">
        <v>66</v>
      </c>
      <c r="F603" t="s">
        <v>101</v>
      </c>
      <c r="G603" t="s">
        <v>85</v>
      </c>
      <c r="H603" t="s">
        <v>98</v>
      </c>
      <c r="I603">
        <f>MROUND(Table1[[#This Row],[ProbH]]*100,2)/100</f>
        <v>0.46</v>
      </c>
      <c r="J603">
        <f>1/Table1[[#This Row],[odds_ft_home_team_win]]-Table1[[#This Row],[Margin]]</f>
        <v>0.46099488211739015</v>
      </c>
      <c r="K603">
        <f>1/Table1[[#This Row],[odds_ft_draw]]-Table1[[#This Row],[Margin]]</f>
        <v>0.27169746675517675</v>
      </c>
      <c r="L603">
        <f>1/Table1[[#This Row],[odds_ft_away_team_win]]-Table1[[#This Row],[Margin]]</f>
        <v>0.26730765112743315</v>
      </c>
      <c r="M603">
        <v>3</v>
      </c>
      <c r="N603">
        <v>2</v>
      </c>
      <c r="O603">
        <v>1.44</v>
      </c>
      <c r="P603">
        <v>1.79</v>
      </c>
      <c r="Q603">
        <v>1.5</v>
      </c>
      <c r="R603" t="str" cm="1">
        <f t="array" ref="R6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03">
        <v>1</v>
      </c>
      <c r="T603">
        <v>1</v>
      </c>
      <c r="U603">
        <v>2</v>
      </c>
      <c r="V603">
        <v>1</v>
      </c>
      <c r="W603">
        <v>0</v>
      </c>
      <c r="X603">
        <v>1</v>
      </c>
      <c r="Y603">
        <v>80</v>
      </c>
      <c r="Z603">
        <v>42</v>
      </c>
      <c r="AA603">
        <v>1</v>
      </c>
      <c r="AB603">
        <v>7</v>
      </c>
      <c r="AC603">
        <v>3</v>
      </c>
      <c r="AD603">
        <v>0</v>
      </c>
      <c r="AE603">
        <v>1</v>
      </c>
      <c r="AF603">
        <v>0</v>
      </c>
      <c r="AG603">
        <v>1</v>
      </c>
      <c r="AH603">
        <v>2</v>
      </c>
      <c r="AI603">
        <v>1</v>
      </c>
      <c r="AJ603">
        <v>0</v>
      </c>
      <c r="AK603">
        <v>10</v>
      </c>
      <c r="AL603">
        <v>9</v>
      </c>
      <c r="AM603">
        <v>2</v>
      </c>
      <c r="AN603">
        <v>4</v>
      </c>
      <c r="AO603">
        <v>8</v>
      </c>
      <c r="AP603">
        <v>5</v>
      </c>
      <c r="AQ603">
        <v>11</v>
      </c>
      <c r="AR603">
        <v>15</v>
      </c>
      <c r="AS603">
        <v>45</v>
      </c>
      <c r="AT603">
        <v>55</v>
      </c>
      <c r="AU603">
        <v>1.31</v>
      </c>
      <c r="AV603">
        <v>1.19</v>
      </c>
      <c r="AW603">
        <v>2.34</v>
      </c>
      <c r="AX603">
        <v>57</v>
      </c>
      <c r="AY603">
        <v>76</v>
      </c>
      <c r="AZ603">
        <v>39</v>
      </c>
      <c r="BA603">
        <v>22</v>
      </c>
      <c r="BB603">
        <v>3</v>
      </c>
      <c r="BC603">
        <v>25</v>
      </c>
      <c r="BD603">
        <v>70</v>
      </c>
      <c r="BE603">
        <v>40</v>
      </c>
      <c r="BF603">
        <v>79</v>
      </c>
      <c r="BG603">
        <v>9.75</v>
      </c>
      <c r="BH603">
        <v>4.3099999999999996</v>
      </c>
      <c r="BI603">
        <v>2.0499999999999998</v>
      </c>
      <c r="BJ603">
        <v>3.35</v>
      </c>
      <c r="BK603">
        <v>3.4</v>
      </c>
      <c r="BL603">
        <f>(1/Table1[[#This Row],[odds_ft_home_team_win]]+1/Table1[[#This Row],[odds_ft_draw]]+1/Table1[[#This Row],[odds_ft_away_team_win]]-1)/3</f>
        <v>2.6809995931390402E-2</v>
      </c>
      <c r="BM603">
        <v>1.3</v>
      </c>
      <c r="BN603">
        <v>1.93</v>
      </c>
      <c r="BO603">
        <v>3.2</v>
      </c>
      <c r="BP603">
        <v>5.75</v>
      </c>
      <c r="BQ603">
        <v>1.71</v>
      </c>
      <c r="BR603">
        <v>2.0499999999999998</v>
      </c>
      <c r="BS603" t="s">
        <v>713</v>
      </c>
      <c r="BT603">
        <f>VLOOKUP(Table1[[#This Row],[Reference]],metron,8,FALSE)</f>
        <v>1.6955772349985931</v>
      </c>
      <c r="BU603">
        <f>VLOOKUP(Table1[[#This Row],[Reference]],metron,9,FALSE)</f>
        <v>1.0239029519551039</v>
      </c>
      <c r="BV603">
        <f>VLOOKUP(Table1[[#This Row],[Reference]],metron,10,FALSE)</f>
        <v>2.5405629139072849</v>
      </c>
      <c r="BW603">
        <f>VLOOKUP(Table1[[#This Row],[Reference]],metron,11,FALSE)</f>
        <v>1.4888836329233679</v>
      </c>
      <c r="BX603">
        <f>VLOOKUP(Table1[[#This Row],[Reference]],metron,12,FALSE)</f>
        <v>1.0516792809839171</v>
      </c>
      <c r="BY603" s="6">
        <f>VLOOKUP(Table1[[#This Row],[Reference]],metron,13,FALSE)</f>
        <v>0.64581362346263005</v>
      </c>
      <c r="BZ603" s="6">
        <f>VLOOKUP(Table1[[#This Row],[Reference]],metron,14,FALSE)</f>
        <v>0.45364238410596031</v>
      </c>
      <c r="CA603" s="6">
        <f>VLOOKUP(Table1[[#This Row],[Reference]],metron,15,FALSE)</f>
        <v>12.686892177589851</v>
      </c>
      <c r="CB603" s="6">
        <f>VLOOKUP(Table1[[#This Row],[Reference]],metron,16,FALSE)</f>
        <v>9.8059196617336148</v>
      </c>
      <c r="CC603" s="6">
        <f>VLOOKUP(Table1[[#This Row],[Reference]],metron,17,FALSE)</f>
        <v>5.3198121263877027</v>
      </c>
      <c r="CD603" s="6">
        <f>VLOOKUP(Table1[[#This Row],[Reference]],metron,18,FALSE)</f>
        <v>4.0954312553373189</v>
      </c>
      <c r="CE603" s="6">
        <f>VLOOKUP(Table1[[#This Row],[Reference]],metron,19,FALSE)</f>
        <v>7.3670800512021479</v>
      </c>
      <c r="CF603" s="6">
        <f>VLOOKUP(Table1[[#This Row],[Reference]],metron,20,FALSE)</f>
        <v>5.710488406396296</v>
      </c>
      <c r="CG603" s="6">
        <f>VLOOKUP(Table1[[#This Row],[Reference]],metron,21,FALSE)</f>
        <v>13.0488908033599</v>
      </c>
      <c r="CH603" s="6">
        <f>VLOOKUP(Table1[[#This Row],[Reference]],metron,22,FALSE)</f>
        <v>13.714839543398661</v>
      </c>
      <c r="CI603" s="6">
        <f>VLOOKUP(Table1[[#This Row],[Reference]],metron,23,FALSE)</f>
        <v>1.567523459812322</v>
      </c>
      <c r="CJ603" s="6">
        <f>VLOOKUP(Table1[[#This Row],[Reference]],metron,24,FALSE)</f>
        <v>1.951040391676867</v>
      </c>
      <c r="CK603" s="6">
        <f>VLOOKUP(Table1[[#This Row],[Reference]],metron,25,FALSE)</f>
        <v>8.3027335781313744E-2</v>
      </c>
      <c r="CL603" s="6">
        <f>VLOOKUP(Table1[[#This Row],[Reference]],metron,26,FALSE)</f>
        <v>0.13117095063239501</v>
      </c>
    </row>
    <row r="604" spans="1:90" x14ac:dyDescent="0.45">
      <c r="A604" t="s">
        <v>1256</v>
      </c>
      <c r="B604">
        <v>1615599000</v>
      </c>
      <c r="C604" s="23" t="s">
        <v>1125</v>
      </c>
      <c r="D604" t="s">
        <v>65</v>
      </c>
      <c r="E604" t="s">
        <v>66</v>
      </c>
      <c r="F604" t="s">
        <v>102</v>
      </c>
      <c r="G604" t="s">
        <v>97</v>
      </c>
      <c r="H604" t="s">
        <v>114</v>
      </c>
      <c r="I604">
        <f>MROUND(Table1[[#This Row],[ProbH]]*100,2)/100</f>
        <v>0.46</v>
      </c>
      <c r="J604">
        <f>1/Table1[[#This Row],[odds_ft_home_team_win]]-Table1[[#This Row],[Margin]]</f>
        <v>0.45471521942110177</v>
      </c>
      <c r="K604">
        <f>1/Table1[[#This Row],[odds_ft_draw]]-Table1[[#This Row],[Margin]]</f>
        <v>0.27264239028944914</v>
      </c>
      <c r="L604">
        <f>1/Table1[[#This Row],[odds_ft_away_team_win]]-Table1[[#This Row],[Margin]]</f>
        <v>0.27264239028944914</v>
      </c>
      <c r="M604">
        <v>11</v>
      </c>
      <c r="N604">
        <v>1.33</v>
      </c>
      <c r="O604">
        <v>0.92</v>
      </c>
      <c r="P604">
        <v>1.5</v>
      </c>
      <c r="Q604">
        <v>1.06</v>
      </c>
      <c r="R604" t="str" cm="1">
        <f t="array" ref="R6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Z604">
        <v>73</v>
      </c>
      <c r="AA604">
        <v>4</v>
      </c>
      <c r="AB604">
        <v>5</v>
      </c>
      <c r="AC604">
        <v>2</v>
      </c>
      <c r="AD604">
        <v>0</v>
      </c>
      <c r="AE604">
        <v>5</v>
      </c>
      <c r="AF604">
        <v>0</v>
      </c>
      <c r="AG604">
        <v>1</v>
      </c>
      <c r="AH604">
        <v>1</v>
      </c>
      <c r="AI604">
        <v>1</v>
      </c>
      <c r="AJ604">
        <v>4</v>
      </c>
      <c r="AK604">
        <v>8</v>
      </c>
      <c r="AL604">
        <v>19</v>
      </c>
      <c r="AM604">
        <v>2</v>
      </c>
      <c r="AN604">
        <v>5</v>
      </c>
      <c r="AO604">
        <v>6</v>
      </c>
      <c r="AP604">
        <v>14</v>
      </c>
      <c r="AQ604">
        <v>17</v>
      </c>
      <c r="AR604">
        <v>21</v>
      </c>
      <c r="AS604">
        <v>58</v>
      </c>
      <c r="AT604">
        <v>42</v>
      </c>
      <c r="AU604">
        <v>0.92</v>
      </c>
      <c r="AV604">
        <v>1.88</v>
      </c>
      <c r="AW604">
        <v>2.11</v>
      </c>
      <c r="AX604">
        <v>50</v>
      </c>
      <c r="AY604">
        <v>57</v>
      </c>
      <c r="AZ604">
        <v>32</v>
      </c>
      <c r="BA604">
        <v>21</v>
      </c>
      <c r="BB604">
        <v>14</v>
      </c>
      <c r="BC604">
        <v>39</v>
      </c>
      <c r="BD604">
        <v>61</v>
      </c>
      <c r="BE604">
        <v>32</v>
      </c>
      <c r="BF604">
        <v>53</v>
      </c>
      <c r="BG604">
        <v>9.99</v>
      </c>
      <c r="BH604">
        <v>4.26</v>
      </c>
      <c r="BI604">
        <v>2.1</v>
      </c>
      <c r="BJ604">
        <v>3.4</v>
      </c>
      <c r="BK604">
        <v>3.4</v>
      </c>
      <c r="BL604">
        <f>(1/Table1[[#This Row],[odds_ft_home_team_win]]+1/Table1[[#This Row],[odds_ft_draw]]+1/Table1[[#This Row],[odds_ft_away_team_win]]-1)/3</f>
        <v>2.1475256769374413E-2</v>
      </c>
      <c r="BM604">
        <v>1.44</v>
      </c>
      <c r="BN604">
        <v>1.95</v>
      </c>
      <c r="BO604">
        <v>3.3</v>
      </c>
      <c r="BP604">
        <v>7.5</v>
      </c>
      <c r="BQ604">
        <v>1.95</v>
      </c>
      <c r="BR604">
        <v>1.8</v>
      </c>
      <c r="BS604" t="s">
        <v>124</v>
      </c>
      <c r="BT604">
        <f>VLOOKUP(Table1[[#This Row],[Reference]],metron,8,FALSE)</f>
        <v>1.6955772349985931</v>
      </c>
      <c r="BU604">
        <f>VLOOKUP(Table1[[#This Row],[Reference]],metron,9,FALSE)</f>
        <v>1.0239029519551039</v>
      </c>
      <c r="BV604">
        <f>VLOOKUP(Table1[[#This Row],[Reference]],metron,10,FALSE)</f>
        <v>2.5405629139072849</v>
      </c>
      <c r="BW604">
        <f>VLOOKUP(Table1[[#This Row],[Reference]],metron,11,FALSE)</f>
        <v>1.4888836329233679</v>
      </c>
      <c r="BX604">
        <f>VLOOKUP(Table1[[#This Row],[Reference]],metron,12,FALSE)</f>
        <v>1.0516792809839171</v>
      </c>
      <c r="BY604" s="6">
        <f>VLOOKUP(Table1[[#This Row],[Reference]],metron,13,FALSE)</f>
        <v>0.64581362346263005</v>
      </c>
      <c r="BZ604" s="6">
        <f>VLOOKUP(Table1[[#This Row],[Reference]],metron,14,FALSE)</f>
        <v>0.45364238410596031</v>
      </c>
      <c r="CA604" s="6">
        <f>VLOOKUP(Table1[[#This Row],[Reference]],metron,15,FALSE)</f>
        <v>12.686892177589851</v>
      </c>
      <c r="CB604" s="6">
        <f>VLOOKUP(Table1[[#This Row],[Reference]],metron,16,FALSE)</f>
        <v>9.8059196617336148</v>
      </c>
      <c r="CC604" s="6">
        <f>VLOOKUP(Table1[[#This Row],[Reference]],metron,17,FALSE)</f>
        <v>5.3198121263877027</v>
      </c>
      <c r="CD604" s="6">
        <f>VLOOKUP(Table1[[#This Row],[Reference]],metron,18,FALSE)</f>
        <v>4.0954312553373189</v>
      </c>
      <c r="CE604" s="6">
        <f>VLOOKUP(Table1[[#This Row],[Reference]],metron,19,FALSE)</f>
        <v>7.3670800512021479</v>
      </c>
      <c r="CF604" s="6">
        <f>VLOOKUP(Table1[[#This Row],[Reference]],metron,20,FALSE)</f>
        <v>5.710488406396296</v>
      </c>
      <c r="CG604" s="6">
        <f>VLOOKUP(Table1[[#This Row],[Reference]],metron,21,FALSE)</f>
        <v>13.0488908033599</v>
      </c>
      <c r="CH604" s="6">
        <f>VLOOKUP(Table1[[#This Row],[Reference]],metron,22,FALSE)</f>
        <v>13.714839543398661</v>
      </c>
      <c r="CI604" s="6">
        <f>VLOOKUP(Table1[[#This Row],[Reference]],metron,23,FALSE)</f>
        <v>1.567523459812322</v>
      </c>
      <c r="CJ604" s="6">
        <f>VLOOKUP(Table1[[#This Row],[Reference]],metron,24,FALSE)</f>
        <v>1.951040391676867</v>
      </c>
      <c r="CK604" s="6">
        <f>VLOOKUP(Table1[[#This Row],[Reference]],metron,25,FALSE)</f>
        <v>8.3027335781313744E-2</v>
      </c>
      <c r="CL604" s="6">
        <f>VLOOKUP(Table1[[#This Row],[Reference]],metron,26,FALSE)</f>
        <v>0.13117095063239501</v>
      </c>
    </row>
    <row r="605" spans="1:90" x14ac:dyDescent="0.45">
      <c r="A605" t="s">
        <v>1256</v>
      </c>
      <c r="B605">
        <v>1615606200</v>
      </c>
      <c r="C605" s="23" t="s">
        <v>1126</v>
      </c>
      <c r="D605" t="s">
        <v>65</v>
      </c>
      <c r="E605" t="s">
        <v>66</v>
      </c>
      <c r="F605" t="s">
        <v>78</v>
      </c>
      <c r="G605" t="s">
        <v>96</v>
      </c>
      <c r="H605" t="s">
        <v>103</v>
      </c>
      <c r="I605">
        <f>MROUND(Table1[[#This Row],[ProbH]]*100,2)/100</f>
        <v>0.4</v>
      </c>
      <c r="J605">
        <f>1/Table1[[#This Row],[odds_ft_home_team_win]]-Table1[[#This Row],[Margin]]</f>
        <v>0.40174349881796695</v>
      </c>
      <c r="K605">
        <f>1/Table1[[#This Row],[odds_ft_draw]]-Table1[[#This Row],[Margin]]</f>
        <v>0.28871158392434992</v>
      </c>
      <c r="L605">
        <f>1/Table1[[#This Row],[odds_ft_away_team_win]]-Table1[[#This Row],[Margin]]</f>
        <v>0.30954491725768324</v>
      </c>
      <c r="M605">
        <v>11</v>
      </c>
      <c r="N605">
        <v>1.42</v>
      </c>
      <c r="O605">
        <v>1.06</v>
      </c>
      <c r="P605">
        <v>1.41</v>
      </c>
      <c r="Q605">
        <v>1.25</v>
      </c>
      <c r="R605" t="str" cm="1">
        <f t="array" ref="R6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05">
        <v>1</v>
      </c>
      <c r="T605">
        <v>1</v>
      </c>
      <c r="U605">
        <v>2</v>
      </c>
      <c r="V605">
        <v>1</v>
      </c>
      <c r="W605">
        <v>1</v>
      </c>
      <c r="X605">
        <v>0</v>
      </c>
      <c r="Y605">
        <v>17</v>
      </c>
      <c r="Z605">
        <v>55</v>
      </c>
      <c r="AA605">
        <v>2</v>
      </c>
      <c r="AB605">
        <v>3</v>
      </c>
      <c r="AC605">
        <v>3</v>
      </c>
      <c r="AD605">
        <v>0</v>
      </c>
      <c r="AE605">
        <v>5</v>
      </c>
      <c r="AF605">
        <v>0</v>
      </c>
      <c r="AG605">
        <v>2</v>
      </c>
      <c r="AH605">
        <v>1</v>
      </c>
      <c r="AI605">
        <v>1</v>
      </c>
      <c r="AJ605">
        <v>4</v>
      </c>
      <c r="AK605">
        <v>10</v>
      </c>
      <c r="AL605">
        <v>8</v>
      </c>
      <c r="AM605">
        <v>3</v>
      </c>
      <c r="AN605">
        <v>3</v>
      </c>
      <c r="AO605">
        <v>7</v>
      </c>
      <c r="AP605">
        <v>5</v>
      </c>
      <c r="AQ605">
        <v>14</v>
      </c>
      <c r="AR605">
        <v>13</v>
      </c>
      <c r="AS605">
        <v>47</v>
      </c>
      <c r="AT605">
        <v>53</v>
      </c>
      <c r="AU605">
        <v>1.1000000000000001</v>
      </c>
      <c r="AV605">
        <v>0.97</v>
      </c>
      <c r="AW605">
        <v>1.87</v>
      </c>
      <c r="AX605">
        <v>39</v>
      </c>
      <c r="AY605">
        <v>56</v>
      </c>
      <c r="AZ605">
        <v>23</v>
      </c>
      <c r="BA605">
        <v>11</v>
      </c>
      <c r="BB605">
        <v>4</v>
      </c>
      <c r="BC605">
        <v>20</v>
      </c>
      <c r="BD605">
        <v>56</v>
      </c>
      <c r="BE605">
        <v>28</v>
      </c>
      <c r="BF605">
        <v>62</v>
      </c>
      <c r="BG605">
        <v>9.31</v>
      </c>
      <c r="BH605">
        <v>4.67</v>
      </c>
      <c r="BI605">
        <v>2.35</v>
      </c>
      <c r="BJ605">
        <v>3.2</v>
      </c>
      <c r="BK605">
        <v>3</v>
      </c>
      <c r="BL605">
        <f>(1/Table1[[#This Row],[odds_ft_home_team_win]]+1/Table1[[#This Row],[odds_ft_draw]]+1/Table1[[#This Row],[odds_ft_away_team_win]]-1)/3</f>
        <v>2.3788416075650076E-2</v>
      </c>
      <c r="BM605">
        <v>1.39</v>
      </c>
      <c r="BN605">
        <v>2.2200000000000002</v>
      </c>
      <c r="BO605">
        <v>4</v>
      </c>
      <c r="BP605">
        <v>7.9</v>
      </c>
      <c r="BQ605">
        <v>1.91</v>
      </c>
      <c r="BR605">
        <v>1.83</v>
      </c>
      <c r="BS605" t="s">
        <v>82</v>
      </c>
      <c r="BT605">
        <f>VLOOKUP(Table1[[#This Row],[Reference]],metron,8,FALSE)</f>
        <v>1.5181603563290151</v>
      </c>
      <c r="BU605">
        <f>VLOOKUP(Table1[[#This Row],[Reference]],metron,9,FALSE)</f>
        <v>1.1952730370775513</v>
      </c>
      <c r="BV605">
        <f>VLOOKUP(Table1[[#This Row],[Reference]],metron,10,FALSE)</f>
        <v>2.4956155335383219</v>
      </c>
      <c r="BW605">
        <f>VLOOKUP(Table1[[#This Row],[Reference]],metron,11,FALSE)</f>
        <v>1.344038264434575</v>
      </c>
      <c r="BX605">
        <f>VLOOKUP(Table1[[#This Row],[Reference]],metron,12,FALSE)</f>
        <v>1.1515772691037469</v>
      </c>
      <c r="BY605" s="6">
        <f>VLOOKUP(Table1[[#This Row],[Reference]],metron,13,FALSE)</f>
        <v>0.59936225942375587</v>
      </c>
      <c r="BZ605" s="6">
        <f>VLOOKUP(Table1[[#This Row],[Reference]],metron,14,FALSE)</f>
        <v>0.50723152260562576</v>
      </c>
      <c r="CA605" s="6">
        <f>VLOOKUP(Table1[[#This Row],[Reference]],metron,15,FALSE)</f>
        <v>11.99278846153846</v>
      </c>
      <c r="CB605" s="6">
        <f>VLOOKUP(Table1[[#This Row],[Reference]],metron,16,FALSE)</f>
        <v>10.0277534965035</v>
      </c>
      <c r="CC605" s="6">
        <f>VLOOKUP(Table1[[#This Row],[Reference]],metron,17,FALSE)</f>
        <v>5.2857459543338514</v>
      </c>
      <c r="CD605" s="6">
        <f>VLOOKUP(Table1[[#This Row],[Reference]],metron,18,FALSE)</f>
        <v>4.4067834183107957</v>
      </c>
      <c r="CE605" s="6">
        <f>VLOOKUP(Table1[[#This Row],[Reference]],metron,19,FALSE)</f>
        <v>6.7070425072046085</v>
      </c>
      <c r="CF605" s="6">
        <f>VLOOKUP(Table1[[#This Row],[Reference]],metron,20,FALSE)</f>
        <v>5.6209700781927046</v>
      </c>
      <c r="CG605" s="6">
        <f>VLOOKUP(Table1[[#This Row],[Reference]],metron,21,FALSE)</f>
        <v>13.04463690872752</v>
      </c>
      <c r="CH605" s="6">
        <f>VLOOKUP(Table1[[#This Row],[Reference]],metron,22,FALSE)</f>
        <v>13.49811236953142</v>
      </c>
      <c r="CI605" s="6">
        <f>VLOOKUP(Table1[[#This Row],[Reference]],metron,23,FALSE)</f>
        <v>1.5836526181353769</v>
      </c>
      <c r="CJ605" s="6">
        <f>VLOOKUP(Table1[[#This Row],[Reference]],metron,24,FALSE)</f>
        <v>1.8744146445295871</v>
      </c>
      <c r="CK605" s="6">
        <f>VLOOKUP(Table1[[#This Row],[Reference]],metron,25,FALSE)</f>
        <v>8.5994040017028525E-2</v>
      </c>
      <c r="CL605" s="6">
        <f>VLOOKUP(Table1[[#This Row],[Reference]],metron,26,FALSE)</f>
        <v>0.13452532992762881</v>
      </c>
    </row>
    <row r="606" spans="1:90" x14ac:dyDescent="0.45">
      <c r="A606" t="s">
        <v>1256</v>
      </c>
      <c r="B606">
        <v>1615683600</v>
      </c>
      <c r="C606" s="23" t="s">
        <v>1127</v>
      </c>
      <c r="D606" t="s">
        <v>65</v>
      </c>
      <c r="E606" t="s">
        <v>66</v>
      </c>
      <c r="F606" t="s">
        <v>107</v>
      </c>
      <c r="G606" t="s">
        <v>113</v>
      </c>
      <c r="H606" t="s">
        <v>108</v>
      </c>
      <c r="I606">
        <f>MROUND(Table1[[#This Row],[ProbH]]*100,2)/100</f>
        <v>0.66</v>
      </c>
      <c r="J606">
        <f>1/Table1[[#This Row],[odds_ft_home_team_win]]-Table1[[#This Row],[Margin]]</f>
        <v>0.65616454350484554</v>
      </c>
      <c r="K606">
        <f>1/Table1[[#This Row],[odds_ft_draw]]-Table1[[#This Row],[Margin]]</f>
        <v>0.21979487368569839</v>
      </c>
      <c r="L606">
        <f>1/Table1[[#This Row],[odds_ft_away_team_win]]-Table1[[#This Row],[Margin]]</f>
        <v>0.12404058280945625</v>
      </c>
      <c r="M606">
        <v>11</v>
      </c>
      <c r="N606">
        <v>1.63</v>
      </c>
      <c r="O606">
        <v>0.38</v>
      </c>
      <c r="P606">
        <v>1.53</v>
      </c>
      <c r="Q606">
        <v>0.65</v>
      </c>
      <c r="R606" t="str" cm="1">
        <f t="array" ref="R6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6">
        <v>1</v>
      </c>
      <c r="T606">
        <v>2</v>
      </c>
      <c r="U606">
        <v>3</v>
      </c>
      <c r="V606">
        <v>1</v>
      </c>
      <c r="W606">
        <v>0</v>
      </c>
      <c r="X606">
        <v>1</v>
      </c>
      <c r="Y606">
        <v>75</v>
      </c>
      <c r="Z606" t="s">
        <v>1128</v>
      </c>
      <c r="AA606">
        <v>2</v>
      </c>
      <c r="AB606">
        <v>1</v>
      </c>
      <c r="AC606">
        <v>1</v>
      </c>
      <c r="AD606">
        <v>1</v>
      </c>
      <c r="AE606">
        <v>3</v>
      </c>
      <c r="AF606">
        <v>0</v>
      </c>
      <c r="AG606">
        <v>2</v>
      </c>
      <c r="AH606">
        <v>0</v>
      </c>
      <c r="AI606">
        <v>1</v>
      </c>
      <c r="AJ606">
        <v>2</v>
      </c>
      <c r="AK606">
        <v>6</v>
      </c>
      <c r="AL606">
        <v>9</v>
      </c>
      <c r="AM606">
        <v>0</v>
      </c>
      <c r="AN606">
        <v>4</v>
      </c>
      <c r="AO606">
        <v>6</v>
      </c>
      <c r="AP606">
        <v>5</v>
      </c>
      <c r="AQ606">
        <v>14</v>
      </c>
      <c r="AR606">
        <v>18</v>
      </c>
      <c r="AS606">
        <v>58</v>
      </c>
      <c r="AT606">
        <v>42</v>
      </c>
      <c r="AU606">
        <v>0.79</v>
      </c>
      <c r="AV606">
        <v>1.04</v>
      </c>
      <c r="AW606">
        <v>2.89</v>
      </c>
      <c r="AX606">
        <v>59</v>
      </c>
      <c r="AY606">
        <v>86</v>
      </c>
      <c r="AZ606">
        <v>53</v>
      </c>
      <c r="BA606">
        <v>29</v>
      </c>
      <c r="BB606">
        <v>15</v>
      </c>
      <c r="BC606">
        <v>28</v>
      </c>
      <c r="BD606">
        <v>55</v>
      </c>
      <c r="BE606">
        <v>56</v>
      </c>
      <c r="BF606">
        <v>86</v>
      </c>
      <c r="BG606">
        <v>8.24</v>
      </c>
      <c r="BH606">
        <v>4.37</v>
      </c>
      <c r="BI606">
        <v>1.47</v>
      </c>
      <c r="BJ606">
        <v>4.0999999999999996</v>
      </c>
      <c r="BK606">
        <v>6.75</v>
      </c>
      <c r="BL606">
        <f>(1/Table1[[#This Row],[odds_ft_home_team_win]]+1/Table1[[#This Row],[odds_ft_draw]]+1/Table1[[#This Row],[odds_ft_away_team_win]]-1)/3</f>
        <v>2.4107565338691888E-2</v>
      </c>
      <c r="BM606">
        <v>1.32</v>
      </c>
      <c r="BN606">
        <v>1.91</v>
      </c>
      <c r="BO606">
        <v>3.2</v>
      </c>
      <c r="BP606">
        <v>6.25</v>
      </c>
      <c r="BQ606">
        <v>2.1</v>
      </c>
      <c r="BR606">
        <v>1.69</v>
      </c>
      <c r="BS606" t="s">
        <v>161</v>
      </c>
      <c r="BT606">
        <f>VLOOKUP(Table1[[#This Row],[Reference]],metron,8,FALSE)</f>
        <v>2.2311424831798083</v>
      </c>
      <c r="BU606">
        <f>VLOOKUP(Table1[[#This Row],[Reference]],metron,9,FALSE)</f>
        <v>0.55281092137037047</v>
      </c>
      <c r="BV606">
        <f>VLOOKUP(Table1[[#This Row],[Reference]],metron,10,FALSE)</f>
        <v>2.9251336898395728</v>
      </c>
      <c r="BW606">
        <f>VLOOKUP(Table1[[#This Row],[Reference]],metron,11,FALSE)</f>
        <v>2.089675030851502</v>
      </c>
      <c r="BX606">
        <f>VLOOKUP(Table1[[#This Row],[Reference]],metron,12,FALSE)</f>
        <v>0.8354586589880707</v>
      </c>
      <c r="BY606" s="6">
        <f>VLOOKUP(Table1[[#This Row],[Reference]],metron,13,FALSE)</f>
        <v>0.92472233648704238</v>
      </c>
      <c r="BZ606" s="6">
        <f>VLOOKUP(Table1[[#This Row],[Reference]],metron,14,FALSE)</f>
        <v>0.35252982311805842</v>
      </c>
      <c r="CA606" s="6">
        <f>VLOOKUP(Table1[[#This Row],[Reference]],metron,15,FALSE)</f>
        <v>15.366666666666671</v>
      </c>
      <c r="CB606" s="6">
        <f>VLOOKUP(Table1[[#This Row],[Reference]],metron,16,FALSE)</f>
        <v>8.5234848484848484</v>
      </c>
      <c r="CC606" s="6">
        <f>VLOOKUP(Table1[[#This Row],[Reference]],metron,17,FALSE)</f>
        <v>6.6873065015479876</v>
      </c>
      <c r="CD606" s="6">
        <f>VLOOKUP(Table1[[#This Row],[Reference]],metron,18,FALSE)</f>
        <v>3.3490712074303399</v>
      </c>
      <c r="CE606" s="6">
        <f>VLOOKUP(Table1[[#This Row],[Reference]],metron,19,FALSE)</f>
        <v>8.679360165118684</v>
      </c>
      <c r="CF606" s="6">
        <f>VLOOKUP(Table1[[#This Row],[Reference]],metron,20,FALSE)</f>
        <v>5.1744136410545085</v>
      </c>
      <c r="CG606" s="6">
        <f>VLOOKUP(Table1[[#This Row],[Reference]],metron,21,FALSE)</f>
        <v>12.62384615384615</v>
      </c>
      <c r="CH606" s="6">
        <f>VLOOKUP(Table1[[#This Row],[Reference]],metron,22,FALSE)</f>
        <v>13.844615384615381</v>
      </c>
      <c r="CI606" s="6">
        <f>VLOOKUP(Table1[[#This Row],[Reference]],metron,23,FALSE)</f>
        <v>1.369710467706013</v>
      </c>
      <c r="CJ606" s="6">
        <f>VLOOKUP(Table1[[#This Row],[Reference]],metron,24,FALSE)</f>
        <v>2.0920564216778019</v>
      </c>
      <c r="CK606" s="6">
        <f>VLOOKUP(Table1[[#This Row],[Reference]],metron,25,FALSE)</f>
        <v>7.126948775055679E-2</v>
      </c>
      <c r="CL606" s="6">
        <f>VLOOKUP(Table1[[#This Row],[Reference]],metron,26,FALSE)</f>
        <v>0.13214550853749071</v>
      </c>
    </row>
    <row r="607" spans="1:90" x14ac:dyDescent="0.45">
      <c r="A607" t="s">
        <v>1256</v>
      </c>
      <c r="B607">
        <v>1615690800</v>
      </c>
      <c r="C607" s="23" t="s">
        <v>1129</v>
      </c>
      <c r="D607" t="s">
        <v>65</v>
      </c>
      <c r="E607" t="s">
        <v>66</v>
      </c>
      <c r="F607" t="s">
        <v>112</v>
      </c>
      <c r="G607" t="s">
        <v>101</v>
      </c>
      <c r="H607" t="s">
        <v>133</v>
      </c>
      <c r="I607">
        <f>MROUND(Table1[[#This Row],[ProbH]]*100,2)/100</f>
        <v>0.42</v>
      </c>
      <c r="J607">
        <f>1/Table1[[#This Row],[odds_ft_home_team_win]]-Table1[[#This Row],[Margin]]</f>
        <v>0.42279942279942279</v>
      </c>
      <c r="K607">
        <f>1/Table1[[#This Row],[odds_ft_draw]]-Table1[[#This Row],[Margin]]</f>
        <v>0.29581529581529581</v>
      </c>
      <c r="L607">
        <f>1/Table1[[#This Row],[odds_ft_away_team_win]]-Table1[[#This Row],[Margin]]</f>
        <v>0.2813852813852814</v>
      </c>
      <c r="M607">
        <v>11</v>
      </c>
      <c r="N607">
        <v>2</v>
      </c>
      <c r="O607">
        <v>1.57</v>
      </c>
      <c r="P607">
        <v>2.1800000000000002</v>
      </c>
      <c r="Q607">
        <v>1.39</v>
      </c>
      <c r="R607" t="str" cm="1">
        <f t="array" ref="R6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42</v>
      </c>
      <c r="AA607">
        <v>3</v>
      </c>
      <c r="AB607">
        <v>10</v>
      </c>
      <c r="AC607">
        <v>3</v>
      </c>
      <c r="AD607">
        <v>0</v>
      </c>
      <c r="AE607">
        <v>4</v>
      </c>
      <c r="AF607">
        <v>0</v>
      </c>
      <c r="AG607">
        <v>2</v>
      </c>
      <c r="AH607">
        <v>1</v>
      </c>
      <c r="AI607">
        <v>2</v>
      </c>
      <c r="AJ607">
        <v>2</v>
      </c>
      <c r="AK607">
        <v>13</v>
      </c>
      <c r="AL607">
        <v>9</v>
      </c>
      <c r="AM607">
        <v>3</v>
      </c>
      <c r="AN607">
        <v>4</v>
      </c>
      <c r="AO607">
        <v>10</v>
      </c>
      <c r="AP607">
        <v>5</v>
      </c>
      <c r="AQ607">
        <v>14</v>
      </c>
      <c r="AR607">
        <v>16</v>
      </c>
      <c r="AS607">
        <v>49</v>
      </c>
      <c r="AT607">
        <v>51</v>
      </c>
      <c r="AU607">
        <v>1.36</v>
      </c>
      <c r="AV607">
        <v>1.2</v>
      </c>
      <c r="AW607">
        <v>2.57</v>
      </c>
      <c r="AX607">
        <v>50</v>
      </c>
      <c r="AY607">
        <v>72</v>
      </c>
      <c r="AZ607">
        <v>47</v>
      </c>
      <c r="BA607">
        <v>25</v>
      </c>
      <c r="BB607">
        <v>14</v>
      </c>
      <c r="BC607">
        <v>36</v>
      </c>
      <c r="BD607">
        <v>64</v>
      </c>
      <c r="BE607">
        <v>29</v>
      </c>
      <c r="BF607">
        <v>83</v>
      </c>
      <c r="BG607">
        <v>11.86</v>
      </c>
      <c r="BH607">
        <v>3.64</v>
      </c>
      <c r="BI607">
        <v>2.25</v>
      </c>
      <c r="BJ607">
        <v>3.15</v>
      </c>
      <c r="BK607">
        <v>3.3</v>
      </c>
      <c r="BL607">
        <f>(1/Table1[[#This Row],[odds_ft_home_team_win]]+1/Table1[[#This Row],[odds_ft_draw]]+1/Table1[[#This Row],[odds_ft_away_team_win]]-1)/3</f>
        <v>2.1645021645021616E-2</v>
      </c>
      <c r="BM607">
        <v>1.39</v>
      </c>
      <c r="BN607">
        <v>2.1</v>
      </c>
      <c r="BO607">
        <v>3.6</v>
      </c>
      <c r="BP607">
        <v>7.25</v>
      </c>
      <c r="BQ607">
        <v>1.87</v>
      </c>
      <c r="BR607">
        <v>1.87</v>
      </c>
      <c r="BS607" t="s">
        <v>116</v>
      </c>
      <c r="BT607">
        <f>VLOOKUP(Table1[[#This Row],[Reference]],metron,8,FALSE)</f>
        <v>1.5780106027030405</v>
      </c>
      <c r="BU607">
        <f>VLOOKUP(Table1[[#This Row],[Reference]],metron,9,FALSE)</f>
        <v>1.1353025412447635</v>
      </c>
      <c r="BV607">
        <f>VLOOKUP(Table1[[#This Row],[Reference]],metron,10,FALSE)</f>
        <v>2.4884649511978703</v>
      </c>
      <c r="BW607">
        <f>VLOOKUP(Table1[[#This Row],[Reference]],metron,11,FALSE)</f>
        <v>1.396960958296362</v>
      </c>
      <c r="BX607">
        <f>VLOOKUP(Table1[[#This Row],[Reference]],metron,12,FALSE)</f>
        <v>1.091503992901508</v>
      </c>
      <c r="BY607" s="6">
        <f>VLOOKUP(Table1[[#This Row],[Reference]],metron,13,FALSE)</f>
        <v>0.60765391014975045</v>
      </c>
      <c r="BZ607" s="6">
        <f>VLOOKUP(Table1[[#This Row],[Reference]],metron,14,FALSE)</f>
        <v>0.47276760953965608</v>
      </c>
      <c r="CA607" s="6">
        <f>VLOOKUP(Table1[[#This Row],[Reference]],metron,15,FALSE)</f>
        <v>12.29504785684561</v>
      </c>
      <c r="CB607" s="6">
        <f>VLOOKUP(Table1[[#This Row],[Reference]],metron,16,FALSE)</f>
        <v>10.047232625884311</v>
      </c>
      <c r="CC607" s="6">
        <f>VLOOKUP(Table1[[#This Row],[Reference]],metron,17,FALSE)</f>
        <v>5.2917192097519967</v>
      </c>
      <c r="CD607" s="6">
        <f>VLOOKUP(Table1[[#This Row],[Reference]],metron,18,FALSE)</f>
        <v>4.2580916351408158</v>
      </c>
      <c r="CE607" s="6">
        <f>VLOOKUP(Table1[[#This Row],[Reference]],metron,19,FALSE)</f>
        <v>7.0033286470936131</v>
      </c>
      <c r="CF607" s="6">
        <f>VLOOKUP(Table1[[#This Row],[Reference]],metron,20,FALSE)</f>
        <v>5.789140990743495</v>
      </c>
      <c r="CG607" s="6">
        <f>VLOOKUP(Table1[[#This Row],[Reference]],metron,21,FALSE)</f>
        <v>12.77041895895049</v>
      </c>
      <c r="CH607" s="6">
        <f>VLOOKUP(Table1[[#This Row],[Reference]],metron,22,FALSE)</f>
        <v>13.411129919593741</v>
      </c>
      <c r="CI607" s="6">
        <f>VLOOKUP(Table1[[#This Row],[Reference]],metron,23,FALSE)</f>
        <v>1.556141062018646</v>
      </c>
      <c r="CJ607" s="6">
        <f>VLOOKUP(Table1[[#This Row],[Reference]],metron,24,FALSE)</f>
        <v>1.9114308877178761</v>
      </c>
      <c r="CK607" s="6">
        <f>VLOOKUP(Table1[[#This Row],[Reference]],metron,25,FALSE)</f>
        <v>8.4920956627482766E-2</v>
      </c>
      <c r="CL607" s="6">
        <f>VLOOKUP(Table1[[#This Row],[Reference]],metron,26,FALSE)</f>
        <v>0.1323469801378192</v>
      </c>
    </row>
    <row r="608" spans="1:90" x14ac:dyDescent="0.45">
      <c r="A608" t="s">
        <v>1256</v>
      </c>
      <c r="B608">
        <v>1615691160</v>
      </c>
      <c r="C608" s="23" t="s">
        <v>1130</v>
      </c>
      <c r="D608" t="s">
        <v>65</v>
      </c>
      <c r="E608" t="s">
        <v>66</v>
      </c>
      <c r="F608" t="s">
        <v>106</v>
      </c>
      <c r="G608" t="s">
        <v>73</v>
      </c>
      <c r="H608" t="s">
        <v>158</v>
      </c>
      <c r="I608">
        <f>MROUND(Table1[[#This Row],[ProbH]]*100,2)/100</f>
        <v>0.38</v>
      </c>
      <c r="J608">
        <f>1/Table1[[#This Row],[odds_ft_home_team_win]]-Table1[[#This Row],[Margin]]</f>
        <v>0.37678571428571433</v>
      </c>
      <c r="K608">
        <f>1/Table1[[#This Row],[odds_ft_draw]]-Table1[[#This Row],[Margin]]</f>
        <v>0.28928571428571431</v>
      </c>
      <c r="L608">
        <f>1/Table1[[#This Row],[odds_ft_away_team_win]]-Table1[[#This Row],[Margin]]</f>
        <v>0.33392857142857146</v>
      </c>
      <c r="M608">
        <v>11</v>
      </c>
      <c r="N608">
        <v>1.62</v>
      </c>
      <c r="O608">
        <v>0.77</v>
      </c>
      <c r="P608">
        <v>1.59</v>
      </c>
      <c r="Q608">
        <v>0.8</v>
      </c>
      <c r="R608" s="9" t="str" cm="1">
        <f t="array" ref="R6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8">
        <v>0</v>
      </c>
      <c r="T608">
        <v>1</v>
      </c>
      <c r="U608">
        <v>1</v>
      </c>
      <c r="V608">
        <v>1</v>
      </c>
      <c r="W608">
        <v>0</v>
      </c>
      <c r="X608">
        <v>1</v>
      </c>
      <c r="Z608">
        <v>21</v>
      </c>
      <c r="AA608">
        <v>6</v>
      </c>
      <c r="AB608">
        <v>7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16</v>
      </c>
      <c r="AL608">
        <v>11</v>
      </c>
      <c r="AM608">
        <v>5</v>
      </c>
      <c r="AN608">
        <v>5</v>
      </c>
      <c r="AO608">
        <v>11</v>
      </c>
      <c r="AP608">
        <v>6</v>
      </c>
      <c r="AQ608">
        <v>16</v>
      </c>
      <c r="AR608">
        <v>9</v>
      </c>
      <c r="AS608">
        <v>64</v>
      </c>
      <c r="AT608">
        <v>36</v>
      </c>
      <c r="AU608">
        <v>1.76</v>
      </c>
      <c r="AV608">
        <v>1.29</v>
      </c>
      <c r="AW608">
        <v>2.16</v>
      </c>
      <c r="AX608">
        <v>46</v>
      </c>
      <c r="AY608">
        <v>73</v>
      </c>
      <c r="AZ608">
        <v>38</v>
      </c>
      <c r="BA608">
        <v>15</v>
      </c>
      <c r="BB608">
        <v>4</v>
      </c>
      <c r="BC608">
        <v>27</v>
      </c>
      <c r="BD608">
        <v>73</v>
      </c>
      <c r="BE608">
        <v>31</v>
      </c>
      <c r="BF608">
        <v>73</v>
      </c>
      <c r="BG608">
        <v>8.31</v>
      </c>
      <c r="BH608">
        <v>4.46</v>
      </c>
      <c r="BI608">
        <v>2.5</v>
      </c>
      <c r="BJ608">
        <v>3.2</v>
      </c>
      <c r="BK608">
        <v>2.8</v>
      </c>
      <c r="BL608">
        <f>(1/Table1[[#This Row],[odds_ft_home_team_win]]+1/Table1[[#This Row],[odds_ft_draw]]+1/Table1[[#This Row],[odds_ft_away_team_win]]-1)/3</f>
        <v>2.3214285714285705E-2</v>
      </c>
      <c r="BM608">
        <v>1.38</v>
      </c>
      <c r="BN608">
        <v>2.0499999999999998</v>
      </c>
      <c r="BO608">
        <v>3.45</v>
      </c>
      <c r="BP608">
        <v>6.5</v>
      </c>
      <c r="BQ608">
        <v>1.83</v>
      </c>
      <c r="BR608">
        <v>1.91</v>
      </c>
      <c r="BS608" t="s">
        <v>110</v>
      </c>
      <c r="BT608">
        <f>VLOOKUP(Table1[[#This Row],[Reference]],metron,8,FALSE)</f>
        <v>1.464160929441638</v>
      </c>
      <c r="BU608">
        <f>VLOOKUP(Table1[[#This Row],[Reference]],metron,9,FALSE)</f>
        <v>1.2477119808919459</v>
      </c>
      <c r="BV608">
        <f>VLOOKUP(Table1[[#This Row],[Reference]],metron,10,FALSE)</f>
        <v>2.4900895140664963</v>
      </c>
      <c r="BW608">
        <f>VLOOKUP(Table1[[#This Row],[Reference]],metron,11,FALSE)</f>
        <v>1.330562659846547</v>
      </c>
      <c r="BX608">
        <f>VLOOKUP(Table1[[#This Row],[Reference]],metron,12,FALSE)</f>
        <v>1.1595268542199491</v>
      </c>
      <c r="BY608" s="6">
        <f>VLOOKUP(Table1[[#This Row],[Reference]],metron,13,FALSE)</f>
        <v>0.59053607588191415</v>
      </c>
      <c r="BZ608" s="6">
        <f>VLOOKUP(Table1[[#This Row],[Reference]],metron,14,FALSE)</f>
        <v>0.50069274219332838</v>
      </c>
      <c r="CA608" s="6">
        <f>VLOOKUP(Table1[[#This Row],[Reference]],metron,15,FALSE)</f>
        <v>11.79715236686391</v>
      </c>
      <c r="CB608" s="6">
        <f>VLOOKUP(Table1[[#This Row],[Reference]],metron,16,FALSE)</f>
        <v>10.317122781065089</v>
      </c>
      <c r="CC608" s="6">
        <f>VLOOKUP(Table1[[#This Row],[Reference]],metron,17,FALSE)</f>
        <v>5.0637025966747622</v>
      </c>
      <c r="CD608" s="6">
        <f>VLOOKUP(Table1[[#This Row],[Reference]],metron,18,FALSE)</f>
        <v>4.4674014571268454</v>
      </c>
      <c r="CE608" s="6">
        <f>VLOOKUP(Table1[[#This Row],[Reference]],metron,19,FALSE)</f>
        <v>6.7334497701891483</v>
      </c>
      <c r="CF608" s="6">
        <f>VLOOKUP(Table1[[#This Row],[Reference]],metron,20,FALSE)</f>
        <v>5.849721323938244</v>
      </c>
      <c r="CG608" s="6">
        <f>VLOOKUP(Table1[[#This Row],[Reference]],metron,21,FALSE)</f>
        <v>12.89644194756554</v>
      </c>
      <c r="CH608" s="6">
        <f>VLOOKUP(Table1[[#This Row],[Reference]],metron,22,FALSE)</f>
        <v>13.3434456928839</v>
      </c>
      <c r="CI608" s="6">
        <f>VLOOKUP(Table1[[#This Row],[Reference]],metron,23,FALSE)</f>
        <v>1.6144382124117971</v>
      </c>
      <c r="CJ608" s="6">
        <f>VLOOKUP(Table1[[#This Row],[Reference]],metron,24,FALSE)</f>
        <v>1.9032024606477289</v>
      </c>
      <c r="CK608" s="6">
        <f>VLOOKUP(Table1[[#This Row],[Reference]],metron,25,FALSE)</f>
        <v>9.372172969060974E-2</v>
      </c>
      <c r="CL608" s="6">
        <f>VLOOKUP(Table1[[#This Row],[Reference]],metron,26,FALSE)</f>
        <v>0.11669983716301791</v>
      </c>
    </row>
    <row r="609" spans="1:90" x14ac:dyDescent="0.45">
      <c r="A609" t="s">
        <v>1256</v>
      </c>
      <c r="B609">
        <v>1615744800</v>
      </c>
      <c r="C609" s="23" t="s">
        <v>1131</v>
      </c>
      <c r="D609" t="s">
        <v>65</v>
      </c>
      <c r="E609" t="s">
        <v>66</v>
      </c>
      <c r="F609" t="s">
        <v>79</v>
      </c>
      <c r="G609" t="s">
        <v>84</v>
      </c>
      <c r="H609" t="s">
        <v>215</v>
      </c>
      <c r="I609">
        <f>MROUND(Table1[[#This Row],[ProbH]]*100,2)/100</f>
        <v>0.36</v>
      </c>
      <c r="J609">
        <f>1/Table1[[#This Row],[odds_ft_home_team_win]]-Table1[[#This Row],[Margin]]</f>
        <v>0.36756223005228456</v>
      </c>
      <c r="K609">
        <f>1/Table1[[#This Row],[odds_ft_draw]]-Table1[[#This Row],[Margin]]</f>
        <v>0.27814204932939302</v>
      </c>
      <c r="L609">
        <f>1/Table1[[#This Row],[odds_ft_away_team_win]]-Table1[[#This Row],[Margin]]</f>
        <v>0.35429572061832232</v>
      </c>
      <c r="M609">
        <v>11</v>
      </c>
      <c r="N609">
        <v>2.23</v>
      </c>
      <c r="O609">
        <v>1.27</v>
      </c>
      <c r="P609">
        <v>2</v>
      </c>
      <c r="Q609">
        <v>1.38</v>
      </c>
      <c r="R609" t="str" cm="1">
        <f t="array" ref="R6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9">
        <v>0</v>
      </c>
      <c r="T609">
        <v>2</v>
      </c>
      <c r="U609">
        <v>2</v>
      </c>
      <c r="V609">
        <v>0</v>
      </c>
      <c r="W609">
        <v>0</v>
      </c>
      <c r="X609">
        <v>0</v>
      </c>
      <c r="Z609" t="s">
        <v>1132</v>
      </c>
      <c r="AA609">
        <v>3</v>
      </c>
      <c r="AB609">
        <v>3</v>
      </c>
      <c r="AC609">
        <v>3</v>
      </c>
      <c r="AD609">
        <v>1</v>
      </c>
      <c r="AE609">
        <v>2</v>
      </c>
      <c r="AF609">
        <v>0</v>
      </c>
      <c r="AG609">
        <v>1</v>
      </c>
      <c r="AH609">
        <v>3</v>
      </c>
      <c r="AI609">
        <v>2</v>
      </c>
      <c r="AJ609">
        <v>0</v>
      </c>
      <c r="AK609">
        <v>8</v>
      </c>
      <c r="AL609">
        <v>17</v>
      </c>
      <c r="AM609">
        <v>0</v>
      </c>
      <c r="AN609">
        <v>4</v>
      </c>
      <c r="AO609">
        <v>8</v>
      </c>
      <c r="AP609">
        <v>13</v>
      </c>
      <c r="AQ609">
        <v>9</v>
      </c>
      <c r="AR609">
        <v>10</v>
      </c>
      <c r="AS609">
        <v>51</v>
      </c>
      <c r="AT609">
        <v>49</v>
      </c>
      <c r="AU609">
        <v>0.71</v>
      </c>
      <c r="AV609">
        <v>1.69</v>
      </c>
      <c r="AW609">
        <v>2.1800000000000002</v>
      </c>
      <c r="AX609">
        <v>40</v>
      </c>
      <c r="AY609">
        <v>61</v>
      </c>
      <c r="AZ609">
        <v>33</v>
      </c>
      <c r="BA609">
        <v>26</v>
      </c>
      <c r="BB609">
        <v>12</v>
      </c>
      <c r="BC609">
        <v>37</v>
      </c>
      <c r="BD609">
        <v>61</v>
      </c>
      <c r="BE609">
        <v>33</v>
      </c>
      <c r="BF609">
        <v>73</v>
      </c>
      <c r="BG609">
        <v>11.65</v>
      </c>
      <c r="BH609">
        <v>3.36</v>
      </c>
      <c r="BI609">
        <v>2.56</v>
      </c>
      <c r="BJ609">
        <v>3.32</v>
      </c>
      <c r="BK609">
        <v>2.65</v>
      </c>
      <c r="BL609">
        <f>(1/Table1[[#This Row],[odds_ft_home_team_win]]+1/Table1[[#This Row],[odds_ft_draw]]+1/Table1[[#This Row],[odds_ft_away_team_win]]-1)/3</f>
        <v>2.3062769947715427E-2</v>
      </c>
      <c r="BM609">
        <v>1.3</v>
      </c>
      <c r="BN609">
        <v>1.88</v>
      </c>
      <c r="BO609">
        <v>3.15</v>
      </c>
      <c r="BP609">
        <v>6</v>
      </c>
      <c r="BQ609">
        <v>1.77</v>
      </c>
      <c r="BR609">
        <v>2</v>
      </c>
      <c r="BS609" t="s">
        <v>140</v>
      </c>
      <c r="BT609">
        <f>VLOOKUP(Table1[[#This Row],[Reference]],metron,8,FALSE)</f>
        <v>1.4023864615972674</v>
      </c>
      <c r="BU609">
        <f>VLOOKUP(Table1[[#This Row],[Reference]],metron,9,FALSE)</f>
        <v>1.3093265904245279</v>
      </c>
      <c r="BV609">
        <f>VLOOKUP(Table1[[#This Row],[Reference]],metron,10,FALSE)</f>
        <v>2.5110350525197691</v>
      </c>
      <c r="BW609">
        <f>VLOOKUP(Table1[[#This Row],[Reference]],metron,11,FALSE)</f>
        <v>1.269326094653606</v>
      </c>
      <c r="BX609">
        <f>VLOOKUP(Table1[[#This Row],[Reference]],metron,12,FALSE)</f>
        <v>1.2417089578661631</v>
      </c>
      <c r="BY609" s="6">
        <f>VLOOKUP(Table1[[#This Row],[Reference]],metron,13,FALSE)</f>
        <v>0.56586402266288949</v>
      </c>
      <c r="BZ609" s="6">
        <f>VLOOKUP(Table1[[#This Row],[Reference]],metron,14,FALSE)</f>
        <v>0.55158168083097259</v>
      </c>
      <c r="CA609" s="6">
        <f>VLOOKUP(Table1[[#This Row],[Reference]],metron,15,FALSE)</f>
        <v>11.49400826446281</v>
      </c>
      <c r="CB609" s="6">
        <f>VLOOKUP(Table1[[#This Row],[Reference]],metron,16,FALSE)</f>
        <v>10.507231404958681</v>
      </c>
      <c r="CC609" s="6">
        <f>VLOOKUP(Table1[[#This Row],[Reference]],metron,17,FALSE)</f>
        <v>4.9238790406673623</v>
      </c>
      <c r="CD609" s="6">
        <f>VLOOKUP(Table1[[#This Row],[Reference]],metron,18,FALSE)</f>
        <v>4.6296141814389991</v>
      </c>
      <c r="CE609" s="6">
        <f>VLOOKUP(Table1[[#This Row],[Reference]],metron,19,FALSE)</f>
        <v>6.5701292237954476</v>
      </c>
      <c r="CF609" s="6">
        <f>VLOOKUP(Table1[[#This Row],[Reference]],metron,20,FALSE)</f>
        <v>5.8776172235196817</v>
      </c>
      <c r="CG609" s="6">
        <f>VLOOKUP(Table1[[#This Row],[Reference]],metron,21,FALSE)</f>
        <v>12.798739495798319</v>
      </c>
      <c r="CH609" s="6">
        <f>VLOOKUP(Table1[[#This Row],[Reference]],metron,22,FALSE)</f>
        <v>12.98844537815126</v>
      </c>
      <c r="CI609" s="6">
        <f>VLOOKUP(Table1[[#This Row],[Reference]],metron,23,FALSE)</f>
        <v>1.604928297313674</v>
      </c>
      <c r="CJ609" s="6">
        <f>VLOOKUP(Table1[[#This Row],[Reference]],metron,24,FALSE)</f>
        <v>1.791961219955565</v>
      </c>
      <c r="CK609" s="6">
        <f>VLOOKUP(Table1[[#This Row],[Reference]],metron,25,FALSE)</f>
        <v>8.887093516461321E-2</v>
      </c>
      <c r="CL609" s="6">
        <f>VLOOKUP(Table1[[#This Row],[Reference]],metron,26,FALSE)</f>
        <v>0.11694607150070691</v>
      </c>
    </row>
    <row r="610" spans="1:90" x14ac:dyDescent="0.45">
      <c r="A610" t="s">
        <v>1256</v>
      </c>
      <c r="B610">
        <v>1615766400</v>
      </c>
      <c r="C610" s="23" t="s">
        <v>1133</v>
      </c>
      <c r="D610" t="s">
        <v>65</v>
      </c>
      <c r="E610" t="s">
        <v>66</v>
      </c>
      <c r="F610" t="s">
        <v>67</v>
      </c>
      <c r="G610" t="s">
        <v>91</v>
      </c>
      <c r="H610" t="s">
        <v>80</v>
      </c>
      <c r="I610">
        <f>MROUND(Table1[[#This Row],[ProbH]]*100,2)/100</f>
        <v>0.4</v>
      </c>
      <c r="J610">
        <f>1/Table1[[#This Row],[odds_ft_home_team_win]]-Table1[[#This Row],[Margin]]</f>
        <v>0.40952520625841854</v>
      </c>
      <c r="K610">
        <f>1/Table1[[#This Row],[odds_ft_draw]]-Table1[[#This Row],[Margin]]</f>
        <v>0.26902243417669908</v>
      </c>
      <c r="L610">
        <f>1/Table1[[#This Row],[odds_ft_away_team_win]]-Table1[[#This Row],[Margin]]</f>
        <v>0.32145235956488222</v>
      </c>
      <c r="M610">
        <v>11</v>
      </c>
      <c r="N610">
        <v>1.69</v>
      </c>
      <c r="O610">
        <v>0.46</v>
      </c>
      <c r="P610">
        <v>1.82</v>
      </c>
      <c r="Q610">
        <v>0.35</v>
      </c>
      <c r="R610" t="str" cm="1">
        <f t="array" ref="R6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0">
        <v>2</v>
      </c>
      <c r="T610">
        <v>1</v>
      </c>
      <c r="U610">
        <v>3</v>
      </c>
      <c r="V610">
        <v>2</v>
      </c>
      <c r="W610">
        <v>2</v>
      </c>
      <c r="X610">
        <v>0</v>
      </c>
      <c r="Y610" t="s">
        <v>1134</v>
      </c>
      <c r="Z610">
        <v>88</v>
      </c>
      <c r="AA610">
        <v>6</v>
      </c>
      <c r="AB610">
        <v>1</v>
      </c>
      <c r="AC610">
        <v>5</v>
      </c>
      <c r="AD610">
        <v>0</v>
      </c>
      <c r="AE610">
        <v>1</v>
      </c>
      <c r="AF610">
        <v>0</v>
      </c>
      <c r="AG610">
        <v>1</v>
      </c>
      <c r="AH610">
        <v>4</v>
      </c>
      <c r="AI610">
        <v>0</v>
      </c>
      <c r="AJ610">
        <v>1</v>
      </c>
      <c r="AK610">
        <v>14</v>
      </c>
      <c r="AL610">
        <v>10</v>
      </c>
      <c r="AM610">
        <v>4</v>
      </c>
      <c r="AN610">
        <v>2</v>
      </c>
      <c r="AO610">
        <v>10</v>
      </c>
      <c r="AP610">
        <v>8</v>
      </c>
      <c r="AQ610">
        <v>9</v>
      </c>
      <c r="AR610">
        <v>11</v>
      </c>
      <c r="AS610">
        <v>48</v>
      </c>
      <c r="AT610">
        <v>52</v>
      </c>
      <c r="AU610">
        <v>1.53</v>
      </c>
      <c r="AV610">
        <v>1.04</v>
      </c>
      <c r="AW610">
        <v>3</v>
      </c>
      <c r="AX610">
        <v>62</v>
      </c>
      <c r="AY610">
        <v>81</v>
      </c>
      <c r="AZ610">
        <v>66</v>
      </c>
      <c r="BA610">
        <v>39</v>
      </c>
      <c r="BB610">
        <v>16</v>
      </c>
      <c r="BC610">
        <v>35</v>
      </c>
      <c r="BD610">
        <v>69</v>
      </c>
      <c r="BE610">
        <v>66</v>
      </c>
      <c r="BF610">
        <v>85</v>
      </c>
      <c r="BG610">
        <v>8.5399999999999991</v>
      </c>
      <c r="BH610">
        <v>4.1500000000000004</v>
      </c>
      <c r="BI610">
        <v>2.31</v>
      </c>
      <c r="BJ610">
        <v>3.42</v>
      </c>
      <c r="BK610">
        <v>2.9</v>
      </c>
      <c r="BL610">
        <f>(1/Table1[[#This Row],[odds_ft_home_team_win]]+1/Table1[[#This Row],[odds_ft_draw]]+1/Table1[[#This Row],[odds_ft_away_team_win]]-1)/3</f>
        <v>2.337522664201434E-2</v>
      </c>
      <c r="BM610">
        <v>1.32</v>
      </c>
      <c r="BN610">
        <v>1.83</v>
      </c>
      <c r="BO610">
        <v>3.1</v>
      </c>
      <c r="BP610">
        <v>6</v>
      </c>
      <c r="BQ610">
        <v>1.74</v>
      </c>
      <c r="BR610">
        <v>2</v>
      </c>
      <c r="BS610" t="s">
        <v>70</v>
      </c>
      <c r="BT610">
        <f>VLOOKUP(Table1[[#This Row],[Reference]],metron,8,FALSE)</f>
        <v>1.5181603563290151</v>
      </c>
      <c r="BU610">
        <f>VLOOKUP(Table1[[#This Row],[Reference]],metron,9,FALSE)</f>
        <v>1.1952730370775513</v>
      </c>
      <c r="BV610">
        <f>VLOOKUP(Table1[[#This Row],[Reference]],metron,10,FALSE)</f>
        <v>2.4956155335383219</v>
      </c>
      <c r="BW610">
        <f>VLOOKUP(Table1[[#This Row],[Reference]],metron,11,FALSE)</f>
        <v>1.344038264434575</v>
      </c>
      <c r="BX610">
        <f>VLOOKUP(Table1[[#This Row],[Reference]],metron,12,FALSE)</f>
        <v>1.1515772691037469</v>
      </c>
      <c r="BY610" s="6">
        <f>VLOOKUP(Table1[[#This Row],[Reference]],metron,13,FALSE)</f>
        <v>0.59936225942375587</v>
      </c>
      <c r="BZ610" s="6">
        <f>VLOOKUP(Table1[[#This Row],[Reference]],metron,14,FALSE)</f>
        <v>0.50723152260562576</v>
      </c>
      <c r="CA610" s="6">
        <f>VLOOKUP(Table1[[#This Row],[Reference]],metron,15,FALSE)</f>
        <v>11.99278846153846</v>
      </c>
      <c r="CB610" s="6">
        <f>VLOOKUP(Table1[[#This Row],[Reference]],metron,16,FALSE)</f>
        <v>10.0277534965035</v>
      </c>
      <c r="CC610" s="6">
        <f>VLOOKUP(Table1[[#This Row],[Reference]],metron,17,FALSE)</f>
        <v>5.2857459543338514</v>
      </c>
      <c r="CD610" s="6">
        <f>VLOOKUP(Table1[[#This Row],[Reference]],metron,18,FALSE)</f>
        <v>4.4067834183107957</v>
      </c>
      <c r="CE610" s="6">
        <f>VLOOKUP(Table1[[#This Row],[Reference]],metron,19,FALSE)</f>
        <v>6.7070425072046085</v>
      </c>
      <c r="CF610" s="6">
        <f>VLOOKUP(Table1[[#This Row],[Reference]],metron,20,FALSE)</f>
        <v>5.6209700781927046</v>
      </c>
      <c r="CG610" s="6">
        <f>VLOOKUP(Table1[[#This Row],[Reference]],metron,21,FALSE)</f>
        <v>13.04463690872752</v>
      </c>
      <c r="CH610" s="6">
        <f>VLOOKUP(Table1[[#This Row],[Reference]],metron,22,FALSE)</f>
        <v>13.49811236953142</v>
      </c>
      <c r="CI610" s="6">
        <f>VLOOKUP(Table1[[#This Row],[Reference]],metron,23,FALSE)</f>
        <v>1.5836526181353769</v>
      </c>
      <c r="CJ610" s="6">
        <f>VLOOKUP(Table1[[#This Row],[Reference]],metron,24,FALSE)</f>
        <v>1.8744146445295871</v>
      </c>
      <c r="CK610" s="6">
        <f>VLOOKUP(Table1[[#This Row],[Reference]],metron,25,FALSE)</f>
        <v>8.5994040017028525E-2</v>
      </c>
      <c r="CL610" s="6">
        <f>VLOOKUP(Table1[[#This Row],[Reference]],metron,26,FALSE)</f>
        <v>0.13452532992762881</v>
      </c>
    </row>
    <row r="611" spans="1:90" x14ac:dyDescent="0.45">
      <c r="A611" t="s">
        <v>1256</v>
      </c>
      <c r="B611">
        <v>1615773600</v>
      </c>
      <c r="C611" s="23" t="s">
        <v>1135</v>
      </c>
      <c r="D611" t="s">
        <v>65</v>
      </c>
      <c r="E611" t="s">
        <v>66</v>
      </c>
      <c r="F611" t="s">
        <v>90</v>
      </c>
      <c r="G611" t="s">
        <v>68</v>
      </c>
      <c r="H611" t="s">
        <v>69</v>
      </c>
      <c r="I611">
        <f>MROUND(Table1[[#This Row],[ProbH]]*100,2)/100</f>
        <v>0.34</v>
      </c>
      <c r="J611">
        <f>1/Table1[[#This Row],[odds_ft_home_team_win]]-Table1[[#This Row],[Margin]]</f>
        <v>0.34820494425014198</v>
      </c>
      <c r="K611">
        <f>1/Table1[[#This Row],[odds_ft_draw]]-Table1[[#This Row],[Margin]]</f>
        <v>0.31681762472722924</v>
      </c>
      <c r="L611">
        <f>1/Table1[[#This Row],[odds_ft_away_team_win]]-Table1[[#This Row],[Margin]]</f>
        <v>0.33497743102262878</v>
      </c>
      <c r="M611">
        <v>11</v>
      </c>
      <c r="N611">
        <v>1.69</v>
      </c>
      <c r="O611">
        <v>1.46</v>
      </c>
      <c r="P611">
        <v>1.6</v>
      </c>
      <c r="Q611">
        <v>1.63</v>
      </c>
      <c r="R611" t="str" cm="1">
        <f t="array" ref="R6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11">
        <v>0</v>
      </c>
      <c r="T611">
        <v>3</v>
      </c>
      <c r="U611">
        <v>3</v>
      </c>
      <c r="V611">
        <v>1</v>
      </c>
      <c r="W611">
        <v>0</v>
      </c>
      <c r="X611">
        <v>1</v>
      </c>
      <c r="Z611" t="s">
        <v>1136</v>
      </c>
      <c r="AA611">
        <v>1</v>
      </c>
      <c r="AB611">
        <v>4</v>
      </c>
      <c r="AC611">
        <v>1</v>
      </c>
      <c r="AD611">
        <v>1</v>
      </c>
      <c r="AE611">
        <v>2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6</v>
      </c>
      <c r="AL611">
        <v>17</v>
      </c>
      <c r="AM611">
        <v>2</v>
      </c>
      <c r="AN611">
        <v>9</v>
      </c>
      <c r="AO611">
        <v>4</v>
      </c>
      <c r="AP611">
        <v>8</v>
      </c>
      <c r="AQ611">
        <v>15</v>
      </c>
      <c r="AR611">
        <v>16</v>
      </c>
      <c r="AS611">
        <v>46</v>
      </c>
      <c r="AT611">
        <v>54</v>
      </c>
      <c r="AU611">
        <v>0.7</v>
      </c>
      <c r="AV611">
        <v>2.08</v>
      </c>
      <c r="AW611">
        <v>2.4</v>
      </c>
      <c r="AX611">
        <v>63</v>
      </c>
      <c r="AY611">
        <v>73</v>
      </c>
      <c r="AZ611">
        <v>41</v>
      </c>
      <c r="BA611">
        <v>21</v>
      </c>
      <c r="BB611">
        <v>15</v>
      </c>
      <c r="BC611">
        <v>31</v>
      </c>
      <c r="BD611">
        <v>66</v>
      </c>
      <c r="BE611">
        <v>28</v>
      </c>
      <c r="BF611">
        <v>77</v>
      </c>
      <c r="BG611">
        <v>10.46</v>
      </c>
      <c r="BH611">
        <v>3.17</v>
      </c>
      <c r="BI611">
        <v>2.7</v>
      </c>
      <c r="BJ611">
        <v>2.95</v>
      </c>
      <c r="BK611">
        <v>2.8</v>
      </c>
      <c r="BL611">
        <f>(1/Table1[[#This Row],[odds_ft_home_team_win]]+1/Table1[[#This Row],[odds_ft_draw]]+1/Table1[[#This Row],[odds_ft_away_team_win]]-1)/3</f>
        <v>2.2165426120228354E-2</v>
      </c>
      <c r="BM611">
        <v>1.5</v>
      </c>
      <c r="BN611">
        <v>2.2999999999999998</v>
      </c>
      <c r="BO611">
        <v>4.1500000000000004</v>
      </c>
      <c r="BP611">
        <v>8.5</v>
      </c>
      <c r="BQ611">
        <v>2.0499999999999998</v>
      </c>
      <c r="BR611">
        <v>1.74</v>
      </c>
      <c r="BS611" t="s">
        <v>94</v>
      </c>
      <c r="BT611">
        <f>VLOOKUP(Table1[[#This Row],[Reference]],metron,8,FALSE)</f>
        <v>1.3382439854569812</v>
      </c>
      <c r="BU611">
        <f>VLOOKUP(Table1[[#This Row],[Reference]],metron,9,FALSE)</f>
        <v>1.3740319615582339</v>
      </c>
      <c r="BV611">
        <f>VLOOKUP(Table1[[#This Row],[Reference]],metron,10,FALSE)</f>
        <v>2.5229727551184897</v>
      </c>
      <c r="BW611">
        <f>VLOOKUP(Table1[[#This Row],[Reference]],metron,11,FALSE)</f>
        <v>1.228921489601805</v>
      </c>
      <c r="BX611">
        <f>VLOOKUP(Table1[[#This Row],[Reference]],metron,12,FALSE)</f>
        <v>1.2940512655166849</v>
      </c>
      <c r="BY611" s="6">
        <f>VLOOKUP(Table1[[#This Row],[Reference]],metron,13,FALSE)</f>
        <v>0.53240890035472432</v>
      </c>
      <c r="BZ611" s="6">
        <f>VLOOKUP(Table1[[#This Row],[Reference]],metron,14,FALSE)</f>
        <v>0.56514027732989358</v>
      </c>
      <c r="CA611" s="6">
        <f>VLOOKUP(Table1[[#This Row],[Reference]],metron,15,FALSE)</f>
        <v>11.417888124439131</v>
      </c>
      <c r="CB611" s="6">
        <f>VLOOKUP(Table1[[#This Row],[Reference]],metron,16,FALSE)</f>
        <v>10.76308704756207</v>
      </c>
      <c r="CC611" s="6">
        <f>VLOOKUP(Table1[[#This Row],[Reference]],metron,17,FALSE)</f>
        <v>4.8317672021824798</v>
      </c>
      <c r="CD611" s="6">
        <f>VLOOKUP(Table1[[#This Row],[Reference]],metron,18,FALSE)</f>
        <v>4.6698999696877843</v>
      </c>
      <c r="CE611" s="6">
        <f>VLOOKUP(Table1[[#This Row],[Reference]],metron,19,FALSE)</f>
        <v>6.5861209222566508</v>
      </c>
      <c r="CF611" s="6">
        <f>VLOOKUP(Table1[[#This Row],[Reference]],metron,20,FALSE)</f>
        <v>6.093187077874286</v>
      </c>
      <c r="CG611" s="6">
        <f>VLOOKUP(Table1[[#This Row],[Reference]],metron,21,FALSE)</f>
        <v>12.685679611650491</v>
      </c>
      <c r="CH611" s="6">
        <f>VLOOKUP(Table1[[#This Row],[Reference]],metron,22,FALSE)</f>
        <v>13.02639563106796</v>
      </c>
      <c r="CI611" s="6">
        <f>VLOOKUP(Table1[[#This Row],[Reference]],metron,23,FALSE)</f>
        <v>1.6481211768132831</v>
      </c>
      <c r="CJ611" s="6">
        <f>VLOOKUP(Table1[[#This Row],[Reference]],metron,24,FALSE)</f>
        <v>1.8572676958928049</v>
      </c>
      <c r="CK611" s="6">
        <f>VLOOKUP(Table1[[#This Row],[Reference]],metron,25,FALSE)</f>
        <v>9.641712787649287E-2</v>
      </c>
      <c r="CL611" s="6">
        <f>VLOOKUP(Table1[[#This Row],[Reference]],metron,26,FALSE)</f>
        <v>0.11302068161957469</v>
      </c>
    </row>
    <row r="612" spans="1:90" x14ac:dyDescent="0.45">
      <c r="A612" t="s">
        <v>1256</v>
      </c>
      <c r="B612">
        <v>1615863600</v>
      </c>
      <c r="C612" s="23" t="s">
        <v>1137</v>
      </c>
      <c r="D612" t="s">
        <v>65</v>
      </c>
      <c r="E612" t="s">
        <v>66</v>
      </c>
      <c r="F612" t="s">
        <v>85</v>
      </c>
      <c r="G612" t="s">
        <v>72</v>
      </c>
      <c r="H612" t="s">
        <v>130</v>
      </c>
      <c r="I612">
        <f>MROUND(Table1[[#This Row],[ProbH]]*100,2)/100</f>
        <v>0.66</v>
      </c>
      <c r="J612">
        <f>1/Table1[[#This Row],[odds_ft_home_team_win]]-Table1[[#This Row],[Margin]]</f>
        <v>0.65508336668000533</v>
      </c>
      <c r="K612">
        <f>1/Table1[[#This Row],[odds_ft_draw]]-Table1[[#This Row],[Margin]]</f>
        <v>0.21010537548352679</v>
      </c>
      <c r="L612">
        <f>1/Table1[[#This Row],[odds_ft_away_team_win]]-Table1[[#This Row],[Margin]]</f>
        <v>0.13481125783646797</v>
      </c>
      <c r="M612">
        <v>11</v>
      </c>
      <c r="N612">
        <v>2.19</v>
      </c>
      <c r="O612">
        <v>0.87</v>
      </c>
      <c r="P612">
        <v>2.29</v>
      </c>
      <c r="Q612">
        <v>0.72</v>
      </c>
      <c r="R612" t="str" cm="1">
        <f t="array" ref="R6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2">
        <v>3</v>
      </c>
      <c r="T612">
        <v>1</v>
      </c>
      <c r="U612">
        <v>4</v>
      </c>
      <c r="V612">
        <v>2</v>
      </c>
      <c r="W612">
        <v>2</v>
      </c>
      <c r="X612">
        <v>0</v>
      </c>
      <c r="Y612" t="s">
        <v>1138</v>
      </c>
      <c r="Z612">
        <v>87</v>
      </c>
      <c r="AA612">
        <v>1</v>
      </c>
      <c r="AB612">
        <v>5</v>
      </c>
      <c r="AC612">
        <v>2</v>
      </c>
      <c r="AD612">
        <v>0</v>
      </c>
      <c r="AE612">
        <v>3</v>
      </c>
      <c r="AF612">
        <v>0</v>
      </c>
      <c r="AG612">
        <v>1</v>
      </c>
      <c r="AH612">
        <v>1</v>
      </c>
      <c r="AI612">
        <v>0</v>
      </c>
      <c r="AJ612">
        <v>3</v>
      </c>
      <c r="AK612">
        <v>10</v>
      </c>
      <c r="AL612">
        <v>12</v>
      </c>
      <c r="AM612">
        <v>4</v>
      </c>
      <c r="AN612">
        <v>6</v>
      </c>
      <c r="AO612">
        <v>6</v>
      </c>
      <c r="AP612">
        <v>6</v>
      </c>
      <c r="AQ612">
        <v>16</v>
      </c>
      <c r="AR612">
        <v>20</v>
      </c>
      <c r="AS612">
        <v>70</v>
      </c>
      <c r="AT612">
        <v>30</v>
      </c>
      <c r="AU612">
        <v>1.22</v>
      </c>
      <c r="AV612">
        <v>1.48</v>
      </c>
      <c r="AW612">
        <v>2.3199999999999998</v>
      </c>
      <c r="AX612">
        <v>52</v>
      </c>
      <c r="AY612">
        <v>68</v>
      </c>
      <c r="AZ612">
        <v>42</v>
      </c>
      <c r="BA612">
        <v>20</v>
      </c>
      <c r="BB612">
        <v>7</v>
      </c>
      <c r="BC612">
        <v>23</v>
      </c>
      <c r="BD612">
        <v>65</v>
      </c>
      <c r="BE612">
        <v>39</v>
      </c>
      <c r="BF612">
        <v>81</v>
      </c>
      <c r="BG612">
        <v>7.14</v>
      </c>
      <c r="BH612">
        <v>5</v>
      </c>
      <c r="BI612">
        <v>1.47</v>
      </c>
      <c r="BJ612">
        <v>4.25</v>
      </c>
      <c r="BK612">
        <v>6.25</v>
      </c>
      <c r="BL612">
        <f>(1/Table1[[#This Row],[odds_ft_home_team_win]]+1/Table1[[#This Row],[odds_ft_draw]]+1/Table1[[#This Row],[odds_ft_away_team_win]]-1)/3</f>
        <v>2.5188742163532025E-2</v>
      </c>
      <c r="BM612">
        <v>1.29</v>
      </c>
      <c r="BN612">
        <v>1.83</v>
      </c>
      <c r="BO612">
        <v>3.05</v>
      </c>
      <c r="BP612">
        <v>6</v>
      </c>
      <c r="BQ612">
        <v>2</v>
      </c>
      <c r="BR612">
        <v>1.77</v>
      </c>
      <c r="BS612" t="s">
        <v>128</v>
      </c>
      <c r="BT612">
        <f>VLOOKUP(Table1[[#This Row],[Reference]],metron,8,FALSE)</f>
        <v>2.2311424831798083</v>
      </c>
      <c r="BU612">
        <f>VLOOKUP(Table1[[#This Row],[Reference]],metron,9,FALSE)</f>
        <v>0.55281092137037047</v>
      </c>
      <c r="BV612">
        <f>VLOOKUP(Table1[[#This Row],[Reference]],metron,10,FALSE)</f>
        <v>2.9251336898395728</v>
      </c>
      <c r="BW612">
        <f>VLOOKUP(Table1[[#This Row],[Reference]],metron,11,FALSE)</f>
        <v>2.089675030851502</v>
      </c>
      <c r="BX612">
        <f>VLOOKUP(Table1[[#This Row],[Reference]],metron,12,FALSE)</f>
        <v>0.8354586589880707</v>
      </c>
      <c r="BY612" s="6">
        <f>VLOOKUP(Table1[[#This Row],[Reference]],metron,13,FALSE)</f>
        <v>0.92472233648704238</v>
      </c>
      <c r="BZ612" s="6">
        <f>VLOOKUP(Table1[[#This Row],[Reference]],metron,14,FALSE)</f>
        <v>0.35252982311805842</v>
      </c>
      <c r="CA612" s="6">
        <f>VLOOKUP(Table1[[#This Row],[Reference]],metron,15,FALSE)</f>
        <v>15.366666666666671</v>
      </c>
      <c r="CB612" s="6">
        <f>VLOOKUP(Table1[[#This Row],[Reference]],metron,16,FALSE)</f>
        <v>8.5234848484848484</v>
      </c>
      <c r="CC612" s="6">
        <f>VLOOKUP(Table1[[#This Row],[Reference]],metron,17,FALSE)</f>
        <v>6.6873065015479876</v>
      </c>
      <c r="CD612" s="6">
        <f>VLOOKUP(Table1[[#This Row],[Reference]],metron,18,FALSE)</f>
        <v>3.3490712074303399</v>
      </c>
      <c r="CE612" s="6">
        <f>VLOOKUP(Table1[[#This Row],[Reference]],metron,19,FALSE)</f>
        <v>8.679360165118684</v>
      </c>
      <c r="CF612" s="6">
        <f>VLOOKUP(Table1[[#This Row],[Reference]],metron,20,FALSE)</f>
        <v>5.1744136410545085</v>
      </c>
      <c r="CG612" s="6">
        <f>VLOOKUP(Table1[[#This Row],[Reference]],metron,21,FALSE)</f>
        <v>12.62384615384615</v>
      </c>
      <c r="CH612" s="6">
        <f>VLOOKUP(Table1[[#This Row],[Reference]],metron,22,FALSE)</f>
        <v>13.844615384615381</v>
      </c>
      <c r="CI612" s="6">
        <f>VLOOKUP(Table1[[#This Row],[Reference]],metron,23,FALSE)</f>
        <v>1.369710467706013</v>
      </c>
      <c r="CJ612" s="6">
        <f>VLOOKUP(Table1[[#This Row],[Reference]],metron,24,FALSE)</f>
        <v>2.0920564216778019</v>
      </c>
      <c r="CK612" s="6">
        <f>VLOOKUP(Table1[[#This Row],[Reference]],metron,25,FALSE)</f>
        <v>7.126948775055679E-2</v>
      </c>
      <c r="CL612" s="6">
        <f>VLOOKUP(Table1[[#This Row],[Reference]],metron,26,FALSE)</f>
        <v>0.13214550853749071</v>
      </c>
    </row>
    <row r="613" spans="1:90" x14ac:dyDescent="0.45">
      <c r="A613" t="s">
        <v>1256</v>
      </c>
      <c r="B613">
        <v>1616119200</v>
      </c>
      <c r="C613" s="23" t="s">
        <v>1139</v>
      </c>
      <c r="D613" t="s">
        <v>65</v>
      </c>
      <c r="E613" t="s">
        <v>66</v>
      </c>
      <c r="F613" t="s">
        <v>84</v>
      </c>
      <c r="G613" t="s">
        <v>107</v>
      </c>
      <c r="H613" t="s">
        <v>74</v>
      </c>
      <c r="I613">
        <f>MROUND(Table1[[#This Row],[ProbH]]*100,2)/100</f>
        <v>0.44</v>
      </c>
      <c r="J613">
        <f>1/Table1[[#This Row],[odds_ft_home_team_win]]-Table1[[#This Row],[Margin]]</f>
        <v>0.43104104298134149</v>
      </c>
      <c r="K613">
        <f>1/Table1[[#This Row],[odds_ft_draw]]-Table1[[#This Row],[Margin]]</f>
        <v>0.29395590589620441</v>
      </c>
      <c r="L613">
        <f>1/Table1[[#This Row],[odds_ft_away_team_win]]-Table1[[#This Row],[Margin]]</f>
        <v>0.2750030511224541</v>
      </c>
      <c r="M613">
        <v>12</v>
      </c>
      <c r="N613">
        <v>1.1299999999999999</v>
      </c>
      <c r="O613">
        <v>1.54</v>
      </c>
      <c r="P613">
        <v>1.43</v>
      </c>
      <c r="Q613">
        <v>1.47</v>
      </c>
      <c r="R613" t="str" cm="1">
        <f t="array" ref="R6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82</v>
      </c>
      <c r="AA613">
        <v>2</v>
      </c>
      <c r="AB613">
        <v>8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11</v>
      </c>
      <c r="AL613">
        <v>11</v>
      </c>
      <c r="AM613">
        <v>5</v>
      </c>
      <c r="AN613">
        <v>2</v>
      </c>
      <c r="AO613">
        <v>6</v>
      </c>
      <c r="AP613">
        <v>9</v>
      </c>
      <c r="AQ613">
        <v>12</v>
      </c>
      <c r="AR613">
        <v>10</v>
      </c>
      <c r="AS613">
        <v>36</v>
      </c>
      <c r="AT613">
        <v>64</v>
      </c>
      <c r="AU613">
        <v>1.22</v>
      </c>
      <c r="AV613">
        <v>1.28</v>
      </c>
      <c r="AW613">
        <v>2.23</v>
      </c>
      <c r="AX613">
        <v>50</v>
      </c>
      <c r="AY613">
        <v>69</v>
      </c>
      <c r="AZ613">
        <v>29</v>
      </c>
      <c r="BA613">
        <v>18</v>
      </c>
      <c r="BB613">
        <v>8</v>
      </c>
      <c r="BC613">
        <v>29</v>
      </c>
      <c r="BD613">
        <v>65</v>
      </c>
      <c r="BE613">
        <v>33</v>
      </c>
      <c r="BF613">
        <v>73</v>
      </c>
      <c r="BG613">
        <v>10.61</v>
      </c>
      <c r="BH613">
        <v>4.55</v>
      </c>
      <c r="BI613">
        <v>2.2000000000000002</v>
      </c>
      <c r="BJ613">
        <v>3.15</v>
      </c>
      <c r="BK613">
        <v>3.35</v>
      </c>
      <c r="BL613">
        <f>(1/Table1[[#This Row],[odds_ft_home_team_win]]+1/Table1[[#This Row],[odds_ft_draw]]+1/Table1[[#This Row],[odds_ft_away_team_win]]-1)/3</f>
        <v>2.3504411564113054E-2</v>
      </c>
      <c r="BM613">
        <v>1.45</v>
      </c>
      <c r="BN613">
        <v>2.25</v>
      </c>
      <c r="BO613">
        <v>3.95</v>
      </c>
      <c r="BP613">
        <v>8</v>
      </c>
      <c r="BQ613">
        <v>2</v>
      </c>
      <c r="BR613">
        <v>1.74</v>
      </c>
      <c r="BS613" t="s">
        <v>88</v>
      </c>
      <c r="BT613">
        <f>VLOOKUP(Table1[[#This Row],[Reference]],metron,8,FALSE)</f>
        <v>1.6395459745305552</v>
      </c>
      <c r="BU613">
        <f>VLOOKUP(Table1[[#This Row],[Reference]],metron,9,FALSE)</f>
        <v>1.0758429359324786</v>
      </c>
      <c r="BV613">
        <f>VLOOKUP(Table1[[#This Row],[Reference]],metron,10,FALSE)</f>
        <v>2.4807646356033461</v>
      </c>
      <c r="BW613">
        <f>VLOOKUP(Table1[[#This Row],[Reference]],metron,11,FALSE)</f>
        <v>1.4140979689366791</v>
      </c>
      <c r="BX613">
        <f>VLOOKUP(Table1[[#This Row],[Reference]],metron,12,FALSE)</f>
        <v>1.0666666666666671</v>
      </c>
      <c r="BY613" s="6">
        <f>VLOOKUP(Table1[[#This Row],[Reference]],metron,13,FALSE)</f>
        <v>0.62712066905615294</v>
      </c>
      <c r="BZ613" s="6">
        <f>VLOOKUP(Table1[[#This Row],[Reference]],metron,14,FALSE)</f>
        <v>0.46009557945041818</v>
      </c>
      <c r="CA613" s="6">
        <f>VLOOKUP(Table1[[#This Row],[Reference]],metron,15,FALSE)</f>
        <v>12.56969280146722</v>
      </c>
      <c r="CB613" s="6">
        <f>VLOOKUP(Table1[[#This Row],[Reference]],metron,16,FALSE)</f>
        <v>9.8695552498853729</v>
      </c>
      <c r="CC613" s="6">
        <f>VLOOKUP(Table1[[#This Row],[Reference]],metron,17,FALSE)</f>
        <v>5.2754256787850897</v>
      </c>
      <c r="CD613" s="6">
        <f>VLOOKUP(Table1[[#This Row],[Reference]],metron,18,FALSE)</f>
        <v>4.1279337321675103</v>
      </c>
      <c r="CE613" s="6">
        <f>VLOOKUP(Table1[[#This Row],[Reference]],metron,19,FALSE)</f>
        <v>7.2942671226821298</v>
      </c>
      <c r="CF613" s="6">
        <f>VLOOKUP(Table1[[#This Row],[Reference]],metron,20,FALSE)</f>
        <v>5.7416215177178627</v>
      </c>
      <c r="CG613" s="6">
        <f>VLOOKUP(Table1[[#This Row],[Reference]],metron,21,FALSE)</f>
        <v>12.897246007868549</v>
      </c>
      <c r="CH613" s="6">
        <f>VLOOKUP(Table1[[#This Row],[Reference]],metron,22,FALSE)</f>
        <v>13.507058551261281</v>
      </c>
      <c r="CI613" s="6">
        <f>VLOOKUP(Table1[[#This Row],[Reference]],metron,23,FALSE)</f>
        <v>1.576522702104098</v>
      </c>
      <c r="CJ613" s="6">
        <f>VLOOKUP(Table1[[#This Row],[Reference]],metron,24,FALSE)</f>
        <v>1.917165005537099</v>
      </c>
      <c r="CK613" s="6">
        <f>VLOOKUP(Table1[[#This Row],[Reference]],metron,25,FALSE)</f>
        <v>8.4385382059800659E-2</v>
      </c>
      <c r="CL613" s="6">
        <f>VLOOKUP(Table1[[#This Row],[Reference]],metron,26,FALSE)</f>
        <v>0.1233665559246955</v>
      </c>
    </row>
    <row r="614" spans="1:90" x14ac:dyDescent="0.45">
      <c r="A614" t="s">
        <v>1256</v>
      </c>
      <c r="B614">
        <v>1616202000</v>
      </c>
      <c r="C614" s="23" t="s">
        <v>1140</v>
      </c>
      <c r="D614" t="s">
        <v>65</v>
      </c>
      <c r="E614" t="s">
        <v>66</v>
      </c>
      <c r="F614" t="s">
        <v>72</v>
      </c>
      <c r="G614" t="s">
        <v>78</v>
      </c>
      <c r="H614" t="s">
        <v>108</v>
      </c>
      <c r="I614">
        <f>MROUND(Table1[[#This Row],[ProbH]]*100,2)/100</f>
        <v>0.44</v>
      </c>
      <c r="J614">
        <f>1/Table1[[#This Row],[odds_ft_home_team_win]]-Table1[[#This Row],[Margin]]</f>
        <v>0.43122478572209683</v>
      </c>
      <c r="K614">
        <f>1/Table1[[#This Row],[odds_ft_draw]]-Table1[[#This Row],[Margin]]</f>
        <v>0.2830938121795768</v>
      </c>
      <c r="L614">
        <f>1/Table1[[#This Row],[odds_ft_away_team_win]]-Table1[[#This Row],[Margin]]</f>
        <v>0.28568140209832649</v>
      </c>
      <c r="M614">
        <v>12</v>
      </c>
      <c r="N614">
        <v>1.38</v>
      </c>
      <c r="O614">
        <v>0.71</v>
      </c>
      <c r="P614">
        <v>1.29</v>
      </c>
      <c r="Q614">
        <v>0.59</v>
      </c>
      <c r="R614" t="str" cm="1">
        <f t="array" ref="R6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 t="s">
        <v>419</v>
      </c>
      <c r="AA614">
        <v>8</v>
      </c>
      <c r="AB614">
        <v>0</v>
      </c>
      <c r="AC614">
        <v>2</v>
      </c>
      <c r="AD614">
        <v>0</v>
      </c>
      <c r="AE614">
        <v>4</v>
      </c>
      <c r="AF614">
        <v>0</v>
      </c>
      <c r="AG614">
        <v>0</v>
      </c>
      <c r="AH614">
        <v>2</v>
      </c>
      <c r="AI614">
        <v>1</v>
      </c>
      <c r="AJ614">
        <v>3</v>
      </c>
      <c r="AK614">
        <v>21</v>
      </c>
      <c r="AL614">
        <v>7</v>
      </c>
      <c r="AM614">
        <v>5</v>
      </c>
      <c r="AN614">
        <v>0</v>
      </c>
      <c r="AO614">
        <v>16</v>
      </c>
      <c r="AP614">
        <v>7</v>
      </c>
      <c r="AQ614">
        <v>15</v>
      </c>
      <c r="AR614">
        <v>15</v>
      </c>
      <c r="AS614">
        <v>46</v>
      </c>
      <c r="AT614">
        <v>54</v>
      </c>
      <c r="AU614">
        <v>2.0299999999999998</v>
      </c>
      <c r="AV614">
        <v>0.63</v>
      </c>
      <c r="AW614">
        <v>2.66</v>
      </c>
      <c r="AX614">
        <v>59</v>
      </c>
      <c r="AY614">
        <v>85</v>
      </c>
      <c r="AZ614">
        <v>44</v>
      </c>
      <c r="BA614">
        <v>22</v>
      </c>
      <c r="BB614">
        <v>15</v>
      </c>
      <c r="BC614">
        <v>37</v>
      </c>
      <c r="BD614">
        <v>82</v>
      </c>
      <c r="BE614">
        <v>37</v>
      </c>
      <c r="BF614">
        <v>89</v>
      </c>
      <c r="BG614">
        <v>7.79</v>
      </c>
      <c r="BH614">
        <v>5.19</v>
      </c>
      <c r="BI614">
        <v>2.27</v>
      </c>
      <c r="BJ614">
        <v>3.42</v>
      </c>
      <c r="BK614">
        <v>3.39</v>
      </c>
      <c r="BL614">
        <f>(1/Table1[[#This Row],[odds_ft_home_team_win]]+1/Table1[[#This Row],[odds_ft_draw]]+1/Table1[[#This Row],[odds_ft_away_team_win]]-1)/3</f>
        <v>9.303848639136655E-3</v>
      </c>
      <c r="BM614">
        <v>1.33</v>
      </c>
      <c r="BN614">
        <v>2.0499999999999998</v>
      </c>
      <c r="BO614">
        <v>3.6</v>
      </c>
      <c r="BP614">
        <v>7</v>
      </c>
      <c r="BQ614">
        <v>1.91</v>
      </c>
      <c r="BR614">
        <v>1.83</v>
      </c>
      <c r="BS614" t="s">
        <v>76</v>
      </c>
      <c r="BT614">
        <f>VLOOKUP(Table1[[#This Row],[Reference]],metron,8,FALSE)</f>
        <v>1.6395459745305552</v>
      </c>
      <c r="BU614">
        <f>VLOOKUP(Table1[[#This Row],[Reference]],metron,9,FALSE)</f>
        <v>1.0758429359324786</v>
      </c>
      <c r="BV614">
        <f>VLOOKUP(Table1[[#This Row],[Reference]],metron,10,FALSE)</f>
        <v>2.4807646356033461</v>
      </c>
      <c r="BW614">
        <f>VLOOKUP(Table1[[#This Row],[Reference]],metron,11,FALSE)</f>
        <v>1.4140979689366791</v>
      </c>
      <c r="BX614">
        <f>VLOOKUP(Table1[[#This Row],[Reference]],metron,12,FALSE)</f>
        <v>1.0666666666666671</v>
      </c>
      <c r="BY614" s="6">
        <f>VLOOKUP(Table1[[#This Row],[Reference]],metron,13,FALSE)</f>
        <v>0.62712066905615294</v>
      </c>
      <c r="BZ614" s="6">
        <f>VLOOKUP(Table1[[#This Row],[Reference]],metron,14,FALSE)</f>
        <v>0.46009557945041818</v>
      </c>
      <c r="CA614" s="6">
        <f>VLOOKUP(Table1[[#This Row],[Reference]],metron,15,FALSE)</f>
        <v>12.56969280146722</v>
      </c>
      <c r="CB614" s="6">
        <f>VLOOKUP(Table1[[#This Row],[Reference]],metron,16,FALSE)</f>
        <v>9.8695552498853729</v>
      </c>
      <c r="CC614" s="6">
        <f>VLOOKUP(Table1[[#This Row],[Reference]],metron,17,FALSE)</f>
        <v>5.2754256787850897</v>
      </c>
      <c r="CD614" s="6">
        <f>VLOOKUP(Table1[[#This Row],[Reference]],metron,18,FALSE)</f>
        <v>4.1279337321675103</v>
      </c>
      <c r="CE614" s="6">
        <f>VLOOKUP(Table1[[#This Row],[Reference]],metron,19,FALSE)</f>
        <v>7.2942671226821298</v>
      </c>
      <c r="CF614" s="6">
        <f>VLOOKUP(Table1[[#This Row],[Reference]],metron,20,FALSE)</f>
        <v>5.7416215177178627</v>
      </c>
      <c r="CG614" s="6">
        <f>VLOOKUP(Table1[[#This Row],[Reference]],metron,21,FALSE)</f>
        <v>12.897246007868549</v>
      </c>
      <c r="CH614" s="6">
        <f>VLOOKUP(Table1[[#This Row],[Reference]],metron,22,FALSE)</f>
        <v>13.507058551261281</v>
      </c>
      <c r="CI614" s="6">
        <f>VLOOKUP(Table1[[#This Row],[Reference]],metron,23,FALSE)</f>
        <v>1.576522702104098</v>
      </c>
      <c r="CJ614" s="6">
        <f>VLOOKUP(Table1[[#This Row],[Reference]],metron,24,FALSE)</f>
        <v>1.917165005537099</v>
      </c>
      <c r="CK614" s="6">
        <f>VLOOKUP(Table1[[#This Row],[Reference]],metron,25,FALSE)</f>
        <v>8.4385382059800659E-2</v>
      </c>
      <c r="CL614" s="6">
        <f>VLOOKUP(Table1[[#This Row],[Reference]],metron,26,FALSE)</f>
        <v>0.1233665559246955</v>
      </c>
    </row>
    <row r="615" spans="1:90" x14ac:dyDescent="0.45">
      <c r="A615" t="s">
        <v>1256</v>
      </c>
      <c r="B615">
        <v>1616209200</v>
      </c>
      <c r="C615" s="23" t="s">
        <v>1141</v>
      </c>
      <c r="D615" t="s">
        <v>65</v>
      </c>
      <c r="E615" t="s">
        <v>66</v>
      </c>
      <c r="F615" t="s">
        <v>113</v>
      </c>
      <c r="G615" t="s">
        <v>68</v>
      </c>
      <c r="H615" t="s">
        <v>114</v>
      </c>
      <c r="I615">
        <f>MROUND(Table1[[#This Row],[ProbH]]*100,2)/100</f>
        <v>0.24</v>
      </c>
      <c r="J615">
        <f>1/Table1[[#This Row],[odds_ft_home_team_win]]-Table1[[#This Row],[Margin]]</f>
        <v>0.24389375297417529</v>
      </c>
      <c r="K615">
        <f>1/Table1[[#This Row],[odds_ft_draw]]-Table1[[#This Row],[Margin]]</f>
        <v>0.2848751823153608</v>
      </c>
      <c r="L615">
        <f>1/Table1[[#This Row],[odds_ft_away_team_win]]-Table1[[#This Row],[Margin]]</f>
        <v>0.471231064710464</v>
      </c>
      <c r="M615">
        <v>12</v>
      </c>
      <c r="N615">
        <v>1.57</v>
      </c>
      <c r="O615">
        <v>1.57</v>
      </c>
      <c r="P615">
        <v>1.53</v>
      </c>
      <c r="Q615">
        <v>1.63</v>
      </c>
      <c r="R615" t="str" cm="1">
        <f t="array" ref="R6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Z615">
        <v>71</v>
      </c>
      <c r="AA615">
        <v>3</v>
      </c>
      <c r="AB615">
        <v>4</v>
      </c>
      <c r="AC615">
        <v>2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6</v>
      </c>
      <c r="AL615">
        <v>10</v>
      </c>
      <c r="AM615">
        <v>4</v>
      </c>
      <c r="AN615">
        <v>3</v>
      </c>
      <c r="AO615">
        <v>2</v>
      </c>
      <c r="AP615">
        <v>7</v>
      </c>
      <c r="AQ615">
        <v>15</v>
      </c>
      <c r="AR615">
        <v>13</v>
      </c>
      <c r="AS615">
        <v>49</v>
      </c>
      <c r="AT615">
        <v>51</v>
      </c>
      <c r="AU615">
        <v>1.1000000000000001</v>
      </c>
      <c r="AV615">
        <v>1.1399999999999999</v>
      </c>
      <c r="AW615">
        <v>2.64</v>
      </c>
      <c r="AX615">
        <v>57</v>
      </c>
      <c r="AY615">
        <v>75</v>
      </c>
      <c r="AZ615">
        <v>50</v>
      </c>
      <c r="BA615">
        <v>25</v>
      </c>
      <c r="BB615">
        <v>25</v>
      </c>
      <c r="BC615">
        <v>43</v>
      </c>
      <c r="BD615">
        <v>75</v>
      </c>
      <c r="BE615">
        <v>33</v>
      </c>
      <c r="BF615">
        <v>72</v>
      </c>
      <c r="BG615">
        <v>9.36</v>
      </c>
      <c r="BH615">
        <v>4.29</v>
      </c>
      <c r="BI615">
        <v>3.91</v>
      </c>
      <c r="BJ615">
        <v>3.37</v>
      </c>
      <c r="BK615">
        <v>2.0699999999999998</v>
      </c>
      <c r="BL615">
        <f>(1/Table1[[#This Row],[odds_ft_home_team_win]]+1/Table1[[#This Row],[odds_ft_draw]]+1/Table1[[#This Row],[odds_ft_away_team_win]]-1)/3</f>
        <v>1.1860722729149545E-2</v>
      </c>
      <c r="BM615">
        <v>1.36</v>
      </c>
      <c r="BN615">
        <v>2.04</v>
      </c>
      <c r="BO615">
        <v>3.75</v>
      </c>
      <c r="BP615">
        <v>7.75</v>
      </c>
      <c r="BQ615">
        <v>1.95</v>
      </c>
      <c r="BR615">
        <v>1.8</v>
      </c>
      <c r="BS615" t="s">
        <v>120</v>
      </c>
      <c r="BT615">
        <f>VLOOKUP(Table1[[#This Row],[Reference]],metron,8,FALSE)</f>
        <v>1.0221684690062811</v>
      </c>
      <c r="BU615">
        <f>VLOOKUP(Table1[[#This Row],[Reference]],metron,9,FALSE)</f>
        <v>1.7036119427882386</v>
      </c>
      <c r="BV615">
        <f>VLOOKUP(Table1[[#This Row],[Reference]],metron,10,FALSE)</f>
        <v>2.6014437689969609</v>
      </c>
      <c r="BW615">
        <f>VLOOKUP(Table1[[#This Row],[Reference]],metron,11,FALSE)</f>
        <v>1.067249240121581</v>
      </c>
      <c r="BX615">
        <f>VLOOKUP(Table1[[#This Row],[Reference]],metron,12,FALSE)</f>
        <v>1.53419452887538</v>
      </c>
      <c r="BY615" s="6">
        <f>VLOOKUP(Table1[[#This Row],[Reference]],metron,13,FALSE)</f>
        <v>0.45589353612167299</v>
      </c>
      <c r="BZ615" s="6">
        <f>VLOOKUP(Table1[[#This Row],[Reference]],metron,14,FALSE)</f>
        <v>0.65133079847908748</v>
      </c>
      <c r="CA615" s="6">
        <f>VLOOKUP(Table1[[#This Row],[Reference]],metron,15,FALSE)</f>
        <v>10.75886524822695</v>
      </c>
      <c r="CB615" s="6">
        <f>VLOOKUP(Table1[[#This Row],[Reference]],metron,16,FALSE)</f>
        <v>12.46679561573179</v>
      </c>
      <c r="CC615" s="6">
        <f>VLOOKUP(Table1[[#This Row],[Reference]],metron,17,FALSE)</f>
        <v>4.1157347204161248</v>
      </c>
      <c r="CD615" s="6">
        <f>VLOOKUP(Table1[[#This Row],[Reference]],metron,18,FALSE)</f>
        <v>5.1072821846553964</v>
      </c>
      <c r="CE615" s="6">
        <f>VLOOKUP(Table1[[#This Row],[Reference]],metron,19,FALSE)</f>
        <v>6.6431305278108255</v>
      </c>
      <c r="CF615" s="6">
        <f>VLOOKUP(Table1[[#This Row],[Reference]],metron,20,FALSE)</f>
        <v>7.3595134310763939</v>
      </c>
      <c r="CG615" s="6">
        <f>VLOOKUP(Table1[[#This Row],[Reference]],metron,21,FALSE)</f>
        <v>13.11140235910878</v>
      </c>
      <c r="CH615" s="6">
        <f>VLOOKUP(Table1[[#This Row],[Reference]],metron,22,FALSE)</f>
        <v>12.93184796854522</v>
      </c>
      <c r="CI615" s="6">
        <f>VLOOKUP(Table1[[#This Row],[Reference]],metron,23,FALSE)</f>
        <v>1.8341677096370459</v>
      </c>
      <c r="CJ615" s="6">
        <f>VLOOKUP(Table1[[#This Row],[Reference]],metron,24,FALSE)</f>
        <v>1.7903629536921151</v>
      </c>
      <c r="CK615" s="6">
        <f>VLOOKUP(Table1[[#This Row],[Reference]],metron,25,FALSE)</f>
        <v>0.1095118898623279</v>
      </c>
      <c r="CL615" s="6">
        <f>VLOOKUP(Table1[[#This Row],[Reference]],metron,26,FALSE)</f>
        <v>9.3241551939924908E-2</v>
      </c>
    </row>
    <row r="616" spans="1:90" x14ac:dyDescent="0.45">
      <c r="A616" t="s">
        <v>1256</v>
      </c>
      <c r="B616">
        <v>1616281200</v>
      </c>
      <c r="C616" s="23" t="s">
        <v>1142</v>
      </c>
      <c r="D616" t="s">
        <v>65</v>
      </c>
      <c r="E616" t="s">
        <v>66</v>
      </c>
      <c r="F616" t="s">
        <v>91</v>
      </c>
      <c r="G616" t="s">
        <v>96</v>
      </c>
      <c r="H616" t="s">
        <v>69</v>
      </c>
      <c r="I616">
        <f>MROUND(Table1[[#This Row],[ProbH]]*100,2)/100</f>
        <v>0.46</v>
      </c>
      <c r="J616">
        <f>1/Table1[[#This Row],[odds_ft_home_team_win]]-Table1[[#This Row],[Margin]]</f>
        <v>0.46711814038546712</v>
      </c>
      <c r="K616">
        <f>1/Table1[[#This Row],[odds_ft_draw]]-Table1[[#This Row],[Margin]]</f>
        <v>0.27509893846527511</v>
      </c>
      <c r="L616">
        <f>1/Table1[[#This Row],[odds_ft_away_team_win]]-Table1[[#This Row],[Margin]]</f>
        <v>0.25778292114925777</v>
      </c>
      <c r="M616">
        <v>12</v>
      </c>
      <c r="N616">
        <v>1.21</v>
      </c>
      <c r="O616">
        <v>1.06</v>
      </c>
      <c r="P616">
        <v>1</v>
      </c>
      <c r="Q616">
        <v>1.25</v>
      </c>
      <c r="R616" t="str" cm="1">
        <f t="array" ref="R6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Z616">
        <v>82</v>
      </c>
      <c r="AA616">
        <v>4</v>
      </c>
      <c r="AB616">
        <v>2</v>
      </c>
      <c r="AC616">
        <v>4</v>
      </c>
      <c r="AD616">
        <v>1</v>
      </c>
      <c r="AE616">
        <v>2</v>
      </c>
      <c r="AF616">
        <v>0</v>
      </c>
      <c r="AG616">
        <v>1</v>
      </c>
      <c r="AH616">
        <v>4</v>
      </c>
      <c r="AI616">
        <v>2</v>
      </c>
      <c r="AJ616">
        <v>0</v>
      </c>
      <c r="AK616">
        <v>17</v>
      </c>
      <c r="AL616">
        <v>11</v>
      </c>
      <c r="AM616">
        <v>4</v>
      </c>
      <c r="AN616">
        <v>2</v>
      </c>
      <c r="AO616">
        <v>13</v>
      </c>
      <c r="AP616">
        <v>9</v>
      </c>
      <c r="AQ616">
        <v>9</v>
      </c>
      <c r="AR616">
        <v>14</v>
      </c>
      <c r="AS616">
        <v>45</v>
      </c>
      <c r="AT616">
        <v>55</v>
      </c>
      <c r="AU616">
        <v>1.76</v>
      </c>
      <c r="AV616">
        <v>1.01</v>
      </c>
      <c r="AW616">
        <v>2.46</v>
      </c>
      <c r="AX616">
        <v>59</v>
      </c>
      <c r="AY616">
        <v>79</v>
      </c>
      <c r="AZ616">
        <v>50</v>
      </c>
      <c r="BA616">
        <v>24</v>
      </c>
      <c r="BB616">
        <v>4</v>
      </c>
      <c r="BC616">
        <v>43</v>
      </c>
      <c r="BD616">
        <v>82</v>
      </c>
      <c r="BE616">
        <v>29</v>
      </c>
      <c r="BF616">
        <v>62</v>
      </c>
      <c r="BG616">
        <v>9.81</v>
      </c>
      <c r="BH616">
        <v>5.65</v>
      </c>
      <c r="BI616">
        <v>2.02</v>
      </c>
      <c r="BJ616">
        <v>3.3</v>
      </c>
      <c r="BK616">
        <v>3.5</v>
      </c>
      <c r="BL616">
        <f>(1/Table1[[#This Row],[odds_ft_home_team_win]]+1/Table1[[#This Row],[odds_ft_draw]]+1/Table1[[#This Row],[odds_ft_away_team_win]]-1)/3</f>
        <v>2.7931364565027945E-2</v>
      </c>
      <c r="BM616">
        <v>1.38</v>
      </c>
      <c r="BN616">
        <v>2.1800000000000002</v>
      </c>
      <c r="BO616">
        <v>3.45</v>
      </c>
      <c r="BP616">
        <v>6.75</v>
      </c>
      <c r="BQ616">
        <v>1.87</v>
      </c>
      <c r="BR616">
        <v>1.87</v>
      </c>
      <c r="BS616" t="s">
        <v>144</v>
      </c>
      <c r="BT616">
        <f>VLOOKUP(Table1[[#This Row],[Reference]],metron,8,FALSE)</f>
        <v>1.6955772349985931</v>
      </c>
      <c r="BU616">
        <f>VLOOKUP(Table1[[#This Row],[Reference]],metron,9,FALSE)</f>
        <v>1.0239029519551039</v>
      </c>
      <c r="BV616">
        <f>VLOOKUP(Table1[[#This Row],[Reference]],metron,10,FALSE)</f>
        <v>2.5405629139072849</v>
      </c>
      <c r="BW616">
        <f>VLOOKUP(Table1[[#This Row],[Reference]],metron,11,FALSE)</f>
        <v>1.4888836329233679</v>
      </c>
      <c r="BX616">
        <f>VLOOKUP(Table1[[#This Row],[Reference]],metron,12,FALSE)</f>
        <v>1.0516792809839171</v>
      </c>
      <c r="BY616" s="6">
        <f>VLOOKUP(Table1[[#This Row],[Reference]],metron,13,FALSE)</f>
        <v>0.64581362346263005</v>
      </c>
      <c r="BZ616" s="6">
        <f>VLOOKUP(Table1[[#This Row],[Reference]],metron,14,FALSE)</f>
        <v>0.45364238410596031</v>
      </c>
      <c r="CA616" s="6">
        <f>VLOOKUP(Table1[[#This Row],[Reference]],metron,15,FALSE)</f>
        <v>12.686892177589851</v>
      </c>
      <c r="CB616" s="6">
        <f>VLOOKUP(Table1[[#This Row],[Reference]],metron,16,FALSE)</f>
        <v>9.8059196617336148</v>
      </c>
      <c r="CC616" s="6">
        <f>VLOOKUP(Table1[[#This Row],[Reference]],metron,17,FALSE)</f>
        <v>5.3198121263877027</v>
      </c>
      <c r="CD616" s="6">
        <f>VLOOKUP(Table1[[#This Row],[Reference]],metron,18,FALSE)</f>
        <v>4.0954312553373189</v>
      </c>
      <c r="CE616" s="6">
        <f>VLOOKUP(Table1[[#This Row],[Reference]],metron,19,FALSE)</f>
        <v>7.3670800512021479</v>
      </c>
      <c r="CF616" s="6">
        <f>VLOOKUP(Table1[[#This Row],[Reference]],metron,20,FALSE)</f>
        <v>5.710488406396296</v>
      </c>
      <c r="CG616" s="6">
        <f>VLOOKUP(Table1[[#This Row],[Reference]],metron,21,FALSE)</f>
        <v>13.0488908033599</v>
      </c>
      <c r="CH616" s="6">
        <f>VLOOKUP(Table1[[#This Row],[Reference]],metron,22,FALSE)</f>
        <v>13.714839543398661</v>
      </c>
      <c r="CI616" s="6">
        <f>VLOOKUP(Table1[[#This Row],[Reference]],metron,23,FALSE)</f>
        <v>1.567523459812322</v>
      </c>
      <c r="CJ616" s="6">
        <f>VLOOKUP(Table1[[#This Row],[Reference]],metron,24,FALSE)</f>
        <v>1.951040391676867</v>
      </c>
      <c r="CK616" s="6">
        <f>VLOOKUP(Table1[[#This Row],[Reference]],metron,25,FALSE)</f>
        <v>8.3027335781313744E-2</v>
      </c>
      <c r="CL616" s="6">
        <f>VLOOKUP(Table1[[#This Row],[Reference]],metron,26,FALSE)</f>
        <v>0.13117095063239501</v>
      </c>
    </row>
    <row r="617" spans="1:90" x14ac:dyDescent="0.45">
      <c r="A617" t="s">
        <v>1256</v>
      </c>
      <c r="B617">
        <v>1616288400</v>
      </c>
      <c r="C617" s="23" t="s">
        <v>1143</v>
      </c>
      <c r="D617" t="s">
        <v>65</v>
      </c>
      <c r="E617" t="s">
        <v>66</v>
      </c>
      <c r="F617" t="s">
        <v>112</v>
      </c>
      <c r="G617" t="s">
        <v>97</v>
      </c>
      <c r="H617" t="s">
        <v>80</v>
      </c>
      <c r="I617">
        <f>MROUND(Table1[[#This Row],[ProbH]]*100,2)/100</f>
        <v>0.54</v>
      </c>
      <c r="J617">
        <f>1/Table1[[#This Row],[odds_ft_home_team_win]]-Table1[[#This Row],[Margin]]</f>
        <v>0.54901186189526963</v>
      </c>
      <c r="K617">
        <f>1/Table1[[#This Row],[odds_ft_draw]]-Table1[[#This Row],[Margin]]</f>
        <v>0.26948464250091186</v>
      </c>
      <c r="L617">
        <f>1/Table1[[#This Row],[odds_ft_away_team_win]]-Table1[[#This Row],[Margin]]</f>
        <v>0.1815034956038184</v>
      </c>
      <c r="M617">
        <v>12</v>
      </c>
      <c r="N617">
        <v>2.0699999999999998</v>
      </c>
      <c r="O617">
        <v>1.07</v>
      </c>
      <c r="P617">
        <v>2.1800000000000002</v>
      </c>
      <c r="Q617">
        <v>1.06</v>
      </c>
      <c r="R617" t="str" cm="1">
        <f t="array" ref="R6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7">
        <v>3</v>
      </c>
      <c r="T617">
        <v>2</v>
      </c>
      <c r="U617">
        <v>5</v>
      </c>
      <c r="V617">
        <v>2</v>
      </c>
      <c r="W617">
        <v>1</v>
      </c>
      <c r="X617">
        <v>1</v>
      </c>
      <c r="Y617" t="s">
        <v>1144</v>
      </c>
      <c r="Z617" t="s">
        <v>1145</v>
      </c>
      <c r="AA617">
        <v>2</v>
      </c>
      <c r="AB617">
        <v>9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11</v>
      </c>
      <c r="AL617">
        <v>20</v>
      </c>
      <c r="AM617">
        <v>7</v>
      </c>
      <c r="AN617">
        <v>11</v>
      </c>
      <c r="AO617">
        <v>4</v>
      </c>
      <c r="AP617">
        <v>9</v>
      </c>
      <c r="AQ617">
        <v>17</v>
      </c>
      <c r="AR617">
        <v>8</v>
      </c>
      <c r="AS617">
        <v>48</v>
      </c>
      <c r="AT617">
        <v>52</v>
      </c>
      <c r="AU617">
        <v>1.48</v>
      </c>
      <c r="AV617">
        <v>2.36</v>
      </c>
      <c r="AW617">
        <v>2.02</v>
      </c>
      <c r="AX617">
        <v>35</v>
      </c>
      <c r="AY617">
        <v>52</v>
      </c>
      <c r="AZ617">
        <v>31</v>
      </c>
      <c r="BA617">
        <v>21</v>
      </c>
      <c r="BB617">
        <v>14</v>
      </c>
      <c r="BC617">
        <v>28</v>
      </c>
      <c r="BD617">
        <v>55</v>
      </c>
      <c r="BE617">
        <v>24</v>
      </c>
      <c r="BF617">
        <v>65</v>
      </c>
      <c r="BG617">
        <v>11.2</v>
      </c>
      <c r="BH617">
        <v>4.24</v>
      </c>
      <c r="BI617">
        <v>1.73</v>
      </c>
      <c r="BJ617">
        <v>3.35</v>
      </c>
      <c r="BK617">
        <v>4.75</v>
      </c>
      <c r="BL617">
        <f>(1/Table1[[#This Row],[odds_ft_home_team_win]]+1/Table1[[#This Row],[odds_ft_draw]]+1/Table1[[#This Row],[odds_ft_away_team_win]]-1)/3</f>
        <v>2.9022820185655274E-2</v>
      </c>
      <c r="BM617">
        <v>1.36</v>
      </c>
      <c r="BN617">
        <v>2.1800000000000002</v>
      </c>
      <c r="BO617">
        <v>3.8</v>
      </c>
      <c r="BP617">
        <v>7.75</v>
      </c>
      <c r="BQ617">
        <v>2.0499999999999998</v>
      </c>
      <c r="BR617">
        <v>1.71</v>
      </c>
      <c r="BS617" t="s">
        <v>116</v>
      </c>
      <c r="BT617">
        <f>VLOOKUP(Table1[[#This Row],[Reference]],metron,8,FALSE)</f>
        <v>1.915666026436746</v>
      </c>
      <c r="BU617">
        <f>VLOOKUP(Table1[[#This Row],[Reference]],metron,9,FALSE)</f>
        <v>0.82283834599204153</v>
      </c>
      <c r="BV617">
        <f>VLOOKUP(Table1[[#This Row],[Reference]],metron,10,FALSE)</f>
        <v>2.6359702267612941</v>
      </c>
      <c r="BW617">
        <f>VLOOKUP(Table1[[#This Row],[Reference]],metron,11,FALSE)</f>
        <v>1.684957590444867</v>
      </c>
      <c r="BX617">
        <f>VLOOKUP(Table1[[#This Row],[Reference]],metron,12,FALSE)</f>
        <v>0.95101263631642718</v>
      </c>
      <c r="BY617" s="6">
        <f>VLOOKUP(Table1[[#This Row],[Reference]],metron,13,FALSE)</f>
        <v>0.72650164445213783</v>
      </c>
      <c r="BZ617" s="6">
        <f>VLOOKUP(Table1[[#This Row],[Reference]],metron,14,FALSE)</f>
        <v>0.42097974727367138</v>
      </c>
      <c r="CA617" s="6">
        <f>VLOOKUP(Table1[[#This Row],[Reference]],metron,15,FALSE)</f>
        <v>13.338806970509379</v>
      </c>
      <c r="CB617" s="6">
        <f>VLOOKUP(Table1[[#This Row],[Reference]],metron,16,FALSE)</f>
        <v>9.2530160857908843</v>
      </c>
      <c r="CC617" s="6">
        <f>VLOOKUP(Table1[[#This Row],[Reference]],metron,17,FALSE)</f>
        <v>5.9915081521739131</v>
      </c>
      <c r="CD617" s="6">
        <f>VLOOKUP(Table1[[#This Row],[Reference]],metron,18,FALSE)</f>
        <v>3.9772418478260869</v>
      </c>
      <c r="CE617" s="6">
        <f>VLOOKUP(Table1[[#This Row],[Reference]],metron,19,FALSE)</f>
        <v>7.3472988183354664</v>
      </c>
      <c r="CF617" s="6">
        <f>VLOOKUP(Table1[[#This Row],[Reference]],metron,20,FALSE)</f>
        <v>5.2757742379647974</v>
      </c>
      <c r="CG617" s="6">
        <f>VLOOKUP(Table1[[#This Row],[Reference]],metron,21,FALSE)</f>
        <v>12.59428182437032</v>
      </c>
      <c r="CH617" s="6">
        <f>VLOOKUP(Table1[[#This Row],[Reference]],metron,22,FALSE)</f>
        <v>13.577944179714089</v>
      </c>
      <c r="CI617" s="6">
        <f>VLOOKUP(Table1[[#This Row],[Reference]],metron,23,FALSE)</f>
        <v>1.4276913099870301</v>
      </c>
      <c r="CJ617" s="6">
        <f>VLOOKUP(Table1[[#This Row],[Reference]],metron,24,FALSE)</f>
        <v>1.940985732814527</v>
      </c>
      <c r="CK617" s="6">
        <f>VLOOKUP(Table1[[#This Row],[Reference]],metron,25,FALSE)</f>
        <v>8.0739299610894946E-2</v>
      </c>
      <c r="CL617" s="6">
        <f>VLOOKUP(Table1[[#This Row],[Reference]],metron,26,FALSE)</f>
        <v>0.12743190661478601</v>
      </c>
    </row>
    <row r="618" spans="1:90" x14ac:dyDescent="0.45">
      <c r="A618" t="s">
        <v>1256</v>
      </c>
      <c r="B618">
        <v>1616295960</v>
      </c>
      <c r="C618" s="23" t="s">
        <v>1146</v>
      </c>
      <c r="D618" t="s">
        <v>65</v>
      </c>
      <c r="E618" t="s">
        <v>66</v>
      </c>
      <c r="F618" t="s">
        <v>106</v>
      </c>
      <c r="G618" t="s">
        <v>67</v>
      </c>
      <c r="H618" t="s">
        <v>130</v>
      </c>
      <c r="I618">
        <f>MROUND(Table1[[#This Row],[ProbH]]*100,2)/100</f>
        <v>0.5</v>
      </c>
      <c r="J618">
        <f>1/Table1[[#This Row],[odds_ft_home_team_win]]-Table1[[#This Row],[Margin]]</f>
        <v>0.50332396014498648</v>
      </c>
      <c r="K618">
        <f>1/Table1[[#This Row],[odds_ft_draw]]-Table1[[#This Row],[Margin]]</f>
        <v>0.2655267135867887</v>
      </c>
      <c r="L618">
        <f>1/Table1[[#This Row],[odds_ft_away_team_win]]-Table1[[#This Row],[Margin]]</f>
        <v>0.2311493262682249</v>
      </c>
      <c r="M618">
        <v>12</v>
      </c>
      <c r="N618">
        <v>1.5</v>
      </c>
      <c r="O618">
        <v>0.14000000000000001</v>
      </c>
      <c r="P618">
        <v>1.59</v>
      </c>
      <c r="Q618">
        <v>0.17</v>
      </c>
      <c r="R618" t="str" cm="1">
        <f t="array" ref="R6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8">
        <v>3</v>
      </c>
      <c r="T618">
        <v>1</v>
      </c>
      <c r="U618">
        <v>4</v>
      </c>
      <c r="V618">
        <v>4</v>
      </c>
      <c r="W618">
        <v>3</v>
      </c>
      <c r="X618">
        <v>1</v>
      </c>
      <c r="Y618" t="s">
        <v>1147</v>
      </c>
      <c r="Z618">
        <v>7</v>
      </c>
      <c r="AA618">
        <v>6</v>
      </c>
      <c r="AB618">
        <v>3</v>
      </c>
      <c r="AC618">
        <v>1</v>
      </c>
      <c r="AD618">
        <v>0</v>
      </c>
      <c r="AE618">
        <v>3</v>
      </c>
      <c r="AF618">
        <v>0</v>
      </c>
      <c r="AG618">
        <v>1</v>
      </c>
      <c r="AH618">
        <v>0</v>
      </c>
      <c r="AI618">
        <v>0</v>
      </c>
      <c r="AJ618">
        <v>3</v>
      </c>
      <c r="AK618">
        <v>18</v>
      </c>
      <c r="AL618">
        <v>12</v>
      </c>
      <c r="AM618">
        <v>5</v>
      </c>
      <c r="AN618">
        <v>4</v>
      </c>
      <c r="AO618">
        <v>13</v>
      </c>
      <c r="AP618">
        <v>8</v>
      </c>
      <c r="AQ618">
        <v>12</v>
      </c>
      <c r="AR618">
        <v>9</v>
      </c>
      <c r="AS618">
        <v>60</v>
      </c>
      <c r="AT618">
        <v>40</v>
      </c>
      <c r="AU618">
        <v>1.84</v>
      </c>
      <c r="AV618">
        <v>1.27</v>
      </c>
      <c r="AW618">
        <v>2.54</v>
      </c>
      <c r="AX618">
        <v>50</v>
      </c>
      <c r="AY618">
        <v>72</v>
      </c>
      <c r="AZ618">
        <v>54</v>
      </c>
      <c r="BA618">
        <v>22</v>
      </c>
      <c r="BB618">
        <v>14</v>
      </c>
      <c r="BC618">
        <v>40</v>
      </c>
      <c r="BD618">
        <v>79</v>
      </c>
      <c r="BE618">
        <v>25</v>
      </c>
      <c r="BF618">
        <v>72</v>
      </c>
      <c r="BG618">
        <v>8.2899999999999991</v>
      </c>
      <c r="BH618">
        <v>5.14</v>
      </c>
      <c r="BI618">
        <v>1.88</v>
      </c>
      <c r="BJ618">
        <v>3.4</v>
      </c>
      <c r="BK618">
        <v>3.85</v>
      </c>
      <c r="BL618">
        <f>(1/Table1[[#This Row],[odds_ft_home_team_win]]+1/Table1[[#This Row],[odds_ft_draw]]+1/Table1[[#This Row],[odds_ft_away_team_win]]-1)/3</f>
        <v>2.8590933472034823E-2</v>
      </c>
      <c r="BM618">
        <v>1.33</v>
      </c>
      <c r="BN618">
        <v>2.02</v>
      </c>
      <c r="BO618">
        <v>3.25</v>
      </c>
      <c r="BP618">
        <v>6.5</v>
      </c>
      <c r="BQ618">
        <v>1.83</v>
      </c>
      <c r="BR618">
        <v>1.87</v>
      </c>
      <c r="BS618" t="s">
        <v>110</v>
      </c>
      <c r="BT618">
        <f>VLOOKUP(Table1[[#This Row],[Reference]],metron,8,FALSE)</f>
        <v>1.8001937313313046</v>
      </c>
      <c r="BU618">
        <f>VLOOKUP(Table1[[#This Row],[Reference]],metron,9,FALSE)</f>
        <v>0.9268512077832276</v>
      </c>
      <c r="BV618">
        <f>VLOOKUP(Table1[[#This Row],[Reference]],metron,10,FALSE)</f>
        <v>2.5202079886551649</v>
      </c>
      <c r="BW618">
        <f>VLOOKUP(Table1[[#This Row],[Reference]],metron,11,FALSE)</f>
        <v>1.5342708579532029</v>
      </c>
      <c r="BX618">
        <f>VLOOKUP(Table1[[#This Row],[Reference]],metron,12,FALSE)</f>
        <v>0.98593713070196176</v>
      </c>
      <c r="BY618" s="6">
        <f>VLOOKUP(Table1[[#This Row],[Reference]],metron,13,FALSE)</f>
        <v>0.67513590167809023</v>
      </c>
      <c r="BZ618" s="6">
        <f>VLOOKUP(Table1[[#This Row],[Reference]],metron,14,FALSE)</f>
        <v>0.4286727337194185</v>
      </c>
      <c r="CA618" s="6">
        <f>VLOOKUP(Table1[[#This Row],[Reference]],metron,15,FALSE)</f>
        <v>12.98669114272602</v>
      </c>
      <c r="CB618" s="6">
        <f>VLOOKUP(Table1[[#This Row],[Reference]],metron,16,FALSE)</f>
        <v>9.4167049105094076</v>
      </c>
      <c r="CC618" s="6">
        <f>VLOOKUP(Table1[[#This Row],[Reference]],metron,17,FALSE)</f>
        <v>5.6645716945996272</v>
      </c>
      <c r="CD618" s="6">
        <f>VLOOKUP(Table1[[#This Row],[Reference]],metron,18,FALSE)</f>
        <v>4.0242085661080074</v>
      </c>
      <c r="CE618" s="6">
        <f>VLOOKUP(Table1[[#This Row],[Reference]],metron,19,FALSE)</f>
        <v>7.3221194481263927</v>
      </c>
      <c r="CF618" s="6">
        <f>VLOOKUP(Table1[[#This Row],[Reference]],metron,20,FALSE)</f>
        <v>5.3924963444014002</v>
      </c>
      <c r="CG618" s="6">
        <f>VLOOKUP(Table1[[#This Row],[Reference]],metron,21,FALSE)</f>
        <v>12.508162313432839</v>
      </c>
      <c r="CH618" s="6">
        <f>VLOOKUP(Table1[[#This Row],[Reference]],metron,22,FALSE)</f>
        <v>13.36963619402985</v>
      </c>
      <c r="CI618" s="6">
        <f>VLOOKUP(Table1[[#This Row],[Reference]],metron,23,FALSE)</f>
        <v>1.4438014689517029</v>
      </c>
      <c r="CJ618" s="6">
        <f>VLOOKUP(Table1[[#This Row],[Reference]],metron,24,FALSE)</f>
        <v>1.9410193634542621</v>
      </c>
      <c r="CK618" s="6">
        <f>VLOOKUP(Table1[[#This Row],[Reference]],metron,25,FALSE)</f>
        <v>8.4130870242599604E-2</v>
      </c>
      <c r="CL618" s="6">
        <f>VLOOKUP(Table1[[#This Row],[Reference]],metron,26,FALSE)</f>
        <v>0.1275317160026708</v>
      </c>
    </row>
    <row r="619" spans="1:90" x14ac:dyDescent="0.45">
      <c r="A619" t="s">
        <v>1256</v>
      </c>
      <c r="B619">
        <v>1616349600</v>
      </c>
      <c r="C619" s="23" t="s">
        <v>1148</v>
      </c>
      <c r="D619" t="s">
        <v>65</v>
      </c>
      <c r="E619" t="s">
        <v>66</v>
      </c>
      <c r="F619" t="s">
        <v>79</v>
      </c>
      <c r="G619" t="s">
        <v>102</v>
      </c>
      <c r="H619" t="s">
        <v>98</v>
      </c>
      <c r="I619">
        <f>MROUND(Table1[[#This Row],[ProbH]]*100,2)/100</f>
        <v>0.44</v>
      </c>
      <c r="J619">
        <f>1/Table1[[#This Row],[odds_ft_home_team_win]]-Table1[[#This Row],[Margin]]</f>
        <v>0.43269448213478062</v>
      </c>
      <c r="K619">
        <f>1/Table1[[#This Row],[odds_ft_draw]]-Table1[[#This Row],[Margin]]</f>
        <v>0.29064902758932609</v>
      </c>
      <c r="L619">
        <f>1/Table1[[#This Row],[odds_ft_away_team_win]]-Table1[[#This Row],[Margin]]</f>
        <v>0.27665649027589323</v>
      </c>
      <c r="M619">
        <v>12</v>
      </c>
      <c r="N619">
        <v>2.0699999999999998</v>
      </c>
      <c r="O619">
        <v>1.33</v>
      </c>
      <c r="P619">
        <v>2</v>
      </c>
      <c r="Q619">
        <v>1.33</v>
      </c>
      <c r="R619" t="str" cm="1">
        <f t="array" ref="R6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19">
        <v>4</v>
      </c>
      <c r="T619">
        <v>4</v>
      </c>
      <c r="U619">
        <v>8</v>
      </c>
      <c r="V619">
        <v>1</v>
      </c>
      <c r="W619">
        <v>1</v>
      </c>
      <c r="X619">
        <v>0</v>
      </c>
      <c r="Y619" t="s">
        <v>1149</v>
      </c>
      <c r="Z619" t="s">
        <v>1150</v>
      </c>
      <c r="AA619">
        <v>7</v>
      </c>
      <c r="AB619">
        <v>5</v>
      </c>
      <c r="AC619">
        <v>3</v>
      </c>
      <c r="AD619">
        <v>0</v>
      </c>
      <c r="AE619">
        <v>1</v>
      </c>
      <c r="AF619">
        <v>1</v>
      </c>
      <c r="AG619">
        <v>1</v>
      </c>
      <c r="AH619">
        <v>2</v>
      </c>
      <c r="AI619">
        <v>1</v>
      </c>
      <c r="AJ619">
        <v>1</v>
      </c>
      <c r="AK619">
        <v>12</v>
      </c>
      <c r="AL619">
        <v>16</v>
      </c>
      <c r="AM619">
        <v>5</v>
      </c>
      <c r="AN619">
        <v>8</v>
      </c>
      <c r="AO619">
        <v>7</v>
      </c>
      <c r="AP619">
        <v>8</v>
      </c>
      <c r="AQ619">
        <v>13</v>
      </c>
      <c r="AR619">
        <v>10</v>
      </c>
      <c r="AS619">
        <v>57</v>
      </c>
      <c r="AT619">
        <v>43</v>
      </c>
      <c r="AU619">
        <v>1.41</v>
      </c>
      <c r="AV619">
        <v>1.83</v>
      </c>
      <c r="AW619">
        <v>2.4900000000000002</v>
      </c>
      <c r="AX619">
        <v>45</v>
      </c>
      <c r="AY619">
        <v>62</v>
      </c>
      <c r="AZ619">
        <v>42</v>
      </c>
      <c r="BA619">
        <v>32</v>
      </c>
      <c r="BB619">
        <v>17</v>
      </c>
      <c r="BC619">
        <v>38</v>
      </c>
      <c r="BD619">
        <v>72</v>
      </c>
      <c r="BE619">
        <v>42</v>
      </c>
      <c r="BF619">
        <v>73</v>
      </c>
      <c r="BG619">
        <v>9.08</v>
      </c>
      <c r="BH619">
        <v>4.3899999999999997</v>
      </c>
      <c r="BI619">
        <v>2.2000000000000002</v>
      </c>
      <c r="BJ619">
        <v>3.2</v>
      </c>
      <c r="BK619">
        <v>3.35</v>
      </c>
      <c r="BL619">
        <f>(1/Table1[[#This Row],[odds_ft_home_team_win]]+1/Table1[[#This Row],[odds_ft_draw]]+1/Table1[[#This Row],[odds_ft_away_team_win]]-1)/3</f>
        <v>2.1850972410673908E-2</v>
      </c>
      <c r="BM619">
        <v>1.42</v>
      </c>
      <c r="BN619">
        <v>2.15</v>
      </c>
      <c r="BO619">
        <v>3.75</v>
      </c>
      <c r="BP619">
        <v>7.75</v>
      </c>
      <c r="BQ619">
        <v>1.95</v>
      </c>
      <c r="BR619">
        <v>1.8</v>
      </c>
      <c r="BS619" t="s">
        <v>140</v>
      </c>
      <c r="BT619">
        <f>VLOOKUP(Table1[[#This Row],[Reference]],metron,8,FALSE)</f>
        <v>1.6395459745305552</v>
      </c>
      <c r="BU619">
        <f>VLOOKUP(Table1[[#This Row],[Reference]],metron,9,FALSE)</f>
        <v>1.0758429359324786</v>
      </c>
      <c r="BV619">
        <f>VLOOKUP(Table1[[#This Row],[Reference]],metron,10,FALSE)</f>
        <v>2.4807646356033461</v>
      </c>
      <c r="BW619">
        <f>VLOOKUP(Table1[[#This Row],[Reference]],metron,11,FALSE)</f>
        <v>1.4140979689366791</v>
      </c>
      <c r="BX619">
        <f>VLOOKUP(Table1[[#This Row],[Reference]],metron,12,FALSE)</f>
        <v>1.0666666666666671</v>
      </c>
      <c r="BY619" s="6">
        <f>VLOOKUP(Table1[[#This Row],[Reference]],metron,13,FALSE)</f>
        <v>0.62712066905615294</v>
      </c>
      <c r="BZ619" s="6">
        <f>VLOOKUP(Table1[[#This Row],[Reference]],metron,14,FALSE)</f>
        <v>0.46009557945041818</v>
      </c>
      <c r="CA619" s="6">
        <f>VLOOKUP(Table1[[#This Row],[Reference]],metron,15,FALSE)</f>
        <v>12.56969280146722</v>
      </c>
      <c r="CB619" s="6">
        <f>VLOOKUP(Table1[[#This Row],[Reference]],metron,16,FALSE)</f>
        <v>9.8695552498853729</v>
      </c>
      <c r="CC619" s="6">
        <f>VLOOKUP(Table1[[#This Row],[Reference]],metron,17,FALSE)</f>
        <v>5.2754256787850897</v>
      </c>
      <c r="CD619" s="6">
        <f>VLOOKUP(Table1[[#This Row],[Reference]],metron,18,FALSE)</f>
        <v>4.1279337321675103</v>
      </c>
      <c r="CE619" s="6">
        <f>VLOOKUP(Table1[[#This Row],[Reference]],metron,19,FALSE)</f>
        <v>7.2942671226821298</v>
      </c>
      <c r="CF619" s="6">
        <f>VLOOKUP(Table1[[#This Row],[Reference]],metron,20,FALSE)</f>
        <v>5.7416215177178627</v>
      </c>
      <c r="CG619" s="6">
        <f>VLOOKUP(Table1[[#This Row],[Reference]],metron,21,FALSE)</f>
        <v>12.897246007868549</v>
      </c>
      <c r="CH619" s="6">
        <f>VLOOKUP(Table1[[#This Row],[Reference]],metron,22,FALSE)</f>
        <v>13.507058551261281</v>
      </c>
      <c r="CI619" s="6">
        <f>VLOOKUP(Table1[[#This Row],[Reference]],metron,23,FALSE)</f>
        <v>1.576522702104098</v>
      </c>
      <c r="CJ619" s="6">
        <f>VLOOKUP(Table1[[#This Row],[Reference]],metron,24,FALSE)</f>
        <v>1.917165005537099</v>
      </c>
      <c r="CK619" s="6">
        <f>VLOOKUP(Table1[[#This Row],[Reference]],metron,25,FALSE)</f>
        <v>8.4385382059800659E-2</v>
      </c>
      <c r="CL619" s="6">
        <f>VLOOKUP(Table1[[#This Row],[Reference]],metron,26,FALSE)</f>
        <v>0.1233665559246955</v>
      </c>
    </row>
    <row r="620" spans="1:90" x14ac:dyDescent="0.45">
      <c r="A620" t="s">
        <v>1256</v>
      </c>
      <c r="B620">
        <v>1616375160</v>
      </c>
      <c r="C620" s="23" t="s">
        <v>1151</v>
      </c>
      <c r="D620" t="s">
        <v>65</v>
      </c>
      <c r="E620" t="s">
        <v>66</v>
      </c>
      <c r="F620" t="s">
        <v>73</v>
      </c>
      <c r="G620" t="s">
        <v>85</v>
      </c>
      <c r="H620" t="s">
        <v>103</v>
      </c>
      <c r="I620">
        <f>MROUND(Table1[[#This Row],[ProbH]]*100,2)/100</f>
        <v>0.4</v>
      </c>
      <c r="J620">
        <f>1/Table1[[#This Row],[odds_ft_home_team_win]]-Table1[[#This Row],[Margin]]</f>
        <v>0.39395009416195859</v>
      </c>
      <c r="K620">
        <f>1/Table1[[#This Row],[odds_ft_draw]]-Table1[[#This Row],[Margin]]</f>
        <v>0.2897834274952919</v>
      </c>
      <c r="L620">
        <f>1/Table1[[#This Row],[odds_ft_away_team_win]]-Table1[[#This Row],[Margin]]</f>
        <v>0.31626647834274951</v>
      </c>
      <c r="M620">
        <v>12</v>
      </c>
      <c r="N620">
        <v>2.2000000000000002</v>
      </c>
      <c r="O620">
        <v>1.41</v>
      </c>
      <c r="P620">
        <v>2.09</v>
      </c>
      <c r="Q620">
        <v>1.5</v>
      </c>
      <c r="R620" t="str" cm="1">
        <f t="array" ref="R6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20">
        <v>1</v>
      </c>
      <c r="T620">
        <v>2</v>
      </c>
      <c r="U620">
        <v>3</v>
      </c>
      <c r="V620">
        <v>2</v>
      </c>
      <c r="W620">
        <v>1</v>
      </c>
      <c r="X620">
        <v>1</v>
      </c>
      <c r="Y620">
        <v>32</v>
      </c>
      <c r="Z620" t="s">
        <v>535</v>
      </c>
      <c r="AA620">
        <v>4</v>
      </c>
      <c r="AB620">
        <v>3</v>
      </c>
      <c r="AC620">
        <v>1</v>
      </c>
      <c r="AD620">
        <v>0</v>
      </c>
      <c r="AE620">
        <v>3</v>
      </c>
      <c r="AF620">
        <v>0</v>
      </c>
      <c r="AG620">
        <v>1</v>
      </c>
      <c r="AH620">
        <v>0</v>
      </c>
      <c r="AI620">
        <v>2</v>
      </c>
      <c r="AJ620">
        <v>1</v>
      </c>
      <c r="AK620">
        <v>10</v>
      </c>
      <c r="AL620">
        <v>11</v>
      </c>
      <c r="AM620">
        <v>2</v>
      </c>
      <c r="AN620">
        <v>4</v>
      </c>
      <c r="AO620">
        <v>8</v>
      </c>
      <c r="AP620">
        <v>7</v>
      </c>
      <c r="AQ620">
        <v>9</v>
      </c>
      <c r="AR620">
        <v>6</v>
      </c>
      <c r="AS620">
        <v>48</v>
      </c>
      <c r="AT620">
        <v>52</v>
      </c>
      <c r="AU620">
        <v>1.1499999999999999</v>
      </c>
      <c r="AV620">
        <v>1.1499999999999999</v>
      </c>
      <c r="AW620">
        <v>2.2999999999999998</v>
      </c>
      <c r="AX620">
        <v>47</v>
      </c>
      <c r="AY620">
        <v>78</v>
      </c>
      <c r="AZ620">
        <v>38</v>
      </c>
      <c r="BA620">
        <v>16</v>
      </c>
      <c r="BB620">
        <v>7</v>
      </c>
      <c r="BC620">
        <v>26</v>
      </c>
      <c r="BD620">
        <v>66</v>
      </c>
      <c r="BE620">
        <v>32</v>
      </c>
      <c r="BF620">
        <v>81</v>
      </c>
      <c r="BG620">
        <v>10.87</v>
      </c>
      <c r="BH620">
        <v>3.44</v>
      </c>
      <c r="BI620">
        <v>2.4</v>
      </c>
      <c r="BJ620">
        <v>3.2</v>
      </c>
      <c r="BK620">
        <v>2.95</v>
      </c>
      <c r="BL620">
        <f>(1/Table1[[#This Row],[odds_ft_home_team_win]]+1/Table1[[#This Row],[odds_ft_draw]]+1/Table1[[#This Row],[odds_ft_away_team_win]]-1)/3</f>
        <v>2.2716572504708116E-2</v>
      </c>
      <c r="BM620">
        <v>1.35</v>
      </c>
      <c r="BN620">
        <v>1.95</v>
      </c>
      <c r="BO620">
        <v>3.3</v>
      </c>
      <c r="BP620">
        <v>6.5</v>
      </c>
      <c r="BQ620">
        <v>1.77</v>
      </c>
      <c r="BR620">
        <v>2</v>
      </c>
      <c r="BS620" t="s">
        <v>142</v>
      </c>
      <c r="BT620">
        <f>VLOOKUP(Table1[[#This Row],[Reference]],metron,8,FALSE)</f>
        <v>1.5181603563290151</v>
      </c>
      <c r="BU620">
        <f>VLOOKUP(Table1[[#This Row],[Reference]],metron,9,FALSE)</f>
        <v>1.1952730370775513</v>
      </c>
      <c r="BV620">
        <f>VLOOKUP(Table1[[#This Row],[Reference]],metron,10,FALSE)</f>
        <v>2.4956155335383219</v>
      </c>
      <c r="BW620">
        <f>VLOOKUP(Table1[[#This Row],[Reference]],metron,11,FALSE)</f>
        <v>1.344038264434575</v>
      </c>
      <c r="BX620">
        <f>VLOOKUP(Table1[[#This Row],[Reference]],metron,12,FALSE)</f>
        <v>1.1515772691037469</v>
      </c>
      <c r="BY620" s="6">
        <f>VLOOKUP(Table1[[#This Row],[Reference]],metron,13,FALSE)</f>
        <v>0.59936225942375587</v>
      </c>
      <c r="BZ620" s="6">
        <f>VLOOKUP(Table1[[#This Row],[Reference]],metron,14,FALSE)</f>
        <v>0.50723152260562576</v>
      </c>
      <c r="CA620" s="6">
        <f>VLOOKUP(Table1[[#This Row],[Reference]],metron,15,FALSE)</f>
        <v>11.99278846153846</v>
      </c>
      <c r="CB620" s="6">
        <f>VLOOKUP(Table1[[#This Row],[Reference]],metron,16,FALSE)</f>
        <v>10.0277534965035</v>
      </c>
      <c r="CC620" s="6">
        <f>VLOOKUP(Table1[[#This Row],[Reference]],metron,17,FALSE)</f>
        <v>5.2857459543338514</v>
      </c>
      <c r="CD620" s="6">
        <f>VLOOKUP(Table1[[#This Row],[Reference]],metron,18,FALSE)</f>
        <v>4.4067834183107957</v>
      </c>
      <c r="CE620" s="6">
        <f>VLOOKUP(Table1[[#This Row],[Reference]],metron,19,FALSE)</f>
        <v>6.7070425072046085</v>
      </c>
      <c r="CF620" s="6">
        <f>VLOOKUP(Table1[[#This Row],[Reference]],metron,20,FALSE)</f>
        <v>5.6209700781927046</v>
      </c>
      <c r="CG620" s="6">
        <f>VLOOKUP(Table1[[#This Row],[Reference]],metron,21,FALSE)</f>
        <v>13.04463690872752</v>
      </c>
      <c r="CH620" s="6">
        <f>VLOOKUP(Table1[[#This Row],[Reference]],metron,22,FALSE)</f>
        <v>13.49811236953142</v>
      </c>
      <c r="CI620" s="6">
        <f>VLOOKUP(Table1[[#This Row],[Reference]],metron,23,FALSE)</f>
        <v>1.5836526181353769</v>
      </c>
      <c r="CJ620" s="6">
        <f>VLOOKUP(Table1[[#This Row],[Reference]],metron,24,FALSE)</f>
        <v>1.8744146445295871</v>
      </c>
      <c r="CK620" s="6">
        <f>VLOOKUP(Table1[[#This Row],[Reference]],metron,25,FALSE)</f>
        <v>8.5994040017028525E-2</v>
      </c>
      <c r="CL620" s="6">
        <f>VLOOKUP(Table1[[#This Row],[Reference]],metron,26,FALSE)</f>
        <v>0.13452532992762881</v>
      </c>
    </row>
    <row r="621" spans="1:90" x14ac:dyDescent="0.45">
      <c r="A621" t="s">
        <v>1256</v>
      </c>
      <c r="B621">
        <v>1617413400</v>
      </c>
      <c r="C621" s="23" t="s">
        <v>1152</v>
      </c>
      <c r="D621" t="s">
        <v>65</v>
      </c>
      <c r="E621" t="s">
        <v>66</v>
      </c>
      <c r="F621" t="s">
        <v>102</v>
      </c>
      <c r="G621" t="s">
        <v>113</v>
      </c>
      <c r="H621" t="s">
        <v>92</v>
      </c>
      <c r="I621">
        <f>MROUND(Table1[[#This Row],[ProbH]]*100,2)/100</f>
        <v>0.46</v>
      </c>
      <c r="J621">
        <f>1/Table1[[#This Row],[odds_ft_home_team_win]]-Table1[[#This Row],[Margin]]</f>
        <v>0.45825301614894248</v>
      </c>
      <c r="K621">
        <f>1/Table1[[#This Row],[odds_ft_draw]]-Table1[[#This Row],[Margin]]</f>
        <v>0.26841027595075206</v>
      </c>
      <c r="L621">
        <f>1/Table1[[#This Row],[odds_ft_away_team_win]]-Table1[[#This Row],[Margin]]</f>
        <v>0.2733367079003054</v>
      </c>
      <c r="M621">
        <v>13</v>
      </c>
      <c r="N621">
        <v>1.25</v>
      </c>
      <c r="O621">
        <v>0.56999999999999995</v>
      </c>
      <c r="P621">
        <v>1.5</v>
      </c>
      <c r="Q621">
        <v>0.65</v>
      </c>
      <c r="R621" t="str" cm="1">
        <f t="array" ref="R6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1">
        <v>3</v>
      </c>
      <c r="T621">
        <v>1</v>
      </c>
      <c r="U621">
        <v>4</v>
      </c>
      <c r="V621">
        <v>2</v>
      </c>
      <c r="W621">
        <v>1</v>
      </c>
      <c r="X621">
        <v>1</v>
      </c>
      <c r="Y621" t="s">
        <v>1153</v>
      </c>
      <c r="Z621">
        <v>16</v>
      </c>
      <c r="AA621">
        <v>4</v>
      </c>
      <c r="AB621">
        <v>3</v>
      </c>
      <c r="AC621">
        <v>2</v>
      </c>
      <c r="AD621">
        <v>0</v>
      </c>
      <c r="AE621">
        <v>4</v>
      </c>
      <c r="AF621">
        <v>1</v>
      </c>
      <c r="AG621">
        <v>2</v>
      </c>
      <c r="AH621">
        <v>0</v>
      </c>
      <c r="AI621">
        <v>3</v>
      </c>
      <c r="AJ621">
        <v>2</v>
      </c>
      <c r="AK621">
        <v>15</v>
      </c>
      <c r="AL621">
        <v>6</v>
      </c>
      <c r="AM621">
        <v>7</v>
      </c>
      <c r="AN621">
        <v>3</v>
      </c>
      <c r="AO621">
        <v>8</v>
      </c>
      <c r="AP621">
        <v>3</v>
      </c>
      <c r="AQ621">
        <v>11</v>
      </c>
      <c r="AR621">
        <v>10</v>
      </c>
      <c r="AS621">
        <v>62</v>
      </c>
      <c r="AT621">
        <v>38</v>
      </c>
      <c r="AU621">
        <v>1.82</v>
      </c>
      <c r="AV621">
        <v>0.81</v>
      </c>
      <c r="AW621">
        <v>2.79</v>
      </c>
      <c r="AX621">
        <v>54</v>
      </c>
      <c r="AY621">
        <v>71</v>
      </c>
      <c r="AZ621">
        <v>51</v>
      </c>
      <c r="BA621">
        <v>31</v>
      </c>
      <c r="BB621">
        <v>20</v>
      </c>
      <c r="BC621">
        <v>37</v>
      </c>
      <c r="BD621">
        <v>57</v>
      </c>
      <c r="BE621">
        <v>51</v>
      </c>
      <c r="BF621">
        <v>71</v>
      </c>
      <c r="BG621">
        <v>8.14</v>
      </c>
      <c r="BH621">
        <v>4.17</v>
      </c>
      <c r="BI621">
        <v>2.11</v>
      </c>
      <c r="BJ621">
        <v>3.52</v>
      </c>
      <c r="BK621">
        <v>3.46</v>
      </c>
      <c r="BL621">
        <f>(1/Table1[[#This Row],[odds_ft_home_team_win]]+1/Table1[[#This Row],[odds_ft_draw]]+1/Table1[[#This Row],[odds_ft_away_team_win]]-1)/3</f>
        <v>1.5680633140157035E-2</v>
      </c>
      <c r="BM621">
        <v>1.4</v>
      </c>
      <c r="BN621">
        <v>1.96</v>
      </c>
      <c r="BO621">
        <v>3.3</v>
      </c>
      <c r="BP621">
        <v>7.25</v>
      </c>
      <c r="BQ621">
        <v>1.83</v>
      </c>
      <c r="BR621">
        <v>1.87</v>
      </c>
      <c r="BS621" t="s">
        <v>124</v>
      </c>
      <c r="BT621">
        <f>VLOOKUP(Table1[[#This Row],[Reference]],metron,8,FALSE)</f>
        <v>1.6955772349985931</v>
      </c>
      <c r="BU621">
        <f>VLOOKUP(Table1[[#This Row],[Reference]],metron,9,FALSE)</f>
        <v>1.0239029519551039</v>
      </c>
      <c r="BV621">
        <f>VLOOKUP(Table1[[#This Row],[Reference]],metron,10,FALSE)</f>
        <v>2.5405629139072849</v>
      </c>
      <c r="BW621">
        <f>VLOOKUP(Table1[[#This Row],[Reference]],metron,11,FALSE)</f>
        <v>1.4888836329233679</v>
      </c>
      <c r="BX621">
        <f>VLOOKUP(Table1[[#This Row],[Reference]],metron,12,FALSE)</f>
        <v>1.0516792809839171</v>
      </c>
      <c r="BY621" s="6">
        <f>VLOOKUP(Table1[[#This Row],[Reference]],metron,13,FALSE)</f>
        <v>0.64581362346263005</v>
      </c>
      <c r="BZ621" s="6">
        <f>VLOOKUP(Table1[[#This Row],[Reference]],metron,14,FALSE)</f>
        <v>0.45364238410596031</v>
      </c>
      <c r="CA621" s="6">
        <f>VLOOKUP(Table1[[#This Row],[Reference]],metron,15,FALSE)</f>
        <v>12.686892177589851</v>
      </c>
      <c r="CB621" s="6">
        <f>VLOOKUP(Table1[[#This Row],[Reference]],metron,16,FALSE)</f>
        <v>9.8059196617336148</v>
      </c>
      <c r="CC621" s="6">
        <f>VLOOKUP(Table1[[#This Row],[Reference]],metron,17,FALSE)</f>
        <v>5.3198121263877027</v>
      </c>
      <c r="CD621" s="6">
        <f>VLOOKUP(Table1[[#This Row],[Reference]],metron,18,FALSE)</f>
        <v>4.0954312553373189</v>
      </c>
      <c r="CE621" s="6">
        <f>VLOOKUP(Table1[[#This Row],[Reference]],metron,19,FALSE)</f>
        <v>7.3670800512021479</v>
      </c>
      <c r="CF621" s="6">
        <f>VLOOKUP(Table1[[#This Row],[Reference]],metron,20,FALSE)</f>
        <v>5.710488406396296</v>
      </c>
      <c r="CG621" s="6">
        <f>VLOOKUP(Table1[[#This Row],[Reference]],metron,21,FALSE)</f>
        <v>13.0488908033599</v>
      </c>
      <c r="CH621" s="6">
        <f>VLOOKUP(Table1[[#This Row],[Reference]],metron,22,FALSE)</f>
        <v>13.714839543398661</v>
      </c>
      <c r="CI621" s="6">
        <f>VLOOKUP(Table1[[#This Row],[Reference]],metron,23,FALSE)</f>
        <v>1.567523459812322</v>
      </c>
      <c r="CJ621" s="6">
        <f>VLOOKUP(Table1[[#This Row],[Reference]],metron,24,FALSE)</f>
        <v>1.951040391676867</v>
      </c>
      <c r="CK621" s="6">
        <f>VLOOKUP(Table1[[#This Row],[Reference]],metron,25,FALSE)</f>
        <v>8.3027335781313744E-2</v>
      </c>
      <c r="CL621" s="6">
        <f>VLOOKUP(Table1[[#This Row],[Reference]],metron,26,FALSE)</f>
        <v>0.13117095063239501</v>
      </c>
    </row>
    <row r="622" spans="1:90" x14ac:dyDescent="0.45">
      <c r="A622" t="s">
        <v>1256</v>
      </c>
      <c r="B622">
        <v>1617420600</v>
      </c>
      <c r="C622" s="23" t="s">
        <v>1154</v>
      </c>
      <c r="D622" t="s">
        <v>65</v>
      </c>
      <c r="E622" t="s">
        <v>66</v>
      </c>
      <c r="F622" t="s">
        <v>78</v>
      </c>
      <c r="G622" t="s">
        <v>112</v>
      </c>
      <c r="H622" t="s">
        <v>158</v>
      </c>
      <c r="I622">
        <f>MROUND(Table1[[#This Row],[ProbH]]*100,2)/100</f>
        <v>0.24</v>
      </c>
      <c r="J622">
        <f>1/Table1[[#This Row],[odds_ft_home_team_win]]-Table1[[#This Row],[Margin]]</f>
        <v>0.23361061596355714</v>
      </c>
      <c r="K622">
        <f>1/Table1[[#This Row],[odds_ft_draw]]-Table1[[#This Row],[Margin]]</f>
        <v>0.27772826302238068</v>
      </c>
      <c r="L622">
        <f>1/Table1[[#This Row],[odds_ft_away_team_win]]-Table1[[#This Row],[Margin]]</f>
        <v>0.48866112101406223</v>
      </c>
      <c r="M622">
        <v>13</v>
      </c>
      <c r="N622">
        <v>1.38</v>
      </c>
      <c r="O622">
        <v>1.82</v>
      </c>
      <c r="P622">
        <v>1.41</v>
      </c>
      <c r="Q622">
        <v>1.77</v>
      </c>
      <c r="R622" s="9" t="str" cm="1">
        <f t="array" ref="R6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Z622">
        <v>89</v>
      </c>
      <c r="AA622">
        <v>3</v>
      </c>
      <c r="AB622">
        <v>7</v>
      </c>
      <c r="AC622">
        <v>3</v>
      </c>
      <c r="AD622">
        <v>0</v>
      </c>
      <c r="AE622">
        <v>3</v>
      </c>
      <c r="AF622">
        <v>0</v>
      </c>
      <c r="AG622">
        <v>0</v>
      </c>
      <c r="AH622">
        <v>3</v>
      </c>
      <c r="AI622">
        <v>1</v>
      </c>
      <c r="AJ622">
        <v>2</v>
      </c>
      <c r="AK622">
        <v>7</v>
      </c>
      <c r="AL622">
        <v>17</v>
      </c>
      <c r="AM622">
        <v>2</v>
      </c>
      <c r="AN622">
        <v>3</v>
      </c>
      <c r="AO622">
        <v>5</v>
      </c>
      <c r="AP622">
        <v>14</v>
      </c>
      <c r="AQ622">
        <v>8</v>
      </c>
      <c r="AR622">
        <v>16</v>
      </c>
      <c r="AS622">
        <v>40</v>
      </c>
      <c r="AT622">
        <v>60</v>
      </c>
      <c r="AU622">
        <v>0.87</v>
      </c>
      <c r="AV622">
        <v>1.68</v>
      </c>
      <c r="AW622">
        <v>1.94</v>
      </c>
      <c r="AX622">
        <v>34</v>
      </c>
      <c r="AY622">
        <v>53</v>
      </c>
      <c r="AZ622">
        <v>19</v>
      </c>
      <c r="BA622">
        <v>16</v>
      </c>
      <c r="BB622">
        <v>7</v>
      </c>
      <c r="BC622">
        <v>16</v>
      </c>
      <c r="BD622">
        <v>53</v>
      </c>
      <c r="BE622">
        <v>24</v>
      </c>
      <c r="BF622">
        <v>79</v>
      </c>
      <c r="BG622">
        <v>10.3</v>
      </c>
      <c r="BH622">
        <v>3.82</v>
      </c>
      <c r="BI622">
        <v>4</v>
      </c>
      <c r="BJ622">
        <v>3.4</v>
      </c>
      <c r="BK622">
        <v>1.98</v>
      </c>
      <c r="BL622">
        <f>(1/Table1[[#This Row],[odds_ft_home_team_win]]+1/Table1[[#This Row],[odds_ft_draw]]+1/Table1[[#This Row],[odds_ft_away_team_win]]-1)/3</f>
        <v>1.6389384036442856E-2</v>
      </c>
      <c r="BM622">
        <v>1.33</v>
      </c>
      <c r="BN622">
        <v>2.12</v>
      </c>
      <c r="BO622">
        <v>3.55</v>
      </c>
      <c r="BP622">
        <v>7.25</v>
      </c>
      <c r="BQ622">
        <v>1.95</v>
      </c>
      <c r="BR622">
        <v>1.77</v>
      </c>
      <c r="BS622" t="s">
        <v>82</v>
      </c>
      <c r="BT622">
        <f>VLOOKUP(Table1[[#This Row],[Reference]],metron,8,FALSE)</f>
        <v>1.0221684690062811</v>
      </c>
      <c r="BU622">
        <f>VLOOKUP(Table1[[#This Row],[Reference]],metron,9,FALSE)</f>
        <v>1.7036119427882386</v>
      </c>
      <c r="BV622">
        <f>VLOOKUP(Table1[[#This Row],[Reference]],metron,10,FALSE)</f>
        <v>2.6014437689969609</v>
      </c>
      <c r="BW622">
        <f>VLOOKUP(Table1[[#This Row],[Reference]],metron,11,FALSE)</f>
        <v>1.067249240121581</v>
      </c>
      <c r="BX622">
        <f>VLOOKUP(Table1[[#This Row],[Reference]],metron,12,FALSE)</f>
        <v>1.53419452887538</v>
      </c>
      <c r="BY622" s="6">
        <f>VLOOKUP(Table1[[#This Row],[Reference]],metron,13,FALSE)</f>
        <v>0.45589353612167299</v>
      </c>
      <c r="BZ622" s="6">
        <f>VLOOKUP(Table1[[#This Row],[Reference]],metron,14,FALSE)</f>
        <v>0.65133079847908748</v>
      </c>
      <c r="CA622" s="6">
        <f>VLOOKUP(Table1[[#This Row],[Reference]],metron,15,FALSE)</f>
        <v>10.75886524822695</v>
      </c>
      <c r="CB622" s="6">
        <f>VLOOKUP(Table1[[#This Row],[Reference]],metron,16,FALSE)</f>
        <v>12.46679561573179</v>
      </c>
      <c r="CC622" s="6">
        <f>VLOOKUP(Table1[[#This Row],[Reference]],metron,17,FALSE)</f>
        <v>4.1157347204161248</v>
      </c>
      <c r="CD622" s="6">
        <f>VLOOKUP(Table1[[#This Row],[Reference]],metron,18,FALSE)</f>
        <v>5.1072821846553964</v>
      </c>
      <c r="CE622" s="6">
        <f>VLOOKUP(Table1[[#This Row],[Reference]],metron,19,FALSE)</f>
        <v>6.6431305278108255</v>
      </c>
      <c r="CF622" s="6">
        <f>VLOOKUP(Table1[[#This Row],[Reference]],metron,20,FALSE)</f>
        <v>7.3595134310763939</v>
      </c>
      <c r="CG622" s="6">
        <f>VLOOKUP(Table1[[#This Row],[Reference]],metron,21,FALSE)</f>
        <v>13.11140235910878</v>
      </c>
      <c r="CH622" s="6">
        <f>VLOOKUP(Table1[[#This Row],[Reference]],metron,22,FALSE)</f>
        <v>12.93184796854522</v>
      </c>
      <c r="CI622" s="6">
        <f>VLOOKUP(Table1[[#This Row],[Reference]],metron,23,FALSE)</f>
        <v>1.8341677096370459</v>
      </c>
      <c r="CJ622" s="6">
        <f>VLOOKUP(Table1[[#This Row],[Reference]],metron,24,FALSE)</f>
        <v>1.7903629536921151</v>
      </c>
      <c r="CK622" s="6">
        <f>VLOOKUP(Table1[[#This Row],[Reference]],metron,25,FALSE)</f>
        <v>0.1095118898623279</v>
      </c>
      <c r="CL622" s="6">
        <f>VLOOKUP(Table1[[#This Row],[Reference]],metron,26,FALSE)</f>
        <v>9.3241551939924908E-2</v>
      </c>
    </row>
    <row r="623" spans="1:90" x14ac:dyDescent="0.45">
      <c r="A623" t="s">
        <v>1256</v>
      </c>
      <c r="B623">
        <v>1617490800</v>
      </c>
      <c r="C623" s="23" t="s">
        <v>1155</v>
      </c>
      <c r="D623" t="s">
        <v>65</v>
      </c>
      <c r="E623" t="s">
        <v>66</v>
      </c>
      <c r="F623" t="s">
        <v>97</v>
      </c>
      <c r="G623" t="s">
        <v>106</v>
      </c>
      <c r="H623" t="s">
        <v>74</v>
      </c>
      <c r="I623">
        <f>MROUND(Table1[[#This Row],[ProbH]]*100,2)/100</f>
        <v>0.44</v>
      </c>
      <c r="J623">
        <f>1/Table1[[#This Row],[odds_ft_home_team_win]]-Table1[[#This Row],[Margin]]</f>
        <v>0.43657976010917188</v>
      </c>
      <c r="K623">
        <f>1/Table1[[#This Row],[odds_ft_draw]]-Table1[[#This Row],[Margin]]</f>
        <v>0.28171011994541406</v>
      </c>
      <c r="L623">
        <f>1/Table1[[#This Row],[odds_ft_away_team_win]]-Table1[[#This Row],[Margin]]</f>
        <v>0.28171011994541406</v>
      </c>
      <c r="M623">
        <v>13</v>
      </c>
      <c r="N623">
        <v>1</v>
      </c>
      <c r="O623">
        <v>0.5</v>
      </c>
      <c r="P623">
        <v>1.21</v>
      </c>
      <c r="Q623">
        <v>0.47</v>
      </c>
      <c r="R623" t="str" cm="1">
        <f t="array" ref="R6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11</v>
      </c>
      <c r="AA623">
        <v>6</v>
      </c>
      <c r="AB623">
        <v>6</v>
      </c>
      <c r="AC623">
        <v>2</v>
      </c>
      <c r="AD623">
        <v>0</v>
      </c>
      <c r="AE623">
        <v>3</v>
      </c>
      <c r="AF623">
        <v>0</v>
      </c>
      <c r="AG623">
        <v>1</v>
      </c>
      <c r="AH623">
        <v>1</v>
      </c>
      <c r="AI623">
        <v>1</v>
      </c>
      <c r="AJ623">
        <v>2</v>
      </c>
      <c r="AK623">
        <v>21</v>
      </c>
      <c r="AL623">
        <v>10</v>
      </c>
      <c r="AM623">
        <v>8</v>
      </c>
      <c r="AN623">
        <v>3</v>
      </c>
      <c r="AO623">
        <v>13</v>
      </c>
      <c r="AP623">
        <v>7</v>
      </c>
      <c r="AQ623">
        <v>11</v>
      </c>
      <c r="AR623">
        <v>12</v>
      </c>
      <c r="AS623">
        <v>36</v>
      </c>
      <c r="AT623">
        <v>64</v>
      </c>
      <c r="AU623">
        <v>2.14</v>
      </c>
      <c r="AV623">
        <v>1.1599999999999999</v>
      </c>
      <c r="AW623">
        <v>2.25</v>
      </c>
      <c r="AX623">
        <v>40</v>
      </c>
      <c r="AY623">
        <v>72</v>
      </c>
      <c r="AZ623">
        <v>36</v>
      </c>
      <c r="BA623">
        <v>18</v>
      </c>
      <c r="BB623">
        <v>4</v>
      </c>
      <c r="BC623">
        <v>29</v>
      </c>
      <c r="BD623">
        <v>82</v>
      </c>
      <c r="BE623">
        <v>29</v>
      </c>
      <c r="BF623">
        <v>68</v>
      </c>
      <c r="BG623">
        <v>8.43</v>
      </c>
      <c r="BH623">
        <v>5.57</v>
      </c>
      <c r="BI623">
        <v>2.21</v>
      </c>
      <c r="BJ623">
        <v>3.36</v>
      </c>
      <c r="BK623">
        <v>3.36</v>
      </c>
      <c r="BL623">
        <f>(1/Table1[[#This Row],[odds_ft_home_team_win]]+1/Table1[[#This Row],[odds_ft_draw]]+1/Table1[[#This Row],[odds_ft_away_team_win]]-1)/3</f>
        <v>1.5908927673633572E-2</v>
      </c>
      <c r="BM623">
        <v>1.38</v>
      </c>
      <c r="BN623">
        <v>2.2200000000000002</v>
      </c>
      <c r="BO623">
        <v>3.8</v>
      </c>
      <c r="BP623">
        <v>7.75</v>
      </c>
      <c r="BQ623">
        <v>2</v>
      </c>
      <c r="BR623">
        <v>1.71</v>
      </c>
      <c r="BS623" t="s">
        <v>136</v>
      </c>
      <c r="BT623">
        <f>VLOOKUP(Table1[[#This Row],[Reference]],metron,8,FALSE)</f>
        <v>1.6395459745305552</v>
      </c>
      <c r="BU623">
        <f>VLOOKUP(Table1[[#This Row],[Reference]],metron,9,FALSE)</f>
        <v>1.0758429359324786</v>
      </c>
      <c r="BV623">
        <f>VLOOKUP(Table1[[#This Row],[Reference]],metron,10,FALSE)</f>
        <v>2.4807646356033461</v>
      </c>
      <c r="BW623">
        <f>VLOOKUP(Table1[[#This Row],[Reference]],metron,11,FALSE)</f>
        <v>1.4140979689366791</v>
      </c>
      <c r="BX623">
        <f>VLOOKUP(Table1[[#This Row],[Reference]],metron,12,FALSE)</f>
        <v>1.0666666666666671</v>
      </c>
      <c r="BY623" s="6">
        <f>VLOOKUP(Table1[[#This Row],[Reference]],metron,13,FALSE)</f>
        <v>0.62712066905615294</v>
      </c>
      <c r="BZ623" s="6">
        <f>VLOOKUP(Table1[[#This Row],[Reference]],metron,14,FALSE)</f>
        <v>0.46009557945041818</v>
      </c>
      <c r="CA623" s="6">
        <f>VLOOKUP(Table1[[#This Row],[Reference]],metron,15,FALSE)</f>
        <v>12.56969280146722</v>
      </c>
      <c r="CB623" s="6">
        <f>VLOOKUP(Table1[[#This Row],[Reference]],metron,16,FALSE)</f>
        <v>9.8695552498853729</v>
      </c>
      <c r="CC623" s="6">
        <f>VLOOKUP(Table1[[#This Row],[Reference]],metron,17,FALSE)</f>
        <v>5.2754256787850897</v>
      </c>
      <c r="CD623" s="6">
        <f>VLOOKUP(Table1[[#This Row],[Reference]],metron,18,FALSE)</f>
        <v>4.1279337321675103</v>
      </c>
      <c r="CE623" s="6">
        <f>VLOOKUP(Table1[[#This Row],[Reference]],metron,19,FALSE)</f>
        <v>7.2942671226821298</v>
      </c>
      <c r="CF623" s="6">
        <f>VLOOKUP(Table1[[#This Row],[Reference]],metron,20,FALSE)</f>
        <v>5.7416215177178627</v>
      </c>
      <c r="CG623" s="6">
        <f>VLOOKUP(Table1[[#This Row],[Reference]],metron,21,FALSE)</f>
        <v>12.897246007868549</v>
      </c>
      <c r="CH623" s="6">
        <f>VLOOKUP(Table1[[#This Row],[Reference]],metron,22,FALSE)</f>
        <v>13.507058551261281</v>
      </c>
      <c r="CI623" s="6">
        <f>VLOOKUP(Table1[[#This Row],[Reference]],metron,23,FALSE)</f>
        <v>1.576522702104098</v>
      </c>
      <c r="CJ623" s="6">
        <f>VLOOKUP(Table1[[#This Row],[Reference]],metron,24,FALSE)</f>
        <v>1.917165005537099</v>
      </c>
      <c r="CK623" s="6">
        <f>VLOOKUP(Table1[[#This Row],[Reference]],metron,25,FALSE)</f>
        <v>8.4385382059800659E-2</v>
      </c>
      <c r="CL623" s="6">
        <f>VLOOKUP(Table1[[#This Row],[Reference]],metron,26,FALSE)</f>
        <v>0.1233665559246955</v>
      </c>
    </row>
    <row r="624" spans="1:90" hidden="1" x14ac:dyDescent="0.45">
      <c r="A624" t="s">
        <v>1256</v>
      </c>
      <c r="B624">
        <v>1617498000</v>
      </c>
      <c r="C624" s="23" t="s">
        <v>1156</v>
      </c>
      <c r="D624" t="s">
        <v>65</v>
      </c>
      <c r="E624" t="s">
        <v>66</v>
      </c>
      <c r="F624" t="s">
        <v>68</v>
      </c>
      <c r="G624" t="s">
        <v>72</v>
      </c>
      <c r="H624" t="s">
        <v>215</v>
      </c>
      <c r="I624">
        <f>MROUND(Table1[[#This Row],[ProbH]]*100,2)/100</f>
        <v>0.62</v>
      </c>
      <c r="J624">
        <f>1/Table1[[#This Row],[odds_ft_home_team_win]]-Table1[[#This Row],[Margin]]</f>
        <v>0.62591074681238612</v>
      </c>
      <c r="K624">
        <f>1/Table1[[#This Row],[odds_ft_draw]]-Table1[[#This Row],[Margin]]</f>
        <v>0.22526972117136052</v>
      </c>
      <c r="L624">
        <f>1/Table1[[#This Row],[odds_ft_away_team_win]]-Table1[[#This Row],[Margin]]</f>
        <v>0.14881953201625336</v>
      </c>
      <c r="M624">
        <v>13</v>
      </c>
      <c r="N624">
        <v>2.38</v>
      </c>
      <c r="O624">
        <v>0.81</v>
      </c>
      <c r="P624">
        <v>2.37</v>
      </c>
      <c r="Q624">
        <v>0.72</v>
      </c>
      <c r="R624" t="str" cm="1">
        <f t="array" ref="R6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4">
        <v>2</v>
      </c>
      <c r="T624">
        <v>1</v>
      </c>
      <c r="U624">
        <v>3</v>
      </c>
      <c r="V624">
        <v>2</v>
      </c>
      <c r="W624">
        <v>1</v>
      </c>
      <c r="X624">
        <v>1</v>
      </c>
      <c r="Y624" t="s">
        <v>1157</v>
      </c>
      <c r="Z624">
        <v>40</v>
      </c>
      <c r="AA624">
        <v>3</v>
      </c>
      <c r="AB624">
        <v>4</v>
      </c>
      <c r="AC624">
        <v>1</v>
      </c>
      <c r="AD624">
        <v>0</v>
      </c>
      <c r="AE624">
        <v>3</v>
      </c>
      <c r="AF624">
        <v>0</v>
      </c>
      <c r="AG624">
        <v>1</v>
      </c>
      <c r="AH624">
        <v>0</v>
      </c>
      <c r="AI624">
        <v>2</v>
      </c>
      <c r="AJ624">
        <v>1</v>
      </c>
      <c r="AK624">
        <v>10</v>
      </c>
      <c r="AL624">
        <v>12</v>
      </c>
      <c r="AM624">
        <v>6</v>
      </c>
      <c r="AN624">
        <v>3</v>
      </c>
      <c r="AO624">
        <v>4</v>
      </c>
      <c r="AP624">
        <v>9</v>
      </c>
      <c r="AQ624">
        <v>10</v>
      </c>
      <c r="AR624">
        <v>13</v>
      </c>
      <c r="AS624">
        <v>65</v>
      </c>
      <c r="AT624">
        <v>35</v>
      </c>
      <c r="AU624">
        <v>1.31</v>
      </c>
      <c r="AV624">
        <v>1.21</v>
      </c>
      <c r="AW624">
        <v>2.56</v>
      </c>
      <c r="AX624">
        <v>57</v>
      </c>
      <c r="AY624">
        <v>72</v>
      </c>
      <c r="AZ624">
        <v>51</v>
      </c>
      <c r="BA624">
        <v>32</v>
      </c>
      <c r="BB624">
        <v>3</v>
      </c>
      <c r="BC624">
        <v>35</v>
      </c>
      <c r="BD624">
        <v>72</v>
      </c>
      <c r="BE624">
        <v>44</v>
      </c>
      <c r="BF624">
        <v>85</v>
      </c>
      <c r="BG624">
        <v>8</v>
      </c>
      <c r="BH624">
        <v>4.5599999999999996</v>
      </c>
      <c r="BI624">
        <v>1.56</v>
      </c>
      <c r="BJ624">
        <v>4.16</v>
      </c>
      <c r="BK624">
        <v>6.1</v>
      </c>
      <c r="BL624">
        <f>(1/Table1[[#This Row],[odds_ft_home_team_win]]+1/Table1[[#This Row],[odds_ft_draw]]+1/Table1[[#This Row],[odds_ft_away_team_win]]-1)/3</f>
        <v>1.5114894213254848E-2</v>
      </c>
      <c r="BM624">
        <v>1.34</v>
      </c>
      <c r="BN624">
        <v>1.91</v>
      </c>
      <c r="BO624">
        <v>3.3</v>
      </c>
      <c r="BP624">
        <v>6</v>
      </c>
      <c r="BQ624">
        <v>2</v>
      </c>
      <c r="BR624">
        <v>1.74</v>
      </c>
      <c r="BS624" t="s">
        <v>116</v>
      </c>
      <c r="BT624">
        <f>VLOOKUP(Table1[[#This Row],[Reference]],metron,8,FALSE)</f>
        <v>2.1234388909289978</v>
      </c>
      <c r="BU624">
        <f>VLOOKUP(Table1[[#This Row],[Reference]],metron,9,FALSE)</f>
        <v>0.63925141338926716</v>
      </c>
      <c r="BV624">
        <f>VLOOKUP(Table1[[#This Row],[Reference]],metron,10,FALSE)</f>
        <v>2.7366666666666664</v>
      </c>
      <c r="BW624">
        <f>VLOOKUP(Table1[[#This Row],[Reference]],metron,11,FALSE)</f>
        <v>1.8681481481481479</v>
      </c>
      <c r="BX624">
        <f>VLOOKUP(Table1[[#This Row],[Reference]],metron,12,FALSE)</f>
        <v>0.86851851851851847</v>
      </c>
      <c r="BY624" s="6">
        <f>VLOOKUP(Table1[[#This Row],[Reference]],metron,13,FALSE)</f>
        <v>0.81333333333333335</v>
      </c>
      <c r="BZ624" s="6">
        <f>VLOOKUP(Table1[[#This Row],[Reference]],metron,14,FALSE)</f>
        <v>0.38925925925925919</v>
      </c>
      <c r="CA624" s="6">
        <f>VLOOKUP(Table1[[#This Row],[Reference]],metron,15,FALSE)</f>
        <v>14.53422724064926</v>
      </c>
      <c r="CB624" s="6">
        <f>VLOOKUP(Table1[[#This Row],[Reference]],metron,16,FALSE)</f>
        <v>8.7882851093860275</v>
      </c>
      <c r="CC624" s="6">
        <f>VLOOKUP(Table1[[#This Row],[Reference]],metron,17,FALSE)</f>
        <v>6.3007953723788868</v>
      </c>
      <c r="CD624" s="6">
        <f>VLOOKUP(Table1[[#This Row],[Reference]],metron,18,FALSE)</f>
        <v>3.681851048445409</v>
      </c>
      <c r="CE624" s="6">
        <f>VLOOKUP(Table1[[#This Row],[Reference]],metron,19,FALSE)</f>
        <v>8.2334318682703724</v>
      </c>
      <c r="CF624" s="6">
        <f>VLOOKUP(Table1[[#This Row],[Reference]],metron,20,FALSE)</f>
        <v>5.106434060940618</v>
      </c>
      <c r="CG624" s="6">
        <f>VLOOKUP(Table1[[#This Row],[Reference]],metron,21,FALSE)</f>
        <v>12.32150615496017</v>
      </c>
      <c r="CH624" s="6">
        <f>VLOOKUP(Table1[[#This Row],[Reference]],metron,22,FALSE)</f>
        <v>13.337436640115859</v>
      </c>
      <c r="CI624" s="6">
        <f>VLOOKUP(Table1[[#This Row],[Reference]],metron,23,FALSE)</f>
        <v>1.346101231190151</v>
      </c>
      <c r="CJ624" s="6">
        <f>VLOOKUP(Table1[[#This Row],[Reference]],metron,24,FALSE)</f>
        <v>1.995212038303694</v>
      </c>
      <c r="CK624" s="6">
        <f>VLOOKUP(Table1[[#This Row],[Reference]],metron,25,FALSE)</f>
        <v>6.1559507523939808E-2</v>
      </c>
      <c r="CL624" s="6">
        <f>VLOOKUP(Table1[[#This Row],[Reference]],metron,26,FALSE)</f>
        <v>0.13201094391244869</v>
      </c>
    </row>
    <row r="625" spans="1:90" x14ac:dyDescent="0.45">
      <c r="A625" t="s">
        <v>1256</v>
      </c>
      <c r="B625">
        <v>1617505560</v>
      </c>
      <c r="C625" s="23" t="s">
        <v>1158</v>
      </c>
      <c r="D625" t="s">
        <v>65</v>
      </c>
      <c r="E625" t="s">
        <v>66</v>
      </c>
      <c r="F625" t="s">
        <v>101</v>
      </c>
      <c r="G625" t="s">
        <v>91</v>
      </c>
      <c r="H625" t="s">
        <v>98</v>
      </c>
      <c r="I625">
        <f>MROUND(Table1[[#This Row],[ProbH]]*100,2)/100</f>
        <v>0.66</v>
      </c>
      <c r="J625">
        <f>1/Table1[[#This Row],[odds_ft_home_team_win]]-Table1[[#This Row],[Margin]]</f>
        <v>0.65441083674921585</v>
      </c>
      <c r="K625">
        <f>1/Table1[[#This Row],[odds_ft_draw]]-Table1[[#This Row],[Margin]]</f>
        <v>0.20046465109571315</v>
      </c>
      <c r="L625">
        <f>1/Table1[[#This Row],[odds_ft_away_team_win]]-Table1[[#This Row],[Margin]]</f>
        <v>0.14512451215507099</v>
      </c>
      <c r="M625">
        <v>13</v>
      </c>
      <c r="N625">
        <v>1.93</v>
      </c>
      <c r="O625">
        <v>0.43</v>
      </c>
      <c r="P625">
        <v>1.79</v>
      </c>
      <c r="Q625">
        <v>0.35</v>
      </c>
      <c r="R625" t="str" cm="1">
        <f t="array" ref="R6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5">
        <v>2</v>
      </c>
      <c r="T625">
        <v>0</v>
      </c>
      <c r="U625">
        <v>2</v>
      </c>
      <c r="V625">
        <v>0</v>
      </c>
      <c r="W625">
        <v>0</v>
      </c>
      <c r="X625">
        <v>0</v>
      </c>
      <c r="Y625" t="s">
        <v>1159</v>
      </c>
      <c r="AA625">
        <v>3</v>
      </c>
      <c r="AB625">
        <v>3</v>
      </c>
      <c r="AC625">
        <v>1</v>
      </c>
      <c r="AD625">
        <v>0</v>
      </c>
      <c r="AE625">
        <v>4</v>
      </c>
      <c r="AF625">
        <v>0</v>
      </c>
      <c r="AG625">
        <v>0</v>
      </c>
      <c r="AH625">
        <v>1</v>
      </c>
      <c r="AI625">
        <v>2</v>
      </c>
      <c r="AJ625">
        <v>2</v>
      </c>
      <c r="AK625">
        <v>12</v>
      </c>
      <c r="AL625">
        <v>9</v>
      </c>
      <c r="AM625">
        <v>5</v>
      </c>
      <c r="AN625">
        <v>4</v>
      </c>
      <c r="AO625">
        <v>7</v>
      </c>
      <c r="AP625">
        <v>5</v>
      </c>
      <c r="AQ625">
        <v>9</v>
      </c>
      <c r="AR625">
        <v>14</v>
      </c>
      <c r="AS625">
        <v>56</v>
      </c>
      <c r="AT625">
        <v>44</v>
      </c>
      <c r="AU625">
        <v>1.43</v>
      </c>
      <c r="AV625">
        <v>1.23</v>
      </c>
      <c r="AW625">
        <v>2.75</v>
      </c>
      <c r="AX625">
        <v>64</v>
      </c>
      <c r="AY625">
        <v>83</v>
      </c>
      <c r="AZ625">
        <v>61</v>
      </c>
      <c r="BA625">
        <v>29</v>
      </c>
      <c r="BB625">
        <v>4</v>
      </c>
      <c r="BC625">
        <v>36</v>
      </c>
      <c r="BD625">
        <v>75</v>
      </c>
      <c r="BE625">
        <v>54</v>
      </c>
      <c r="BF625">
        <v>86</v>
      </c>
      <c r="BG625">
        <v>9.35</v>
      </c>
      <c r="BH625">
        <v>4.3600000000000003</v>
      </c>
      <c r="BI625">
        <v>1.48</v>
      </c>
      <c r="BJ625">
        <v>4.51</v>
      </c>
      <c r="BK625">
        <v>6.01</v>
      </c>
      <c r="BL625">
        <f>(1/Table1[[#This Row],[odds_ft_home_team_win]]+1/Table1[[#This Row],[odds_ft_draw]]+1/Table1[[#This Row],[odds_ft_away_team_win]]-1)/3</f>
        <v>2.1264838926459806E-2</v>
      </c>
      <c r="BM625">
        <v>1.29</v>
      </c>
      <c r="BN625">
        <v>1.78</v>
      </c>
      <c r="BO625">
        <v>3.2</v>
      </c>
      <c r="BP625">
        <v>6</v>
      </c>
      <c r="BQ625">
        <v>2</v>
      </c>
      <c r="BR625">
        <v>1.74</v>
      </c>
      <c r="BS625" t="s">
        <v>713</v>
      </c>
      <c r="BT625">
        <f>VLOOKUP(Table1[[#This Row],[Reference]],metron,8,FALSE)</f>
        <v>2.2311424831798083</v>
      </c>
      <c r="BU625">
        <f>VLOOKUP(Table1[[#This Row],[Reference]],metron,9,FALSE)</f>
        <v>0.55281092137037047</v>
      </c>
      <c r="BV625">
        <f>VLOOKUP(Table1[[#This Row],[Reference]],metron,10,FALSE)</f>
        <v>2.9251336898395728</v>
      </c>
      <c r="BW625">
        <f>VLOOKUP(Table1[[#This Row],[Reference]],metron,11,FALSE)</f>
        <v>2.089675030851502</v>
      </c>
      <c r="BX625">
        <f>VLOOKUP(Table1[[#This Row],[Reference]],metron,12,FALSE)</f>
        <v>0.8354586589880707</v>
      </c>
      <c r="BY625" s="6">
        <f>VLOOKUP(Table1[[#This Row],[Reference]],metron,13,FALSE)</f>
        <v>0.92472233648704238</v>
      </c>
      <c r="BZ625" s="6">
        <f>VLOOKUP(Table1[[#This Row],[Reference]],metron,14,FALSE)</f>
        <v>0.35252982311805842</v>
      </c>
      <c r="CA625" s="6">
        <f>VLOOKUP(Table1[[#This Row],[Reference]],metron,15,FALSE)</f>
        <v>15.366666666666671</v>
      </c>
      <c r="CB625" s="6">
        <f>VLOOKUP(Table1[[#This Row],[Reference]],metron,16,FALSE)</f>
        <v>8.5234848484848484</v>
      </c>
      <c r="CC625" s="6">
        <f>VLOOKUP(Table1[[#This Row],[Reference]],metron,17,FALSE)</f>
        <v>6.6873065015479876</v>
      </c>
      <c r="CD625" s="6">
        <f>VLOOKUP(Table1[[#This Row],[Reference]],metron,18,FALSE)</f>
        <v>3.3490712074303399</v>
      </c>
      <c r="CE625" s="6">
        <f>VLOOKUP(Table1[[#This Row],[Reference]],metron,19,FALSE)</f>
        <v>8.679360165118684</v>
      </c>
      <c r="CF625" s="6">
        <f>VLOOKUP(Table1[[#This Row],[Reference]],metron,20,FALSE)</f>
        <v>5.1744136410545085</v>
      </c>
      <c r="CG625" s="6">
        <f>VLOOKUP(Table1[[#This Row],[Reference]],metron,21,FALSE)</f>
        <v>12.62384615384615</v>
      </c>
      <c r="CH625" s="6">
        <f>VLOOKUP(Table1[[#This Row],[Reference]],metron,22,FALSE)</f>
        <v>13.844615384615381</v>
      </c>
      <c r="CI625" s="6">
        <f>VLOOKUP(Table1[[#This Row],[Reference]],metron,23,FALSE)</f>
        <v>1.369710467706013</v>
      </c>
      <c r="CJ625" s="6">
        <f>VLOOKUP(Table1[[#This Row],[Reference]],metron,24,FALSE)</f>
        <v>2.0920564216778019</v>
      </c>
      <c r="CK625" s="6">
        <f>VLOOKUP(Table1[[#This Row],[Reference]],metron,25,FALSE)</f>
        <v>7.126948775055679E-2</v>
      </c>
      <c r="CL625" s="6">
        <f>VLOOKUP(Table1[[#This Row],[Reference]],metron,26,FALSE)</f>
        <v>0.13214550853749071</v>
      </c>
    </row>
    <row r="626" spans="1:90" x14ac:dyDescent="0.45">
      <c r="A626" t="s">
        <v>1256</v>
      </c>
      <c r="B626">
        <v>1617555600</v>
      </c>
      <c r="C626" s="23" t="s">
        <v>1160</v>
      </c>
      <c r="D626" t="s">
        <v>65</v>
      </c>
      <c r="E626" t="s">
        <v>66</v>
      </c>
      <c r="F626" t="s">
        <v>96</v>
      </c>
      <c r="G626" t="s">
        <v>84</v>
      </c>
      <c r="H626" t="s">
        <v>80</v>
      </c>
      <c r="I626">
        <f>MROUND(Table1[[#This Row],[ProbH]]*100,2)/100</f>
        <v>0.3</v>
      </c>
      <c r="J626">
        <f>1/Table1[[#This Row],[odds_ft_home_team_win]]-Table1[[#This Row],[Margin]]</f>
        <v>0.29246487867177523</v>
      </c>
      <c r="K626">
        <f>1/Table1[[#This Row],[odds_ft_draw]]-Table1[[#This Row],[Margin]]</f>
        <v>0.30395913154533849</v>
      </c>
      <c r="L626">
        <f>1/Table1[[#This Row],[odds_ft_away_team_win]]-Table1[[#This Row],[Margin]]</f>
        <v>0.40357598978288634</v>
      </c>
      <c r="M626">
        <v>13</v>
      </c>
      <c r="N626">
        <v>1.82</v>
      </c>
      <c r="O626">
        <v>1.38</v>
      </c>
      <c r="P626">
        <v>1.65</v>
      </c>
      <c r="Q626">
        <v>1.38</v>
      </c>
      <c r="R626" t="str" cm="1">
        <f t="array" ref="R6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26">
        <v>2</v>
      </c>
      <c r="T626">
        <v>2</v>
      </c>
      <c r="U626">
        <v>4</v>
      </c>
      <c r="V626">
        <v>1</v>
      </c>
      <c r="W626">
        <v>0</v>
      </c>
      <c r="X626">
        <v>1</v>
      </c>
      <c r="Y626" t="s">
        <v>454</v>
      </c>
      <c r="Z626" t="s">
        <v>1161</v>
      </c>
      <c r="AA626">
        <v>6</v>
      </c>
      <c r="AB626">
        <v>2</v>
      </c>
      <c r="AC626">
        <v>1</v>
      </c>
      <c r="AD626">
        <v>0</v>
      </c>
      <c r="AE626">
        <v>4</v>
      </c>
      <c r="AF626">
        <v>0</v>
      </c>
      <c r="AG626">
        <v>0</v>
      </c>
      <c r="AH626">
        <v>1</v>
      </c>
      <c r="AI626">
        <v>3</v>
      </c>
      <c r="AJ626">
        <v>1</v>
      </c>
      <c r="AK626">
        <v>14</v>
      </c>
      <c r="AL626">
        <v>7</v>
      </c>
      <c r="AM626">
        <v>4</v>
      </c>
      <c r="AN626">
        <v>4</v>
      </c>
      <c r="AO626">
        <v>10</v>
      </c>
      <c r="AP626">
        <v>3</v>
      </c>
      <c r="AQ626">
        <v>9</v>
      </c>
      <c r="AR626">
        <v>8</v>
      </c>
      <c r="AS626">
        <v>60</v>
      </c>
      <c r="AT626">
        <v>40</v>
      </c>
      <c r="AU626">
        <v>1.44</v>
      </c>
      <c r="AV626">
        <v>0.91</v>
      </c>
      <c r="AW626">
        <v>1.99</v>
      </c>
      <c r="AX626">
        <v>36</v>
      </c>
      <c r="AY626">
        <v>61</v>
      </c>
      <c r="AZ626">
        <v>30</v>
      </c>
      <c r="BA626">
        <v>19</v>
      </c>
      <c r="BB626">
        <v>6</v>
      </c>
      <c r="BC626">
        <v>22</v>
      </c>
      <c r="BD626">
        <v>52</v>
      </c>
      <c r="BE626">
        <v>36</v>
      </c>
      <c r="BF626">
        <v>76</v>
      </c>
      <c r="BG626">
        <v>12.18</v>
      </c>
      <c r="BH626">
        <v>4.34</v>
      </c>
      <c r="BI626">
        <v>3</v>
      </c>
      <c r="BJ626">
        <v>2.9</v>
      </c>
      <c r="BK626">
        <v>2.25</v>
      </c>
      <c r="BL626">
        <f>(1/Table1[[#This Row],[odds_ft_home_team_win]]+1/Table1[[#This Row],[odds_ft_draw]]+1/Table1[[#This Row],[odds_ft_away_team_win]]-1)/3</f>
        <v>4.0868454661558085E-2</v>
      </c>
      <c r="BM626">
        <v>1.49</v>
      </c>
      <c r="BN626">
        <v>2.2999999999999998</v>
      </c>
      <c r="BO626">
        <v>4.05</v>
      </c>
      <c r="BP626">
        <v>8.5</v>
      </c>
      <c r="BQ626">
        <v>1.91</v>
      </c>
      <c r="BR626">
        <v>1.71</v>
      </c>
      <c r="BS626" t="s">
        <v>99</v>
      </c>
      <c r="BT626">
        <f>VLOOKUP(Table1[[#This Row],[Reference]],metron,8,FALSE)</f>
        <v>1.2142445227270171</v>
      </c>
      <c r="BU626">
        <f>VLOOKUP(Table1[[#This Row],[Reference]],metron,9,FALSE)</f>
        <v>1.4993969533036628</v>
      </c>
      <c r="BV626">
        <f>VLOOKUP(Table1[[#This Row],[Reference]],metron,10,FALSE)</f>
        <v>2.5726407816919519</v>
      </c>
      <c r="BW626">
        <f>VLOOKUP(Table1[[#This Row],[Reference]],metron,11,FALSE)</f>
        <v>1.1805091283106199</v>
      </c>
      <c r="BX626">
        <f>VLOOKUP(Table1[[#This Row],[Reference]],metron,12,FALSE)</f>
        <v>1.3921316533813319</v>
      </c>
      <c r="BY626" s="6">
        <f>VLOOKUP(Table1[[#This Row],[Reference]],metron,13,FALSE)</f>
        <v>0.5209673269873939</v>
      </c>
      <c r="BZ626" s="6">
        <f>VLOOKUP(Table1[[#This Row],[Reference]],metron,14,FALSE)</f>
        <v>0.61847182917417032</v>
      </c>
      <c r="CA626" s="6">
        <f>VLOOKUP(Table1[[#This Row],[Reference]],metron,15,FALSE)</f>
        <v>11.149200710479571</v>
      </c>
      <c r="CB626" s="6">
        <f>VLOOKUP(Table1[[#This Row],[Reference]],metron,16,FALSE)</f>
        <v>11.444049733570161</v>
      </c>
      <c r="CC626" s="6">
        <f>VLOOKUP(Table1[[#This Row],[Reference]],metron,17,FALSE)</f>
        <v>4.5257270693512304</v>
      </c>
      <c r="CD626" s="6">
        <f>VLOOKUP(Table1[[#This Row],[Reference]],metron,18,FALSE)</f>
        <v>4.8465324384787474</v>
      </c>
      <c r="CE626" s="6">
        <f>VLOOKUP(Table1[[#This Row],[Reference]],metron,19,FALSE)</f>
        <v>6.6234736411283404</v>
      </c>
      <c r="CF626" s="6">
        <f>VLOOKUP(Table1[[#This Row],[Reference]],metron,20,FALSE)</f>
        <v>6.5975172950914134</v>
      </c>
      <c r="CG626" s="6">
        <f>VLOOKUP(Table1[[#This Row],[Reference]],metron,21,FALSE)</f>
        <v>12.90081154192967</v>
      </c>
      <c r="CH626" s="6">
        <f>VLOOKUP(Table1[[#This Row],[Reference]],metron,22,FALSE)</f>
        <v>13.00360685302074</v>
      </c>
      <c r="CI626" s="6">
        <f>VLOOKUP(Table1[[#This Row],[Reference]],metron,23,FALSE)</f>
        <v>1.7502145922746779</v>
      </c>
      <c r="CJ626" s="6">
        <f>VLOOKUP(Table1[[#This Row],[Reference]],metron,24,FALSE)</f>
        <v>1.831402831402831</v>
      </c>
      <c r="CK626" s="6">
        <f>VLOOKUP(Table1[[#This Row],[Reference]],metron,25,FALSE)</f>
        <v>9.6525096525096526E-2</v>
      </c>
      <c r="CL626" s="6">
        <f>VLOOKUP(Table1[[#This Row],[Reference]],metron,26,FALSE)</f>
        <v>0.1244101244101244</v>
      </c>
    </row>
    <row r="627" spans="1:90" x14ac:dyDescent="0.45">
      <c r="A627" t="s">
        <v>1256</v>
      </c>
      <c r="B627">
        <v>1617573600</v>
      </c>
      <c r="C627" s="23" t="s">
        <v>1162</v>
      </c>
      <c r="D627" t="s">
        <v>65</v>
      </c>
      <c r="E627" t="s">
        <v>66</v>
      </c>
      <c r="F627" t="s">
        <v>90</v>
      </c>
      <c r="G627" t="s">
        <v>73</v>
      </c>
      <c r="H627" t="s">
        <v>122</v>
      </c>
      <c r="I627">
        <f>MROUND(Table1[[#This Row],[ProbH]]*100,2)/100</f>
        <v>0.38</v>
      </c>
      <c r="J627">
        <f>1/Table1[[#This Row],[odds_ft_home_team_win]]-Table1[[#This Row],[Margin]]</f>
        <v>0.38686254643701457</v>
      </c>
      <c r="K627">
        <f>1/Table1[[#This Row],[odds_ft_draw]]-Table1[[#This Row],[Margin]]</f>
        <v>0.29466396487673086</v>
      </c>
      <c r="L627">
        <f>1/Table1[[#This Row],[odds_ft_away_team_win]]-Table1[[#This Row],[Margin]]</f>
        <v>0.31847348868625469</v>
      </c>
      <c r="M627">
        <v>13</v>
      </c>
      <c r="N627">
        <v>1.59</v>
      </c>
      <c r="O627">
        <v>0.93</v>
      </c>
      <c r="P627">
        <v>1.6</v>
      </c>
      <c r="Q627">
        <v>0.8</v>
      </c>
      <c r="R627" t="str" cm="1">
        <f t="array" ref="R6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27">
        <v>1</v>
      </c>
      <c r="T627">
        <v>1</v>
      </c>
      <c r="U627">
        <v>2</v>
      </c>
      <c r="V627">
        <v>1</v>
      </c>
      <c r="W627">
        <v>0</v>
      </c>
      <c r="X627">
        <v>1</v>
      </c>
      <c r="Y627">
        <v>75</v>
      </c>
      <c r="Z627">
        <v>31</v>
      </c>
      <c r="AA627">
        <v>10</v>
      </c>
      <c r="AB627">
        <v>4</v>
      </c>
      <c r="AC627">
        <v>2</v>
      </c>
      <c r="AD627">
        <v>0</v>
      </c>
      <c r="AE627">
        <v>2</v>
      </c>
      <c r="AF627">
        <v>0</v>
      </c>
      <c r="AG627">
        <v>1</v>
      </c>
      <c r="AH627">
        <v>1</v>
      </c>
      <c r="AI627">
        <v>0</v>
      </c>
      <c r="AJ627">
        <v>2</v>
      </c>
      <c r="AK627">
        <v>25</v>
      </c>
      <c r="AL627">
        <v>17</v>
      </c>
      <c r="AM627">
        <v>9</v>
      </c>
      <c r="AN627">
        <v>5</v>
      </c>
      <c r="AO627">
        <v>16</v>
      </c>
      <c r="AP627">
        <v>12</v>
      </c>
      <c r="AQ627">
        <v>14</v>
      </c>
      <c r="AR627">
        <v>13</v>
      </c>
      <c r="AS627">
        <v>60</v>
      </c>
      <c r="AT627">
        <v>40</v>
      </c>
      <c r="AU627">
        <v>2.6</v>
      </c>
      <c r="AV627">
        <v>1.84</v>
      </c>
      <c r="AW627">
        <v>2.2200000000000002</v>
      </c>
      <c r="AX627">
        <v>55</v>
      </c>
      <c r="AY627">
        <v>71</v>
      </c>
      <c r="AZ627">
        <v>42</v>
      </c>
      <c r="BA627">
        <v>16</v>
      </c>
      <c r="BB627">
        <v>3</v>
      </c>
      <c r="BC627">
        <v>28</v>
      </c>
      <c r="BD627">
        <v>72</v>
      </c>
      <c r="BE627">
        <v>33</v>
      </c>
      <c r="BF627">
        <v>71</v>
      </c>
      <c r="BG627">
        <v>9.4700000000000006</v>
      </c>
      <c r="BH627">
        <v>3.49</v>
      </c>
      <c r="BI627">
        <v>2.35</v>
      </c>
      <c r="BJ627">
        <v>3</v>
      </c>
      <c r="BK627">
        <v>2.8</v>
      </c>
      <c r="BL627">
        <f>(1/Table1[[#This Row],[odds_ft_home_team_win]]+1/Table1[[#This Row],[odds_ft_draw]]+1/Table1[[#This Row],[odds_ft_away_team_win]]-1)/3</f>
        <v>3.8669368456602481E-2</v>
      </c>
      <c r="BM627">
        <v>1.36</v>
      </c>
      <c r="BN627">
        <v>2.15</v>
      </c>
      <c r="BO627">
        <v>3.8</v>
      </c>
      <c r="BP627">
        <v>7.5</v>
      </c>
      <c r="BQ627">
        <v>1.87</v>
      </c>
      <c r="BR627">
        <v>1.77</v>
      </c>
      <c r="BS627" t="s">
        <v>94</v>
      </c>
      <c r="BT627">
        <f>VLOOKUP(Table1[[#This Row],[Reference]],metron,8,FALSE)</f>
        <v>1.464160929441638</v>
      </c>
      <c r="BU627">
        <f>VLOOKUP(Table1[[#This Row],[Reference]],metron,9,FALSE)</f>
        <v>1.2477119808919459</v>
      </c>
      <c r="BV627">
        <f>VLOOKUP(Table1[[#This Row],[Reference]],metron,10,FALSE)</f>
        <v>2.4900895140664963</v>
      </c>
      <c r="BW627">
        <f>VLOOKUP(Table1[[#This Row],[Reference]],metron,11,FALSE)</f>
        <v>1.330562659846547</v>
      </c>
      <c r="BX627">
        <f>VLOOKUP(Table1[[#This Row],[Reference]],metron,12,FALSE)</f>
        <v>1.1595268542199491</v>
      </c>
      <c r="BY627" s="6">
        <f>VLOOKUP(Table1[[#This Row],[Reference]],metron,13,FALSE)</f>
        <v>0.59053607588191415</v>
      </c>
      <c r="BZ627" s="6">
        <f>VLOOKUP(Table1[[#This Row],[Reference]],metron,14,FALSE)</f>
        <v>0.50069274219332838</v>
      </c>
      <c r="CA627" s="6">
        <f>VLOOKUP(Table1[[#This Row],[Reference]],metron,15,FALSE)</f>
        <v>11.79715236686391</v>
      </c>
      <c r="CB627" s="6">
        <f>VLOOKUP(Table1[[#This Row],[Reference]],metron,16,FALSE)</f>
        <v>10.317122781065089</v>
      </c>
      <c r="CC627" s="6">
        <f>VLOOKUP(Table1[[#This Row],[Reference]],metron,17,FALSE)</f>
        <v>5.0637025966747622</v>
      </c>
      <c r="CD627" s="6">
        <f>VLOOKUP(Table1[[#This Row],[Reference]],metron,18,FALSE)</f>
        <v>4.4674014571268454</v>
      </c>
      <c r="CE627" s="6">
        <f>VLOOKUP(Table1[[#This Row],[Reference]],metron,19,FALSE)</f>
        <v>6.7334497701891483</v>
      </c>
      <c r="CF627" s="6">
        <f>VLOOKUP(Table1[[#This Row],[Reference]],metron,20,FALSE)</f>
        <v>5.849721323938244</v>
      </c>
      <c r="CG627" s="6">
        <f>VLOOKUP(Table1[[#This Row],[Reference]],metron,21,FALSE)</f>
        <v>12.89644194756554</v>
      </c>
      <c r="CH627" s="6">
        <f>VLOOKUP(Table1[[#This Row],[Reference]],metron,22,FALSE)</f>
        <v>13.3434456928839</v>
      </c>
      <c r="CI627" s="6">
        <f>VLOOKUP(Table1[[#This Row],[Reference]],metron,23,FALSE)</f>
        <v>1.6144382124117971</v>
      </c>
      <c r="CJ627" s="6">
        <f>VLOOKUP(Table1[[#This Row],[Reference]],metron,24,FALSE)</f>
        <v>1.9032024606477289</v>
      </c>
      <c r="CK627" s="6">
        <f>VLOOKUP(Table1[[#This Row],[Reference]],metron,25,FALSE)</f>
        <v>9.372172969060974E-2</v>
      </c>
      <c r="CL627" s="6">
        <f>VLOOKUP(Table1[[#This Row],[Reference]],metron,26,FALSE)</f>
        <v>0.11669983716301791</v>
      </c>
    </row>
    <row r="628" spans="1:90" x14ac:dyDescent="0.45">
      <c r="A628" t="s">
        <v>1256</v>
      </c>
      <c r="B628">
        <v>1617580800</v>
      </c>
      <c r="C628" s="23" t="s">
        <v>1163</v>
      </c>
      <c r="D628" t="s">
        <v>65</v>
      </c>
      <c r="E628" t="s">
        <v>66</v>
      </c>
      <c r="F628" t="s">
        <v>67</v>
      </c>
      <c r="G628" t="s">
        <v>107</v>
      </c>
      <c r="H628" t="s">
        <v>147</v>
      </c>
      <c r="I628">
        <f>MROUND(Table1[[#This Row],[ProbH]]*100,2)/100</f>
        <v>0.3</v>
      </c>
      <c r="J628">
        <f>1/Table1[[#This Row],[odds_ft_home_team_win]]-Table1[[#This Row],[Margin]]</f>
        <v>0.30417635756901612</v>
      </c>
      <c r="K628">
        <f>1/Table1[[#This Row],[odds_ft_draw]]-Table1[[#This Row],[Margin]]</f>
        <v>0.28192941652340986</v>
      </c>
      <c r="L628">
        <f>1/Table1[[#This Row],[odds_ft_away_team_win]]-Table1[[#This Row],[Margin]]</f>
        <v>0.41389422590757408</v>
      </c>
      <c r="M628">
        <v>13</v>
      </c>
      <c r="N628">
        <v>1.79</v>
      </c>
      <c r="O628">
        <v>1.43</v>
      </c>
      <c r="P628">
        <v>1.82</v>
      </c>
      <c r="Q628">
        <v>1.47</v>
      </c>
      <c r="R628" t="str" cm="1">
        <f t="array" ref="R6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Z628">
        <v>89</v>
      </c>
      <c r="AA628">
        <v>4</v>
      </c>
      <c r="AB628">
        <v>6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2</v>
      </c>
      <c r="AK628">
        <v>14</v>
      </c>
      <c r="AL628">
        <v>21</v>
      </c>
      <c r="AM628">
        <v>4</v>
      </c>
      <c r="AN628">
        <v>4</v>
      </c>
      <c r="AO628">
        <v>10</v>
      </c>
      <c r="AP628">
        <v>17</v>
      </c>
      <c r="AQ628">
        <v>11</v>
      </c>
      <c r="AR628">
        <v>12</v>
      </c>
      <c r="AS628">
        <v>38</v>
      </c>
      <c r="AT628">
        <v>62</v>
      </c>
      <c r="AU628">
        <v>1.39</v>
      </c>
      <c r="AV628">
        <v>1.96</v>
      </c>
      <c r="AW628">
        <v>2.65</v>
      </c>
      <c r="AX628">
        <v>57</v>
      </c>
      <c r="AY628">
        <v>79</v>
      </c>
      <c r="AZ628">
        <v>43</v>
      </c>
      <c r="BA628">
        <v>32</v>
      </c>
      <c r="BB628">
        <v>14</v>
      </c>
      <c r="BC628">
        <v>33</v>
      </c>
      <c r="BD628">
        <v>64</v>
      </c>
      <c r="BE628">
        <v>54</v>
      </c>
      <c r="BF628">
        <v>83</v>
      </c>
      <c r="BG628">
        <v>10</v>
      </c>
      <c r="BH628">
        <v>3.93</v>
      </c>
      <c r="BI628">
        <v>2.9</v>
      </c>
      <c r="BJ628">
        <v>3.1</v>
      </c>
      <c r="BK628">
        <v>2.2000000000000002</v>
      </c>
      <c r="BL628">
        <f>(1/Table1[[#This Row],[odds_ft_home_team_win]]+1/Table1[[#This Row],[odds_ft_draw]]+1/Table1[[#This Row],[odds_ft_away_team_win]]-1)/3</f>
        <v>4.0651228637880475E-2</v>
      </c>
      <c r="BM628">
        <v>1.34</v>
      </c>
      <c r="BN628">
        <v>1.95</v>
      </c>
      <c r="BO628">
        <v>3.3</v>
      </c>
      <c r="BP628">
        <v>6</v>
      </c>
      <c r="BQ628">
        <v>1.69</v>
      </c>
      <c r="BR628">
        <v>1.95</v>
      </c>
      <c r="BS628" t="s">
        <v>70</v>
      </c>
      <c r="BT628">
        <f>VLOOKUP(Table1[[#This Row],[Reference]],metron,8,FALSE)</f>
        <v>1.2142445227270171</v>
      </c>
      <c r="BU628">
        <f>VLOOKUP(Table1[[#This Row],[Reference]],metron,9,FALSE)</f>
        <v>1.4993969533036628</v>
      </c>
      <c r="BV628">
        <f>VLOOKUP(Table1[[#This Row],[Reference]],metron,10,FALSE)</f>
        <v>2.5726407816919519</v>
      </c>
      <c r="BW628">
        <f>VLOOKUP(Table1[[#This Row],[Reference]],metron,11,FALSE)</f>
        <v>1.1805091283106199</v>
      </c>
      <c r="BX628">
        <f>VLOOKUP(Table1[[#This Row],[Reference]],metron,12,FALSE)</f>
        <v>1.3921316533813319</v>
      </c>
      <c r="BY628" s="6">
        <f>VLOOKUP(Table1[[#This Row],[Reference]],metron,13,FALSE)</f>
        <v>0.5209673269873939</v>
      </c>
      <c r="BZ628" s="6">
        <f>VLOOKUP(Table1[[#This Row],[Reference]],metron,14,FALSE)</f>
        <v>0.61847182917417032</v>
      </c>
      <c r="CA628" s="6">
        <f>VLOOKUP(Table1[[#This Row],[Reference]],metron,15,FALSE)</f>
        <v>11.149200710479571</v>
      </c>
      <c r="CB628" s="6">
        <f>VLOOKUP(Table1[[#This Row],[Reference]],metron,16,FALSE)</f>
        <v>11.444049733570161</v>
      </c>
      <c r="CC628" s="6">
        <f>VLOOKUP(Table1[[#This Row],[Reference]],metron,17,FALSE)</f>
        <v>4.5257270693512304</v>
      </c>
      <c r="CD628" s="6">
        <f>VLOOKUP(Table1[[#This Row],[Reference]],metron,18,FALSE)</f>
        <v>4.8465324384787474</v>
      </c>
      <c r="CE628" s="6">
        <f>VLOOKUP(Table1[[#This Row],[Reference]],metron,19,FALSE)</f>
        <v>6.6234736411283404</v>
      </c>
      <c r="CF628" s="6">
        <f>VLOOKUP(Table1[[#This Row],[Reference]],metron,20,FALSE)</f>
        <v>6.5975172950914134</v>
      </c>
      <c r="CG628" s="6">
        <f>VLOOKUP(Table1[[#This Row],[Reference]],metron,21,FALSE)</f>
        <v>12.90081154192967</v>
      </c>
      <c r="CH628" s="6">
        <f>VLOOKUP(Table1[[#This Row],[Reference]],metron,22,FALSE)</f>
        <v>13.00360685302074</v>
      </c>
      <c r="CI628" s="6">
        <f>VLOOKUP(Table1[[#This Row],[Reference]],metron,23,FALSE)</f>
        <v>1.7502145922746779</v>
      </c>
      <c r="CJ628" s="6">
        <f>VLOOKUP(Table1[[#This Row],[Reference]],metron,24,FALSE)</f>
        <v>1.831402831402831</v>
      </c>
      <c r="CK628" s="6">
        <f>VLOOKUP(Table1[[#This Row],[Reference]],metron,25,FALSE)</f>
        <v>9.6525096525096526E-2</v>
      </c>
      <c r="CL628" s="6">
        <f>VLOOKUP(Table1[[#This Row],[Reference]],metron,26,FALSE)</f>
        <v>0.1244101244101244</v>
      </c>
    </row>
    <row r="629" spans="1:90" x14ac:dyDescent="0.45">
      <c r="A629" t="s">
        <v>1256</v>
      </c>
      <c r="B629">
        <v>1617588300</v>
      </c>
      <c r="C629" s="23" t="s">
        <v>1164</v>
      </c>
      <c r="D629" t="s">
        <v>65</v>
      </c>
      <c r="E629" t="s">
        <v>66</v>
      </c>
      <c r="F629" t="s">
        <v>85</v>
      </c>
      <c r="G629" t="s">
        <v>79</v>
      </c>
      <c r="H629" t="s">
        <v>114</v>
      </c>
      <c r="I629">
        <f>MROUND(Table1[[#This Row],[ProbH]]*100,2)/100</f>
        <v>0.56000000000000005</v>
      </c>
      <c r="J629">
        <f>1/Table1[[#This Row],[odds_ft_home_team_win]]-Table1[[#This Row],[Margin]]</f>
        <v>0.56902356902356899</v>
      </c>
      <c r="K629">
        <f>1/Table1[[#This Row],[odds_ft_draw]]-Table1[[#This Row],[Margin]]</f>
        <v>0.24074074074074073</v>
      </c>
      <c r="L629">
        <f>1/Table1[[#This Row],[odds_ft_away_team_win]]-Table1[[#This Row],[Margin]]</f>
        <v>0.1902356902356902</v>
      </c>
      <c r="M629">
        <v>13</v>
      </c>
      <c r="N629">
        <v>2.2400000000000002</v>
      </c>
      <c r="O629">
        <v>0.67</v>
      </c>
      <c r="P629">
        <v>2.29</v>
      </c>
      <c r="Q629">
        <v>0.55000000000000004</v>
      </c>
      <c r="R629" t="str" cm="1">
        <f t="array" ref="R6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9">
        <v>2</v>
      </c>
      <c r="T629">
        <v>1</v>
      </c>
      <c r="U629">
        <v>3</v>
      </c>
      <c r="V629">
        <v>1</v>
      </c>
      <c r="W629">
        <v>0</v>
      </c>
      <c r="X629">
        <v>1</v>
      </c>
      <c r="Y629" t="s">
        <v>1165</v>
      </c>
      <c r="Z629" t="s">
        <v>639</v>
      </c>
      <c r="AA629">
        <v>6</v>
      </c>
      <c r="AB629">
        <v>3</v>
      </c>
      <c r="AC629">
        <v>2</v>
      </c>
      <c r="AD629">
        <v>0</v>
      </c>
      <c r="AE629">
        <v>3</v>
      </c>
      <c r="AF629">
        <v>0</v>
      </c>
      <c r="AG629">
        <v>1</v>
      </c>
      <c r="AH629">
        <v>1</v>
      </c>
      <c r="AI629">
        <v>1</v>
      </c>
      <c r="AJ629">
        <v>2</v>
      </c>
      <c r="AK629">
        <v>19</v>
      </c>
      <c r="AL629">
        <v>5</v>
      </c>
      <c r="AM629">
        <v>9</v>
      </c>
      <c r="AN629">
        <v>2</v>
      </c>
      <c r="AO629">
        <v>10</v>
      </c>
      <c r="AP629">
        <v>3</v>
      </c>
      <c r="AQ629">
        <v>12</v>
      </c>
      <c r="AR629">
        <v>13</v>
      </c>
      <c r="AS629">
        <v>62</v>
      </c>
      <c r="AT629">
        <v>38</v>
      </c>
      <c r="AU629">
        <v>2.2000000000000002</v>
      </c>
      <c r="AV629">
        <v>0.69</v>
      </c>
      <c r="AW629">
        <v>2.73</v>
      </c>
      <c r="AX629">
        <v>66</v>
      </c>
      <c r="AY629">
        <v>75</v>
      </c>
      <c r="AZ629">
        <v>57</v>
      </c>
      <c r="BA629">
        <v>32</v>
      </c>
      <c r="BB629">
        <v>20</v>
      </c>
      <c r="BC629">
        <v>51</v>
      </c>
      <c r="BD629">
        <v>72</v>
      </c>
      <c r="BE629">
        <v>34</v>
      </c>
      <c r="BF629">
        <v>72</v>
      </c>
      <c r="BG629">
        <v>8.26</v>
      </c>
      <c r="BH629">
        <v>4.8</v>
      </c>
      <c r="BI629">
        <v>1.65</v>
      </c>
      <c r="BJ629">
        <v>3.6</v>
      </c>
      <c r="BK629">
        <v>4.4000000000000004</v>
      </c>
      <c r="BL629">
        <f>(1/Table1[[#This Row],[odds_ft_home_team_win]]+1/Table1[[#This Row],[odds_ft_draw]]+1/Table1[[#This Row],[odds_ft_away_team_win]]-1)/3</f>
        <v>3.7037037037037056E-2</v>
      </c>
      <c r="BM629">
        <v>1.26</v>
      </c>
      <c r="BN629">
        <v>1.57</v>
      </c>
      <c r="BO629">
        <v>2.8</v>
      </c>
      <c r="BP629">
        <v>5.25</v>
      </c>
      <c r="BQ629">
        <v>1.67</v>
      </c>
      <c r="BR629">
        <v>2</v>
      </c>
      <c r="BS629" t="s">
        <v>128</v>
      </c>
      <c r="BT629">
        <f>VLOOKUP(Table1[[#This Row],[Reference]],metron,8,FALSE)</f>
        <v>1.9673156855724254</v>
      </c>
      <c r="BU629">
        <f>VLOOKUP(Table1[[#This Row],[Reference]],metron,9,FALSE)</f>
        <v>0.77729484582409181</v>
      </c>
      <c r="BV629">
        <f>VLOOKUP(Table1[[#This Row],[Reference]],metron,10,FALSE)</f>
        <v>2.6892488954344627</v>
      </c>
      <c r="BW629">
        <f>VLOOKUP(Table1[[#This Row],[Reference]],metron,11,FALSE)</f>
        <v>1.7546812539448771</v>
      </c>
      <c r="BX629">
        <f>VLOOKUP(Table1[[#This Row],[Reference]],metron,12,FALSE)</f>
        <v>0.93456764148958549</v>
      </c>
      <c r="BY629" s="6">
        <f>VLOOKUP(Table1[[#This Row],[Reference]],metron,13,FALSE)</f>
        <v>0.77824531874605507</v>
      </c>
      <c r="BZ629" s="6">
        <f>VLOOKUP(Table1[[#This Row],[Reference]],metron,14,FALSE)</f>
        <v>0.41237113402061848</v>
      </c>
      <c r="CA629" s="6">
        <f>VLOOKUP(Table1[[#This Row],[Reference]],metron,15,FALSE)</f>
        <v>13.77153558052435</v>
      </c>
      <c r="CB629" s="6">
        <f>VLOOKUP(Table1[[#This Row],[Reference]],metron,16,FALSE)</f>
        <v>9.0445692883895124</v>
      </c>
      <c r="CC629" s="6">
        <f>VLOOKUP(Table1[[#This Row],[Reference]],metron,17,FALSE)</f>
        <v>6.0821292775665396</v>
      </c>
      <c r="CD629" s="6">
        <f>VLOOKUP(Table1[[#This Row],[Reference]],metron,18,FALSE)</f>
        <v>3.8201520912547529</v>
      </c>
      <c r="CE629" s="6">
        <f>VLOOKUP(Table1[[#This Row],[Reference]],metron,19,FALSE)</f>
        <v>7.6894063029578108</v>
      </c>
      <c r="CF629" s="6">
        <f>VLOOKUP(Table1[[#This Row],[Reference]],metron,20,FALSE)</f>
        <v>5.224417197134759</v>
      </c>
      <c r="CG629" s="6">
        <f>VLOOKUP(Table1[[#This Row],[Reference]],metron,21,FALSE)</f>
        <v>12.297605473204101</v>
      </c>
      <c r="CH629" s="6">
        <f>VLOOKUP(Table1[[#This Row],[Reference]],metron,22,FALSE)</f>
        <v>13.310908399847969</v>
      </c>
      <c r="CI629" s="6">
        <f>VLOOKUP(Table1[[#This Row],[Reference]],metron,23,FALSE)</f>
        <v>1.3713126843657819</v>
      </c>
      <c r="CJ629" s="6">
        <f>VLOOKUP(Table1[[#This Row],[Reference]],metron,24,FALSE)</f>
        <v>1.9516961651917399</v>
      </c>
      <c r="CK629" s="6">
        <f>VLOOKUP(Table1[[#This Row],[Reference]],metron,25,FALSE)</f>
        <v>6.6002949852507375E-2</v>
      </c>
      <c r="CL629" s="6">
        <f>VLOOKUP(Table1[[#This Row],[Reference]],metron,26,FALSE)</f>
        <v>0.1297935103244838</v>
      </c>
    </row>
    <row r="630" spans="1:90" x14ac:dyDescent="0.45">
      <c r="A630" t="s">
        <v>1256</v>
      </c>
      <c r="B630">
        <v>1618014600</v>
      </c>
      <c r="C630" s="23" t="s">
        <v>1166</v>
      </c>
      <c r="D630" t="s">
        <v>65</v>
      </c>
      <c r="E630" t="s">
        <v>66</v>
      </c>
      <c r="F630" t="s">
        <v>72</v>
      </c>
      <c r="G630" t="s">
        <v>96</v>
      </c>
      <c r="H630" t="s">
        <v>114</v>
      </c>
      <c r="I630">
        <f>MROUND(Table1[[#This Row],[ProbH]]*100,2)/100</f>
        <v>0.42</v>
      </c>
      <c r="J630">
        <f>1/Table1[[#This Row],[odds_ft_home_team_win]]-Table1[[#This Row],[Margin]]</f>
        <v>0.41772564353209518</v>
      </c>
      <c r="K630">
        <f>1/Table1[[#This Row],[odds_ft_draw]]-Table1[[#This Row],[Margin]]</f>
        <v>0.29651352231997397</v>
      </c>
      <c r="L630">
        <f>1/Table1[[#This Row],[odds_ft_away_team_win]]-Table1[[#This Row],[Margin]]</f>
        <v>0.28576083414793096</v>
      </c>
      <c r="M630">
        <v>14</v>
      </c>
      <c r="N630">
        <v>1.5</v>
      </c>
      <c r="O630">
        <v>1.17</v>
      </c>
      <c r="P630">
        <v>1.29</v>
      </c>
      <c r="Q630">
        <v>1.25</v>
      </c>
      <c r="R630" t="str" cm="1">
        <f t="array" ref="R6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Z630">
        <v>81</v>
      </c>
      <c r="AA630">
        <v>1</v>
      </c>
      <c r="AB630">
        <v>1</v>
      </c>
      <c r="AC630">
        <v>2</v>
      </c>
      <c r="AD630">
        <v>0</v>
      </c>
      <c r="AE630">
        <v>2</v>
      </c>
      <c r="AF630">
        <v>0</v>
      </c>
      <c r="AG630">
        <v>1</v>
      </c>
      <c r="AH630">
        <v>1</v>
      </c>
      <c r="AI630">
        <v>2</v>
      </c>
      <c r="AJ630">
        <v>0</v>
      </c>
      <c r="AK630">
        <v>16</v>
      </c>
      <c r="AL630">
        <v>11</v>
      </c>
      <c r="AM630">
        <v>6</v>
      </c>
      <c r="AN630">
        <v>2</v>
      </c>
      <c r="AO630">
        <v>10</v>
      </c>
      <c r="AP630">
        <v>9</v>
      </c>
      <c r="AQ630">
        <v>18</v>
      </c>
      <c r="AR630">
        <v>12</v>
      </c>
      <c r="AS630">
        <v>46</v>
      </c>
      <c r="AT630">
        <v>54</v>
      </c>
      <c r="AU630">
        <v>1.8</v>
      </c>
      <c r="AV630">
        <v>0.99</v>
      </c>
      <c r="AW630">
        <v>2.15</v>
      </c>
      <c r="AX630">
        <v>44</v>
      </c>
      <c r="AY630">
        <v>69</v>
      </c>
      <c r="AZ630">
        <v>35</v>
      </c>
      <c r="BA630">
        <v>13</v>
      </c>
      <c r="BB630">
        <v>4</v>
      </c>
      <c r="BC630">
        <v>29</v>
      </c>
      <c r="BD630">
        <v>73</v>
      </c>
      <c r="BE630">
        <v>29</v>
      </c>
      <c r="BF630">
        <v>70</v>
      </c>
      <c r="BG630">
        <v>8.4</v>
      </c>
      <c r="BH630">
        <v>5.25</v>
      </c>
      <c r="BI630">
        <v>2.2000000000000002</v>
      </c>
      <c r="BJ630">
        <v>3</v>
      </c>
      <c r="BK630">
        <v>3.1</v>
      </c>
      <c r="BL630">
        <f>(1/Table1[[#This Row],[odds_ft_home_team_win]]+1/Table1[[#This Row],[odds_ft_draw]]+1/Table1[[#This Row],[odds_ft_away_team_win]]-1)/3</f>
        <v>3.681981101335937E-2</v>
      </c>
      <c r="BM630">
        <v>1.36</v>
      </c>
      <c r="BN630">
        <v>2.15</v>
      </c>
      <c r="BO630">
        <v>3.6</v>
      </c>
      <c r="BP630">
        <v>7</v>
      </c>
      <c r="BQ630">
        <v>1.91</v>
      </c>
      <c r="BR630">
        <v>1.83</v>
      </c>
      <c r="BS630" t="s">
        <v>76</v>
      </c>
      <c r="BT630">
        <f>VLOOKUP(Table1[[#This Row],[Reference]],metron,8,FALSE)</f>
        <v>1.5780106027030405</v>
      </c>
      <c r="BU630">
        <f>VLOOKUP(Table1[[#This Row],[Reference]],metron,9,FALSE)</f>
        <v>1.1353025412447635</v>
      </c>
      <c r="BV630">
        <f>VLOOKUP(Table1[[#This Row],[Reference]],metron,10,FALSE)</f>
        <v>2.4884649511978703</v>
      </c>
      <c r="BW630">
        <f>VLOOKUP(Table1[[#This Row],[Reference]],metron,11,FALSE)</f>
        <v>1.396960958296362</v>
      </c>
      <c r="BX630">
        <f>VLOOKUP(Table1[[#This Row],[Reference]],metron,12,FALSE)</f>
        <v>1.091503992901508</v>
      </c>
      <c r="BY630" s="6">
        <f>VLOOKUP(Table1[[#This Row],[Reference]],metron,13,FALSE)</f>
        <v>0.60765391014975045</v>
      </c>
      <c r="BZ630" s="6">
        <f>VLOOKUP(Table1[[#This Row],[Reference]],metron,14,FALSE)</f>
        <v>0.47276760953965608</v>
      </c>
      <c r="CA630" s="6">
        <f>VLOOKUP(Table1[[#This Row],[Reference]],metron,15,FALSE)</f>
        <v>12.29504785684561</v>
      </c>
      <c r="CB630" s="6">
        <f>VLOOKUP(Table1[[#This Row],[Reference]],metron,16,FALSE)</f>
        <v>10.047232625884311</v>
      </c>
      <c r="CC630" s="6">
        <f>VLOOKUP(Table1[[#This Row],[Reference]],metron,17,FALSE)</f>
        <v>5.2917192097519967</v>
      </c>
      <c r="CD630" s="6">
        <f>VLOOKUP(Table1[[#This Row],[Reference]],metron,18,FALSE)</f>
        <v>4.2580916351408158</v>
      </c>
      <c r="CE630" s="6">
        <f>VLOOKUP(Table1[[#This Row],[Reference]],metron,19,FALSE)</f>
        <v>7.0033286470936131</v>
      </c>
      <c r="CF630" s="6">
        <f>VLOOKUP(Table1[[#This Row],[Reference]],metron,20,FALSE)</f>
        <v>5.789140990743495</v>
      </c>
      <c r="CG630" s="6">
        <f>VLOOKUP(Table1[[#This Row],[Reference]],metron,21,FALSE)</f>
        <v>12.77041895895049</v>
      </c>
      <c r="CH630" s="6">
        <f>VLOOKUP(Table1[[#This Row],[Reference]],metron,22,FALSE)</f>
        <v>13.411129919593741</v>
      </c>
      <c r="CI630" s="6">
        <f>VLOOKUP(Table1[[#This Row],[Reference]],metron,23,FALSE)</f>
        <v>1.556141062018646</v>
      </c>
      <c r="CJ630" s="6">
        <f>VLOOKUP(Table1[[#This Row],[Reference]],metron,24,FALSE)</f>
        <v>1.9114308877178761</v>
      </c>
      <c r="CK630" s="6">
        <f>VLOOKUP(Table1[[#This Row],[Reference]],metron,25,FALSE)</f>
        <v>8.4920956627482766E-2</v>
      </c>
      <c r="CL630" s="6">
        <f>VLOOKUP(Table1[[#This Row],[Reference]],metron,26,FALSE)</f>
        <v>0.1323469801378192</v>
      </c>
    </row>
    <row r="631" spans="1:90" x14ac:dyDescent="0.45">
      <c r="A631" t="s">
        <v>1256</v>
      </c>
      <c r="B631">
        <v>1618021800</v>
      </c>
      <c r="C631" s="23" t="s">
        <v>1167</v>
      </c>
      <c r="D631" t="s">
        <v>65</v>
      </c>
      <c r="E631" t="s">
        <v>66</v>
      </c>
      <c r="F631" t="s">
        <v>78</v>
      </c>
      <c r="G631" t="s">
        <v>91</v>
      </c>
      <c r="H631" t="s">
        <v>74</v>
      </c>
      <c r="I631">
        <f>MROUND(Table1[[#This Row],[ProbH]]*100,2)/100</f>
        <v>0.4</v>
      </c>
      <c r="J631">
        <f>1/Table1[[#This Row],[odds_ft_home_team_win]]-Table1[[#This Row],[Margin]]</f>
        <v>0.39738330763672647</v>
      </c>
      <c r="K631">
        <f>1/Table1[[#This Row],[odds_ft_draw]]-Table1[[#This Row],[Margin]]</f>
        <v>0.28414410730120288</v>
      </c>
      <c r="L631">
        <f>1/Table1[[#This Row],[odds_ft_away_team_win]]-Table1[[#This Row],[Margin]]</f>
        <v>0.31847258506207071</v>
      </c>
      <c r="M631">
        <v>14</v>
      </c>
      <c r="N631">
        <v>1.29</v>
      </c>
      <c r="O631">
        <v>0.4</v>
      </c>
      <c r="P631">
        <v>1.41</v>
      </c>
      <c r="Q631">
        <v>0.35</v>
      </c>
      <c r="R631" t="str" cm="1">
        <f t="array" ref="R6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31">
        <v>2</v>
      </c>
      <c r="T631">
        <v>1</v>
      </c>
      <c r="U631">
        <v>3</v>
      </c>
      <c r="V631">
        <v>1</v>
      </c>
      <c r="W631">
        <v>1</v>
      </c>
      <c r="X631">
        <v>0</v>
      </c>
      <c r="Y631" t="s">
        <v>1168</v>
      </c>
      <c r="Z631">
        <v>74</v>
      </c>
      <c r="AA631">
        <v>5</v>
      </c>
      <c r="AB631">
        <v>7</v>
      </c>
      <c r="AC631">
        <v>3</v>
      </c>
      <c r="AD631">
        <v>0</v>
      </c>
      <c r="AE631">
        <v>2</v>
      </c>
      <c r="AF631">
        <v>0</v>
      </c>
      <c r="AG631">
        <v>1</v>
      </c>
      <c r="AH631">
        <v>2</v>
      </c>
      <c r="AI631">
        <v>1</v>
      </c>
      <c r="AJ631">
        <v>1</v>
      </c>
      <c r="AK631">
        <v>11</v>
      </c>
      <c r="AL631">
        <v>14</v>
      </c>
      <c r="AM631">
        <v>5</v>
      </c>
      <c r="AN631">
        <v>5</v>
      </c>
      <c r="AO631">
        <v>6</v>
      </c>
      <c r="AP631">
        <v>9</v>
      </c>
      <c r="AQ631">
        <v>9</v>
      </c>
      <c r="AR631">
        <v>15</v>
      </c>
      <c r="AS631">
        <v>45</v>
      </c>
      <c r="AT631">
        <v>55</v>
      </c>
      <c r="AU631">
        <v>1.31</v>
      </c>
      <c r="AV631">
        <v>1.57</v>
      </c>
      <c r="AW631">
        <v>2.29</v>
      </c>
      <c r="AX631">
        <v>45</v>
      </c>
      <c r="AY631">
        <v>65</v>
      </c>
      <c r="AZ631">
        <v>40</v>
      </c>
      <c r="BA631">
        <v>17</v>
      </c>
      <c r="BB631">
        <v>7</v>
      </c>
      <c r="BC631">
        <v>24</v>
      </c>
      <c r="BD631">
        <v>55</v>
      </c>
      <c r="BE631">
        <v>41</v>
      </c>
      <c r="BF631">
        <v>82</v>
      </c>
      <c r="BG631">
        <v>8.31</v>
      </c>
      <c r="BH631">
        <v>4.6900000000000004</v>
      </c>
      <c r="BI631">
        <v>2.2999999999999998</v>
      </c>
      <c r="BJ631">
        <v>3.11</v>
      </c>
      <c r="BK631">
        <v>2.81</v>
      </c>
      <c r="BL631">
        <f>(1/Table1[[#This Row],[odds_ft_home_team_win]]+1/Table1[[#This Row],[odds_ft_draw]]+1/Table1[[#This Row],[odds_ft_away_team_win]]-1)/3</f>
        <v>3.7399301058925749E-2</v>
      </c>
      <c r="BM631">
        <v>1.4</v>
      </c>
      <c r="BN631">
        <v>2.2000000000000002</v>
      </c>
      <c r="BO631">
        <v>3.95</v>
      </c>
      <c r="BP631">
        <v>8</v>
      </c>
      <c r="BQ631">
        <v>2</v>
      </c>
      <c r="BR631">
        <v>1.74</v>
      </c>
      <c r="BS631" t="s">
        <v>82</v>
      </c>
      <c r="BT631">
        <f>VLOOKUP(Table1[[#This Row],[Reference]],metron,8,FALSE)</f>
        <v>1.5181603563290151</v>
      </c>
      <c r="BU631">
        <f>VLOOKUP(Table1[[#This Row],[Reference]],metron,9,FALSE)</f>
        <v>1.1952730370775513</v>
      </c>
      <c r="BV631">
        <f>VLOOKUP(Table1[[#This Row],[Reference]],metron,10,FALSE)</f>
        <v>2.4956155335383219</v>
      </c>
      <c r="BW631">
        <f>VLOOKUP(Table1[[#This Row],[Reference]],metron,11,FALSE)</f>
        <v>1.344038264434575</v>
      </c>
      <c r="BX631">
        <f>VLOOKUP(Table1[[#This Row],[Reference]],metron,12,FALSE)</f>
        <v>1.1515772691037469</v>
      </c>
      <c r="BY631" s="6">
        <f>VLOOKUP(Table1[[#This Row],[Reference]],metron,13,FALSE)</f>
        <v>0.59936225942375587</v>
      </c>
      <c r="BZ631" s="6">
        <f>VLOOKUP(Table1[[#This Row],[Reference]],metron,14,FALSE)</f>
        <v>0.50723152260562576</v>
      </c>
      <c r="CA631" s="6">
        <f>VLOOKUP(Table1[[#This Row],[Reference]],metron,15,FALSE)</f>
        <v>11.99278846153846</v>
      </c>
      <c r="CB631" s="6">
        <f>VLOOKUP(Table1[[#This Row],[Reference]],metron,16,FALSE)</f>
        <v>10.0277534965035</v>
      </c>
      <c r="CC631" s="6">
        <f>VLOOKUP(Table1[[#This Row],[Reference]],metron,17,FALSE)</f>
        <v>5.2857459543338514</v>
      </c>
      <c r="CD631" s="6">
        <f>VLOOKUP(Table1[[#This Row],[Reference]],metron,18,FALSE)</f>
        <v>4.4067834183107957</v>
      </c>
      <c r="CE631" s="6">
        <f>VLOOKUP(Table1[[#This Row],[Reference]],metron,19,FALSE)</f>
        <v>6.7070425072046085</v>
      </c>
      <c r="CF631" s="6">
        <f>VLOOKUP(Table1[[#This Row],[Reference]],metron,20,FALSE)</f>
        <v>5.6209700781927046</v>
      </c>
      <c r="CG631" s="6">
        <f>VLOOKUP(Table1[[#This Row],[Reference]],metron,21,FALSE)</f>
        <v>13.04463690872752</v>
      </c>
      <c r="CH631" s="6">
        <f>VLOOKUP(Table1[[#This Row],[Reference]],metron,22,FALSE)</f>
        <v>13.49811236953142</v>
      </c>
      <c r="CI631" s="6">
        <f>VLOOKUP(Table1[[#This Row],[Reference]],metron,23,FALSE)</f>
        <v>1.5836526181353769</v>
      </c>
      <c r="CJ631" s="6">
        <f>VLOOKUP(Table1[[#This Row],[Reference]],metron,24,FALSE)</f>
        <v>1.8744146445295871</v>
      </c>
      <c r="CK631" s="6">
        <f>VLOOKUP(Table1[[#This Row],[Reference]],metron,25,FALSE)</f>
        <v>8.5994040017028525E-2</v>
      </c>
      <c r="CL631" s="6">
        <f>VLOOKUP(Table1[[#This Row],[Reference]],metron,26,FALSE)</f>
        <v>0.13452532992762881</v>
      </c>
    </row>
    <row r="632" spans="1:90" x14ac:dyDescent="0.45">
      <c r="A632" t="s">
        <v>1256</v>
      </c>
      <c r="B632">
        <v>1618092000</v>
      </c>
      <c r="C632" s="23" t="s">
        <v>1169</v>
      </c>
      <c r="D632" t="s">
        <v>65</v>
      </c>
      <c r="E632" t="s">
        <v>66</v>
      </c>
      <c r="F632" t="s">
        <v>97</v>
      </c>
      <c r="G632" t="s">
        <v>85</v>
      </c>
      <c r="H632" t="s">
        <v>98</v>
      </c>
      <c r="I632">
        <f>MROUND(Table1[[#This Row],[ProbH]]*100,2)/100</f>
        <v>0.44</v>
      </c>
      <c r="J632">
        <f>1/Table1[[#This Row],[odds_ft_home_team_win]]-Table1[[#This Row],[Margin]]</f>
        <v>0.44306529951430107</v>
      </c>
      <c r="K632">
        <f>1/Table1[[#This Row],[odds_ft_draw]]-Table1[[#This Row],[Margin]]</f>
        <v>0.27846735024284941</v>
      </c>
      <c r="L632">
        <f>1/Table1[[#This Row],[odds_ft_away_team_win]]-Table1[[#This Row],[Margin]]</f>
        <v>0.27846735024284941</v>
      </c>
      <c r="M632">
        <v>14</v>
      </c>
      <c r="N632">
        <v>1.1299999999999999</v>
      </c>
      <c r="O632">
        <v>1.5</v>
      </c>
      <c r="P632">
        <v>1.21</v>
      </c>
      <c r="Q632">
        <v>1.5</v>
      </c>
      <c r="R632" t="str" cm="1">
        <f t="array" ref="R6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2">
        <v>1</v>
      </c>
      <c r="T632">
        <v>3</v>
      </c>
      <c r="U632">
        <v>4</v>
      </c>
      <c r="V632">
        <v>1</v>
      </c>
      <c r="W632">
        <v>0</v>
      </c>
      <c r="X632">
        <v>1</v>
      </c>
      <c r="Y632">
        <v>80</v>
      </c>
      <c r="Z632" t="s">
        <v>1170</v>
      </c>
      <c r="AA632">
        <v>8</v>
      </c>
      <c r="AB632">
        <v>5</v>
      </c>
      <c r="AC632">
        <v>2</v>
      </c>
      <c r="AD632">
        <v>0</v>
      </c>
      <c r="AE632">
        <v>2</v>
      </c>
      <c r="AF632">
        <v>0</v>
      </c>
      <c r="AG632">
        <v>0</v>
      </c>
      <c r="AH632">
        <v>2</v>
      </c>
      <c r="AI632">
        <v>0</v>
      </c>
      <c r="AJ632">
        <v>2</v>
      </c>
      <c r="AK632">
        <v>21</v>
      </c>
      <c r="AL632">
        <v>14</v>
      </c>
      <c r="AM632">
        <v>8</v>
      </c>
      <c r="AN632">
        <v>7</v>
      </c>
      <c r="AO632">
        <v>13</v>
      </c>
      <c r="AP632">
        <v>7</v>
      </c>
      <c r="AQ632">
        <v>13</v>
      </c>
      <c r="AR632">
        <v>12</v>
      </c>
      <c r="AS632">
        <v>44</v>
      </c>
      <c r="AT632">
        <v>56</v>
      </c>
      <c r="AU632">
        <v>2.2400000000000002</v>
      </c>
      <c r="AV632">
        <v>1.59</v>
      </c>
      <c r="AW632">
        <v>2.02</v>
      </c>
      <c r="AX632">
        <v>42</v>
      </c>
      <c r="AY632">
        <v>69</v>
      </c>
      <c r="AZ632">
        <v>27</v>
      </c>
      <c r="BA632">
        <v>9</v>
      </c>
      <c r="BB632">
        <v>3</v>
      </c>
      <c r="BC632">
        <v>21</v>
      </c>
      <c r="BD632">
        <v>70</v>
      </c>
      <c r="BE632">
        <v>21</v>
      </c>
      <c r="BF632">
        <v>78</v>
      </c>
      <c r="BG632">
        <v>9.09</v>
      </c>
      <c r="BH632">
        <v>4.95</v>
      </c>
      <c r="BI632">
        <v>2.1800000000000002</v>
      </c>
      <c r="BJ632">
        <v>3.4</v>
      </c>
      <c r="BK632">
        <v>3.4</v>
      </c>
      <c r="BL632">
        <f>(1/Table1[[#This Row],[odds_ft_home_team_win]]+1/Table1[[#This Row],[odds_ft_draw]]+1/Table1[[#This Row],[odds_ft_away_team_win]]-1)/3</f>
        <v>1.5650296815974112E-2</v>
      </c>
      <c r="BM632">
        <v>1.36</v>
      </c>
      <c r="BN632">
        <v>2.1</v>
      </c>
      <c r="BO632">
        <v>3.6</v>
      </c>
      <c r="BP632">
        <v>7</v>
      </c>
      <c r="BQ632">
        <v>1.87</v>
      </c>
      <c r="BR632">
        <v>1.77</v>
      </c>
      <c r="BS632" t="s">
        <v>136</v>
      </c>
      <c r="BT632">
        <f>VLOOKUP(Table1[[#This Row],[Reference]],metron,8,FALSE)</f>
        <v>1.6395459745305552</v>
      </c>
      <c r="BU632">
        <f>VLOOKUP(Table1[[#This Row],[Reference]],metron,9,FALSE)</f>
        <v>1.0758429359324786</v>
      </c>
      <c r="BV632">
        <f>VLOOKUP(Table1[[#This Row],[Reference]],metron,10,FALSE)</f>
        <v>2.4807646356033461</v>
      </c>
      <c r="BW632">
        <f>VLOOKUP(Table1[[#This Row],[Reference]],metron,11,FALSE)</f>
        <v>1.4140979689366791</v>
      </c>
      <c r="BX632">
        <f>VLOOKUP(Table1[[#This Row],[Reference]],metron,12,FALSE)</f>
        <v>1.0666666666666671</v>
      </c>
      <c r="BY632" s="6">
        <f>VLOOKUP(Table1[[#This Row],[Reference]],metron,13,FALSE)</f>
        <v>0.62712066905615294</v>
      </c>
      <c r="BZ632" s="6">
        <f>VLOOKUP(Table1[[#This Row],[Reference]],metron,14,FALSE)</f>
        <v>0.46009557945041818</v>
      </c>
      <c r="CA632" s="6">
        <f>VLOOKUP(Table1[[#This Row],[Reference]],metron,15,FALSE)</f>
        <v>12.56969280146722</v>
      </c>
      <c r="CB632" s="6">
        <f>VLOOKUP(Table1[[#This Row],[Reference]],metron,16,FALSE)</f>
        <v>9.8695552498853729</v>
      </c>
      <c r="CC632" s="6">
        <f>VLOOKUP(Table1[[#This Row],[Reference]],metron,17,FALSE)</f>
        <v>5.2754256787850897</v>
      </c>
      <c r="CD632" s="6">
        <f>VLOOKUP(Table1[[#This Row],[Reference]],metron,18,FALSE)</f>
        <v>4.1279337321675103</v>
      </c>
      <c r="CE632" s="6">
        <f>VLOOKUP(Table1[[#This Row],[Reference]],metron,19,FALSE)</f>
        <v>7.2942671226821298</v>
      </c>
      <c r="CF632" s="6">
        <f>VLOOKUP(Table1[[#This Row],[Reference]],metron,20,FALSE)</f>
        <v>5.7416215177178627</v>
      </c>
      <c r="CG632" s="6">
        <f>VLOOKUP(Table1[[#This Row],[Reference]],metron,21,FALSE)</f>
        <v>12.897246007868549</v>
      </c>
      <c r="CH632" s="6">
        <f>VLOOKUP(Table1[[#This Row],[Reference]],metron,22,FALSE)</f>
        <v>13.507058551261281</v>
      </c>
      <c r="CI632" s="6">
        <f>VLOOKUP(Table1[[#This Row],[Reference]],metron,23,FALSE)</f>
        <v>1.576522702104098</v>
      </c>
      <c r="CJ632" s="6">
        <f>VLOOKUP(Table1[[#This Row],[Reference]],metron,24,FALSE)</f>
        <v>1.917165005537099</v>
      </c>
      <c r="CK632" s="6">
        <f>VLOOKUP(Table1[[#This Row],[Reference]],metron,25,FALSE)</f>
        <v>8.4385382059800659E-2</v>
      </c>
      <c r="CL632" s="6">
        <f>VLOOKUP(Table1[[#This Row],[Reference]],metron,26,FALSE)</f>
        <v>0.1233665559246955</v>
      </c>
    </row>
    <row r="633" spans="1:90" x14ac:dyDescent="0.45">
      <c r="A633" t="s">
        <v>1256</v>
      </c>
      <c r="B633">
        <v>1618099200</v>
      </c>
      <c r="C633" s="23" t="s">
        <v>1171</v>
      </c>
      <c r="D633" t="s">
        <v>65</v>
      </c>
      <c r="E633" t="s">
        <v>66</v>
      </c>
      <c r="F633" t="s">
        <v>112</v>
      </c>
      <c r="G633" t="s">
        <v>90</v>
      </c>
      <c r="H633" t="s">
        <v>69</v>
      </c>
      <c r="I633">
        <f>MROUND(Table1[[#This Row],[ProbH]]*100,2)/100</f>
        <v>0.57999999999999996</v>
      </c>
      <c r="J633">
        <f>1/Table1[[#This Row],[odds_ft_home_team_win]]-Table1[[#This Row],[Margin]]</f>
        <v>0.57888860011358489</v>
      </c>
      <c r="K633">
        <f>1/Table1[[#This Row],[odds_ft_draw]]-Table1[[#This Row],[Margin]]</f>
        <v>0.24138246363837632</v>
      </c>
      <c r="L633">
        <f>1/Table1[[#This Row],[odds_ft_away_team_win]]-Table1[[#This Row],[Margin]]</f>
        <v>0.17972893624803873</v>
      </c>
      <c r="M633">
        <v>14</v>
      </c>
      <c r="N633">
        <v>2.13</v>
      </c>
      <c r="O633">
        <v>1.31</v>
      </c>
      <c r="P633">
        <v>2.1800000000000002</v>
      </c>
      <c r="Q633">
        <v>1.35</v>
      </c>
      <c r="R633" t="str" cm="1">
        <f t="array" ref="R6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51</v>
      </c>
      <c r="AA633">
        <v>3</v>
      </c>
      <c r="AB633">
        <v>9</v>
      </c>
      <c r="AC633">
        <v>5</v>
      </c>
      <c r="AD633">
        <v>0</v>
      </c>
      <c r="AE633">
        <v>1</v>
      </c>
      <c r="AF633">
        <v>0</v>
      </c>
      <c r="AG633">
        <v>3</v>
      </c>
      <c r="AH633">
        <v>2</v>
      </c>
      <c r="AI633">
        <v>1</v>
      </c>
      <c r="AJ633">
        <v>0</v>
      </c>
      <c r="AK633">
        <v>16</v>
      </c>
      <c r="AL633">
        <v>6</v>
      </c>
      <c r="AM633">
        <v>5</v>
      </c>
      <c r="AN633">
        <v>2</v>
      </c>
      <c r="AO633">
        <v>11</v>
      </c>
      <c r="AP633">
        <v>4</v>
      </c>
      <c r="AQ633">
        <v>11</v>
      </c>
      <c r="AR633">
        <v>6</v>
      </c>
      <c r="AS633">
        <v>41</v>
      </c>
      <c r="AT633">
        <v>59</v>
      </c>
      <c r="AU633">
        <v>1.66</v>
      </c>
      <c r="AV633">
        <v>0.84</v>
      </c>
      <c r="AW633">
        <v>2.5</v>
      </c>
      <c r="AX633">
        <v>47</v>
      </c>
      <c r="AY633">
        <v>69</v>
      </c>
      <c r="AZ633">
        <v>44</v>
      </c>
      <c r="BA633">
        <v>31</v>
      </c>
      <c r="BB633">
        <v>13</v>
      </c>
      <c r="BC633">
        <v>31</v>
      </c>
      <c r="BD633">
        <v>69</v>
      </c>
      <c r="BE633">
        <v>38</v>
      </c>
      <c r="BF633">
        <v>78</v>
      </c>
      <c r="BG633">
        <v>9.94</v>
      </c>
      <c r="BH633">
        <v>3.94</v>
      </c>
      <c r="BI633">
        <v>1.68</v>
      </c>
      <c r="BJ633">
        <v>3.88</v>
      </c>
      <c r="BK633">
        <v>5.0999999999999996</v>
      </c>
      <c r="BL633">
        <f>(1/Table1[[#This Row],[odds_ft_home_team_win]]+1/Table1[[#This Row],[odds_ft_draw]]+1/Table1[[#This Row],[odds_ft_away_team_win]]-1)/3</f>
        <v>1.63494951245103E-2</v>
      </c>
      <c r="BM633">
        <v>1.3</v>
      </c>
      <c r="BN633">
        <v>1.87</v>
      </c>
      <c r="BO633">
        <v>3.3</v>
      </c>
      <c r="BP633">
        <v>6.5</v>
      </c>
      <c r="BQ633">
        <v>1.91</v>
      </c>
      <c r="BR633">
        <v>1.74</v>
      </c>
      <c r="BS633" t="s">
        <v>116</v>
      </c>
      <c r="BT633">
        <f>VLOOKUP(Table1[[#This Row],[Reference]],metron,8,FALSE)</f>
        <v>2.0230889143600308</v>
      </c>
      <c r="BU633">
        <f>VLOOKUP(Table1[[#This Row],[Reference]],metron,9,FALSE)</f>
        <v>0.72731480520165426</v>
      </c>
      <c r="BV633">
        <f>VLOOKUP(Table1[[#This Row],[Reference]],metron,10,FALSE)</f>
        <v>2.6362999299229148</v>
      </c>
      <c r="BW633">
        <f>VLOOKUP(Table1[[#This Row],[Reference]],metron,11,FALSE)</f>
        <v>1.7619715019855171</v>
      </c>
      <c r="BX633">
        <f>VLOOKUP(Table1[[#This Row],[Reference]],metron,12,FALSE)</f>
        <v>0.87432842793739785</v>
      </c>
      <c r="BY633" s="6">
        <f>VLOOKUP(Table1[[#This Row],[Reference]],metron,13,FALSE)</f>
        <v>0.78411214953271025</v>
      </c>
      <c r="BZ633" s="6">
        <f>VLOOKUP(Table1[[#This Row],[Reference]],metron,14,FALSE)</f>
        <v>0.38060747663551397</v>
      </c>
      <c r="CA633" s="6">
        <f>VLOOKUP(Table1[[#This Row],[Reference]],metron,15,FALSE)</f>
        <v>14.215499378367181</v>
      </c>
      <c r="CB633" s="6">
        <f>VLOOKUP(Table1[[#This Row],[Reference]],metron,16,FALSE)</f>
        <v>8.9523612261806136</v>
      </c>
      <c r="CC633" s="6">
        <f>VLOOKUP(Table1[[#This Row],[Reference]],metron,17,FALSE)</f>
        <v>6.3083121289228163</v>
      </c>
      <c r="CD633" s="6">
        <f>VLOOKUP(Table1[[#This Row],[Reference]],metron,18,FALSE)</f>
        <v>3.7757524374735061</v>
      </c>
      <c r="CE633" s="6">
        <f>VLOOKUP(Table1[[#This Row],[Reference]],metron,19,FALSE)</f>
        <v>7.9071872494443642</v>
      </c>
      <c r="CF633" s="6">
        <f>VLOOKUP(Table1[[#This Row],[Reference]],metron,20,FALSE)</f>
        <v>5.1766087887071075</v>
      </c>
      <c r="CG633" s="6">
        <f>VLOOKUP(Table1[[#This Row],[Reference]],metron,21,FALSE)</f>
        <v>12.634239592183521</v>
      </c>
      <c r="CH633" s="6">
        <f>VLOOKUP(Table1[[#This Row],[Reference]],metron,22,FALSE)</f>
        <v>13.597706032285471</v>
      </c>
      <c r="CI633" s="6">
        <f>VLOOKUP(Table1[[#This Row],[Reference]],metron,23,FALSE)</f>
        <v>1.365400161681487</v>
      </c>
      <c r="CJ633" s="6">
        <f>VLOOKUP(Table1[[#This Row],[Reference]],metron,24,FALSE)</f>
        <v>1.963621665319321</v>
      </c>
      <c r="CK633" s="6">
        <f>VLOOKUP(Table1[[#This Row],[Reference]],metron,25,FALSE)</f>
        <v>7.1544058205335492E-2</v>
      </c>
      <c r="CL633" s="6">
        <f>VLOOKUP(Table1[[#This Row],[Reference]],metron,26,FALSE)</f>
        <v>0.1216653193209378</v>
      </c>
    </row>
    <row r="634" spans="1:90" x14ac:dyDescent="0.45">
      <c r="A634" t="s">
        <v>1256</v>
      </c>
      <c r="B634">
        <v>1618106700</v>
      </c>
      <c r="C634" s="23" t="s">
        <v>1172</v>
      </c>
      <c r="D634" t="s">
        <v>65</v>
      </c>
      <c r="E634" t="s">
        <v>66</v>
      </c>
      <c r="F634" t="s">
        <v>107</v>
      </c>
      <c r="G634" t="s">
        <v>68</v>
      </c>
      <c r="H634" t="s">
        <v>158</v>
      </c>
      <c r="I634">
        <f>MROUND(Table1[[#This Row],[ProbH]]*100,2)/100</f>
        <v>0.44</v>
      </c>
      <c r="J634">
        <f>1/Table1[[#This Row],[odds_ft_home_team_win]]-Table1[[#This Row],[Margin]]</f>
        <v>0.44139065069297623</v>
      </c>
      <c r="K634">
        <f>1/Table1[[#This Row],[odds_ft_draw]]-Table1[[#This Row],[Margin]]</f>
        <v>0.27930467465351183</v>
      </c>
      <c r="L634">
        <f>1/Table1[[#This Row],[odds_ft_away_team_win]]-Table1[[#This Row],[Margin]]</f>
        <v>0.27930467465351183</v>
      </c>
      <c r="M634">
        <v>14</v>
      </c>
      <c r="N634">
        <v>1.53</v>
      </c>
      <c r="O634">
        <v>1.67</v>
      </c>
      <c r="P634">
        <v>1.53</v>
      </c>
      <c r="Q634">
        <v>1.63</v>
      </c>
      <c r="R634" s="9" t="str" cm="1">
        <f t="array" ref="R6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4">
        <v>1</v>
      </c>
      <c r="T634">
        <v>3</v>
      </c>
      <c r="U634">
        <v>4</v>
      </c>
      <c r="V634">
        <v>1</v>
      </c>
      <c r="W634">
        <v>0</v>
      </c>
      <c r="X634">
        <v>1</v>
      </c>
      <c r="Y634">
        <v>63</v>
      </c>
      <c r="Z634" t="s">
        <v>1173</v>
      </c>
      <c r="AA634">
        <v>3</v>
      </c>
      <c r="AB634">
        <v>3</v>
      </c>
      <c r="AC634">
        <v>2</v>
      </c>
      <c r="AD634">
        <v>2</v>
      </c>
      <c r="AE634">
        <v>0</v>
      </c>
      <c r="AF634">
        <v>0</v>
      </c>
      <c r="AG634">
        <v>1</v>
      </c>
      <c r="AH634">
        <v>3</v>
      </c>
      <c r="AI634">
        <v>0</v>
      </c>
      <c r="AJ634">
        <v>0</v>
      </c>
      <c r="AK634">
        <v>9</v>
      </c>
      <c r="AL634">
        <v>14</v>
      </c>
      <c r="AM634">
        <v>4</v>
      </c>
      <c r="AN634">
        <v>6</v>
      </c>
      <c r="AO634">
        <v>5</v>
      </c>
      <c r="AP634">
        <v>8</v>
      </c>
      <c r="AQ634">
        <v>10</v>
      </c>
      <c r="AR634">
        <v>14</v>
      </c>
      <c r="AS634">
        <v>48</v>
      </c>
      <c r="AT634">
        <v>52</v>
      </c>
      <c r="AU634">
        <v>1.1000000000000001</v>
      </c>
      <c r="AV634">
        <v>1.64</v>
      </c>
      <c r="AW634">
        <v>2.56</v>
      </c>
      <c r="AX634">
        <v>59</v>
      </c>
      <c r="AY634">
        <v>84</v>
      </c>
      <c r="AZ634">
        <v>44</v>
      </c>
      <c r="BA634">
        <v>19</v>
      </c>
      <c r="BB634">
        <v>13</v>
      </c>
      <c r="BC634">
        <v>22</v>
      </c>
      <c r="BD634">
        <v>66</v>
      </c>
      <c r="BE634">
        <v>43</v>
      </c>
      <c r="BF634">
        <v>91</v>
      </c>
      <c r="BG634">
        <v>10.02</v>
      </c>
      <c r="BH634">
        <v>3.92</v>
      </c>
      <c r="BI634">
        <v>2.15</v>
      </c>
      <c r="BJ634">
        <v>3.3</v>
      </c>
      <c r="BK634">
        <v>3.3</v>
      </c>
      <c r="BL634">
        <f>(1/Table1[[#This Row],[odds_ft_home_team_win]]+1/Table1[[#This Row],[odds_ft_draw]]+1/Table1[[#This Row],[odds_ft_away_team_win]]-1)/3</f>
        <v>2.3725628376791191E-2</v>
      </c>
      <c r="BM634">
        <v>1.45</v>
      </c>
      <c r="BN634">
        <v>2.25</v>
      </c>
      <c r="BO634">
        <v>4.05</v>
      </c>
      <c r="BP634">
        <v>8</v>
      </c>
      <c r="BQ634">
        <v>2.1</v>
      </c>
      <c r="BR634">
        <v>1.69</v>
      </c>
      <c r="BS634" t="s">
        <v>161</v>
      </c>
      <c r="BT634">
        <f>VLOOKUP(Table1[[#This Row],[Reference]],metron,8,FALSE)</f>
        <v>1.6395459745305552</v>
      </c>
      <c r="BU634">
        <f>VLOOKUP(Table1[[#This Row],[Reference]],metron,9,FALSE)</f>
        <v>1.0758429359324786</v>
      </c>
      <c r="BV634">
        <f>VLOOKUP(Table1[[#This Row],[Reference]],metron,10,FALSE)</f>
        <v>2.4807646356033461</v>
      </c>
      <c r="BW634">
        <f>VLOOKUP(Table1[[#This Row],[Reference]],metron,11,FALSE)</f>
        <v>1.4140979689366791</v>
      </c>
      <c r="BX634">
        <f>VLOOKUP(Table1[[#This Row],[Reference]],metron,12,FALSE)</f>
        <v>1.0666666666666671</v>
      </c>
      <c r="BY634" s="6">
        <f>VLOOKUP(Table1[[#This Row],[Reference]],metron,13,FALSE)</f>
        <v>0.62712066905615294</v>
      </c>
      <c r="BZ634" s="6">
        <f>VLOOKUP(Table1[[#This Row],[Reference]],metron,14,FALSE)</f>
        <v>0.46009557945041818</v>
      </c>
      <c r="CA634" s="6">
        <f>VLOOKUP(Table1[[#This Row],[Reference]],metron,15,FALSE)</f>
        <v>12.56969280146722</v>
      </c>
      <c r="CB634" s="6">
        <f>VLOOKUP(Table1[[#This Row],[Reference]],metron,16,FALSE)</f>
        <v>9.8695552498853729</v>
      </c>
      <c r="CC634" s="6">
        <f>VLOOKUP(Table1[[#This Row],[Reference]],metron,17,FALSE)</f>
        <v>5.2754256787850897</v>
      </c>
      <c r="CD634" s="6">
        <f>VLOOKUP(Table1[[#This Row],[Reference]],metron,18,FALSE)</f>
        <v>4.1279337321675103</v>
      </c>
      <c r="CE634" s="6">
        <f>VLOOKUP(Table1[[#This Row],[Reference]],metron,19,FALSE)</f>
        <v>7.2942671226821298</v>
      </c>
      <c r="CF634" s="6">
        <f>VLOOKUP(Table1[[#This Row],[Reference]],metron,20,FALSE)</f>
        <v>5.7416215177178627</v>
      </c>
      <c r="CG634" s="6">
        <f>VLOOKUP(Table1[[#This Row],[Reference]],metron,21,FALSE)</f>
        <v>12.897246007868549</v>
      </c>
      <c r="CH634" s="6">
        <f>VLOOKUP(Table1[[#This Row],[Reference]],metron,22,FALSE)</f>
        <v>13.507058551261281</v>
      </c>
      <c r="CI634" s="6">
        <f>VLOOKUP(Table1[[#This Row],[Reference]],metron,23,FALSE)</f>
        <v>1.576522702104098</v>
      </c>
      <c r="CJ634" s="6">
        <f>VLOOKUP(Table1[[#This Row],[Reference]],metron,24,FALSE)</f>
        <v>1.917165005537099</v>
      </c>
      <c r="CK634" s="6">
        <f>VLOOKUP(Table1[[#This Row],[Reference]],metron,25,FALSE)</f>
        <v>8.4385382059800659E-2</v>
      </c>
      <c r="CL634" s="6">
        <f>VLOOKUP(Table1[[#This Row],[Reference]],metron,26,FALSE)</f>
        <v>0.1233665559246955</v>
      </c>
    </row>
    <row r="635" spans="1:90" x14ac:dyDescent="0.45">
      <c r="A635" t="s">
        <v>1256</v>
      </c>
      <c r="B635">
        <v>1618160400</v>
      </c>
      <c r="C635" s="23" t="s">
        <v>1174</v>
      </c>
      <c r="D635" t="s">
        <v>65</v>
      </c>
      <c r="E635" t="s">
        <v>66</v>
      </c>
      <c r="F635" t="s">
        <v>79</v>
      </c>
      <c r="G635" t="s">
        <v>101</v>
      </c>
      <c r="H635" t="s">
        <v>122</v>
      </c>
      <c r="I635">
        <f>MROUND(Table1[[#This Row],[ProbH]]*100,2)/100</f>
        <v>0.3</v>
      </c>
      <c r="J635">
        <f>1/Table1[[#This Row],[odds_ft_home_team_win]]-Table1[[#This Row],[Margin]]</f>
        <v>0.29426129426129427</v>
      </c>
      <c r="K635">
        <f>1/Table1[[#This Row],[odds_ft_draw]]-Table1[[#This Row],[Margin]]</f>
        <v>0.28449328449328454</v>
      </c>
      <c r="L635">
        <f>1/Table1[[#This Row],[odds_ft_away_team_win]]-Table1[[#This Row],[Margin]]</f>
        <v>0.42124542124542125</v>
      </c>
      <c r="M635">
        <v>14</v>
      </c>
      <c r="N635">
        <v>2</v>
      </c>
      <c r="O635">
        <v>1.47</v>
      </c>
      <c r="P635">
        <v>2</v>
      </c>
      <c r="Q635">
        <v>1.39</v>
      </c>
      <c r="R635" t="str" cm="1">
        <f t="array" ref="R6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5">
        <v>1</v>
      </c>
      <c r="T635">
        <v>2</v>
      </c>
      <c r="U635">
        <v>3</v>
      </c>
      <c r="V635">
        <v>0</v>
      </c>
      <c r="W635">
        <v>0</v>
      </c>
      <c r="X635">
        <v>0</v>
      </c>
      <c r="Y635">
        <v>71</v>
      </c>
      <c r="Z635" t="s">
        <v>1175</v>
      </c>
      <c r="AA635">
        <v>7</v>
      </c>
      <c r="AB635">
        <v>2</v>
      </c>
      <c r="AC635">
        <v>2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17</v>
      </c>
      <c r="AL635">
        <v>15</v>
      </c>
      <c r="AM635">
        <v>4</v>
      </c>
      <c r="AN635">
        <v>7</v>
      </c>
      <c r="AO635">
        <v>13</v>
      </c>
      <c r="AP635">
        <v>8</v>
      </c>
      <c r="AQ635">
        <v>10</v>
      </c>
      <c r="AR635">
        <v>7</v>
      </c>
      <c r="AS635">
        <v>68</v>
      </c>
      <c r="AT635">
        <v>32</v>
      </c>
      <c r="AU635">
        <v>1.76</v>
      </c>
      <c r="AV635">
        <v>1.66</v>
      </c>
      <c r="AW635">
        <v>2.77</v>
      </c>
      <c r="AX635">
        <v>57</v>
      </c>
      <c r="AY635">
        <v>73</v>
      </c>
      <c r="AZ635">
        <v>47</v>
      </c>
      <c r="BA635">
        <v>30</v>
      </c>
      <c r="BB635">
        <v>17</v>
      </c>
      <c r="BC635">
        <v>40</v>
      </c>
      <c r="BD635">
        <v>70</v>
      </c>
      <c r="BE635">
        <v>37</v>
      </c>
      <c r="BF635">
        <v>80</v>
      </c>
      <c r="BG635">
        <v>11</v>
      </c>
      <c r="BH635">
        <v>4.2</v>
      </c>
      <c r="BI635">
        <v>3.15</v>
      </c>
      <c r="BJ635">
        <v>3.25</v>
      </c>
      <c r="BK635">
        <v>2.25</v>
      </c>
      <c r="BL635">
        <f>(1/Table1[[#This Row],[odds_ft_home_team_win]]+1/Table1[[#This Row],[odds_ft_draw]]+1/Table1[[#This Row],[odds_ft_away_team_win]]-1)/3</f>
        <v>2.3199023199023189E-2</v>
      </c>
      <c r="BM635">
        <v>1.36</v>
      </c>
      <c r="BN635">
        <v>2.12</v>
      </c>
      <c r="BO635">
        <v>3</v>
      </c>
      <c r="BP635">
        <v>5.75</v>
      </c>
      <c r="BQ635">
        <v>1.69</v>
      </c>
      <c r="BR635">
        <v>2.1</v>
      </c>
      <c r="BS635" t="s">
        <v>140</v>
      </c>
      <c r="BT635">
        <f>VLOOKUP(Table1[[#This Row],[Reference]],metron,8,FALSE)</f>
        <v>1.2142445227270171</v>
      </c>
      <c r="BU635">
        <f>VLOOKUP(Table1[[#This Row],[Reference]],metron,9,FALSE)</f>
        <v>1.4993969533036628</v>
      </c>
      <c r="BV635">
        <f>VLOOKUP(Table1[[#This Row],[Reference]],metron,10,FALSE)</f>
        <v>2.5726407816919519</v>
      </c>
      <c r="BW635">
        <f>VLOOKUP(Table1[[#This Row],[Reference]],metron,11,FALSE)</f>
        <v>1.1805091283106199</v>
      </c>
      <c r="BX635">
        <f>VLOOKUP(Table1[[#This Row],[Reference]],metron,12,FALSE)</f>
        <v>1.3921316533813319</v>
      </c>
      <c r="BY635" s="6">
        <f>VLOOKUP(Table1[[#This Row],[Reference]],metron,13,FALSE)</f>
        <v>0.5209673269873939</v>
      </c>
      <c r="BZ635" s="6">
        <f>VLOOKUP(Table1[[#This Row],[Reference]],metron,14,FALSE)</f>
        <v>0.61847182917417032</v>
      </c>
      <c r="CA635" s="6">
        <f>VLOOKUP(Table1[[#This Row],[Reference]],metron,15,FALSE)</f>
        <v>11.149200710479571</v>
      </c>
      <c r="CB635" s="6">
        <f>VLOOKUP(Table1[[#This Row],[Reference]],metron,16,FALSE)</f>
        <v>11.444049733570161</v>
      </c>
      <c r="CC635" s="6">
        <f>VLOOKUP(Table1[[#This Row],[Reference]],metron,17,FALSE)</f>
        <v>4.5257270693512304</v>
      </c>
      <c r="CD635" s="6">
        <f>VLOOKUP(Table1[[#This Row],[Reference]],metron,18,FALSE)</f>
        <v>4.8465324384787474</v>
      </c>
      <c r="CE635" s="6">
        <f>VLOOKUP(Table1[[#This Row],[Reference]],metron,19,FALSE)</f>
        <v>6.6234736411283404</v>
      </c>
      <c r="CF635" s="6">
        <f>VLOOKUP(Table1[[#This Row],[Reference]],metron,20,FALSE)</f>
        <v>6.5975172950914134</v>
      </c>
      <c r="CG635" s="6">
        <f>VLOOKUP(Table1[[#This Row],[Reference]],metron,21,FALSE)</f>
        <v>12.90081154192967</v>
      </c>
      <c r="CH635" s="6">
        <f>VLOOKUP(Table1[[#This Row],[Reference]],metron,22,FALSE)</f>
        <v>13.00360685302074</v>
      </c>
      <c r="CI635" s="6">
        <f>VLOOKUP(Table1[[#This Row],[Reference]],metron,23,FALSE)</f>
        <v>1.7502145922746779</v>
      </c>
      <c r="CJ635" s="6">
        <f>VLOOKUP(Table1[[#This Row],[Reference]],metron,24,FALSE)</f>
        <v>1.831402831402831</v>
      </c>
      <c r="CK635" s="6">
        <f>VLOOKUP(Table1[[#This Row],[Reference]],metron,25,FALSE)</f>
        <v>9.6525096525096526E-2</v>
      </c>
      <c r="CL635" s="6">
        <f>VLOOKUP(Table1[[#This Row],[Reference]],metron,26,FALSE)</f>
        <v>0.1244101244101244</v>
      </c>
    </row>
    <row r="636" spans="1:90" x14ac:dyDescent="0.45">
      <c r="A636" t="s">
        <v>1256</v>
      </c>
      <c r="B636">
        <v>1618185600</v>
      </c>
      <c r="C636" s="23" t="s">
        <v>1176</v>
      </c>
      <c r="D636" t="s">
        <v>65</v>
      </c>
      <c r="E636" t="s">
        <v>66</v>
      </c>
      <c r="F636" t="s">
        <v>67</v>
      </c>
      <c r="G636" t="s">
        <v>73</v>
      </c>
      <c r="H636" t="s">
        <v>130</v>
      </c>
      <c r="I636">
        <f>MROUND(Table1[[#This Row],[ProbH]]*100,2)/100</f>
        <v>0.34</v>
      </c>
      <c r="J636">
        <f>1/Table1[[#This Row],[odds_ft_home_team_win]]-Table1[[#This Row],[Margin]]</f>
        <v>0.33825757575757576</v>
      </c>
      <c r="K636">
        <f>1/Table1[[#This Row],[odds_ft_draw]]-Table1[[#This Row],[Margin]]</f>
        <v>0.28712121212121211</v>
      </c>
      <c r="L636">
        <f>1/Table1[[#This Row],[odds_ft_away_team_win]]-Table1[[#This Row],[Margin]]</f>
        <v>0.37462121212121213</v>
      </c>
      <c r="M636">
        <v>14</v>
      </c>
      <c r="N636">
        <v>1.67</v>
      </c>
      <c r="O636">
        <v>0.93</v>
      </c>
      <c r="P636">
        <v>1.82</v>
      </c>
      <c r="Q636">
        <v>0.8</v>
      </c>
      <c r="R636" t="str" cm="1">
        <f t="array" ref="R6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5</v>
      </c>
      <c r="AA636">
        <v>5</v>
      </c>
      <c r="AB636">
        <v>10</v>
      </c>
      <c r="AC636">
        <v>1</v>
      </c>
      <c r="AD636">
        <v>0</v>
      </c>
      <c r="AE636">
        <v>2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9</v>
      </c>
      <c r="AL636">
        <v>20</v>
      </c>
      <c r="AM636">
        <v>5</v>
      </c>
      <c r="AN636">
        <v>3</v>
      </c>
      <c r="AO636">
        <v>4</v>
      </c>
      <c r="AP636">
        <v>17</v>
      </c>
      <c r="AQ636">
        <v>16</v>
      </c>
      <c r="AR636">
        <v>12</v>
      </c>
      <c r="AS636">
        <v>36</v>
      </c>
      <c r="AT636">
        <v>64</v>
      </c>
      <c r="AU636">
        <v>1.1599999999999999</v>
      </c>
      <c r="AV636">
        <v>1.95</v>
      </c>
      <c r="AW636">
        <v>2.5</v>
      </c>
      <c r="AX636">
        <v>60</v>
      </c>
      <c r="AY636">
        <v>73</v>
      </c>
      <c r="AZ636">
        <v>43</v>
      </c>
      <c r="BA636">
        <v>27</v>
      </c>
      <c r="BB636">
        <v>10</v>
      </c>
      <c r="BC636">
        <v>27</v>
      </c>
      <c r="BD636">
        <v>74</v>
      </c>
      <c r="BE636">
        <v>47</v>
      </c>
      <c r="BF636">
        <v>77</v>
      </c>
      <c r="BG636">
        <v>9.34</v>
      </c>
      <c r="BH636">
        <v>4</v>
      </c>
      <c r="BI636">
        <v>2.75</v>
      </c>
      <c r="BJ636">
        <v>3.2</v>
      </c>
      <c r="BK636">
        <v>2.5</v>
      </c>
      <c r="BL636">
        <f>(1/Table1[[#This Row],[odds_ft_home_team_win]]+1/Table1[[#This Row],[odds_ft_draw]]+1/Table1[[#This Row],[odds_ft_away_team_win]]-1)/3</f>
        <v>2.537878787878789E-2</v>
      </c>
      <c r="BM636">
        <v>1.36</v>
      </c>
      <c r="BN636">
        <v>2.12</v>
      </c>
      <c r="BO636">
        <v>3.3</v>
      </c>
      <c r="BP636">
        <v>6.5</v>
      </c>
      <c r="BQ636">
        <v>1.77</v>
      </c>
      <c r="BR636">
        <v>2</v>
      </c>
      <c r="BS636" t="s">
        <v>70</v>
      </c>
      <c r="BT636">
        <f>VLOOKUP(Table1[[#This Row],[Reference]],metron,8,FALSE)</f>
        <v>1.3382439854569812</v>
      </c>
      <c r="BU636">
        <f>VLOOKUP(Table1[[#This Row],[Reference]],metron,9,FALSE)</f>
        <v>1.3740319615582339</v>
      </c>
      <c r="BV636">
        <f>VLOOKUP(Table1[[#This Row],[Reference]],metron,10,FALSE)</f>
        <v>2.5229727551184897</v>
      </c>
      <c r="BW636">
        <f>VLOOKUP(Table1[[#This Row],[Reference]],metron,11,FALSE)</f>
        <v>1.228921489601805</v>
      </c>
      <c r="BX636">
        <f>VLOOKUP(Table1[[#This Row],[Reference]],metron,12,FALSE)</f>
        <v>1.2940512655166849</v>
      </c>
      <c r="BY636" s="6">
        <f>VLOOKUP(Table1[[#This Row],[Reference]],metron,13,FALSE)</f>
        <v>0.53240890035472432</v>
      </c>
      <c r="BZ636" s="6">
        <f>VLOOKUP(Table1[[#This Row],[Reference]],metron,14,FALSE)</f>
        <v>0.56514027732989358</v>
      </c>
      <c r="CA636" s="6">
        <f>VLOOKUP(Table1[[#This Row],[Reference]],metron,15,FALSE)</f>
        <v>11.417888124439131</v>
      </c>
      <c r="CB636" s="6">
        <f>VLOOKUP(Table1[[#This Row],[Reference]],metron,16,FALSE)</f>
        <v>10.76308704756207</v>
      </c>
      <c r="CC636" s="6">
        <f>VLOOKUP(Table1[[#This Row],[Reference]],metron,17,FALSE)</f>
        <v>4.8317672021824798</v>
      </c>
      <c r="CD636" s="6">
        <f>VLOOKUP(Table1[[#This Row],[Reference]],metron,18,FALSE)</f>
        <v>4.6698999696877843</v>
      </c>
      <c r="CE636" s="6">
        <f>VLOOKUP(Table1[[#This Row],[Reference]],metron,19,FALSE)</f>
        <v>6.5861209222566508</v>
      </c>
      <c r="CF636" s="6">
        <f>VLOOKUP(Table1[[#This Row],[Reference]],metron,20,FALSE)</f>
        <v>6.093187077874286</v>
      </c>
      <c r="CG636" s="6">
        <f>VLOOKUP(Table1[[#This Row],[Reference]],metron,21,FALSE)</f>
        <v>12.685679611650491</v>
      </c>
      <c r="CH636" s="6">
        <f>VLOOKUP(Table1[[#This Row],[Reference]],metron,22,FALSE)</f>
        <v>13.02639563106796</v>
      </c>
      <c r="CI636" s="6">
        <f>VLOOKUP(Table1[[#This Row],[Reference]],metron,23,FALSE)</f>
        <v>1.6481211768132831</v>
      </c>
      <c r="CJ636" s="6">
        <f>VLOOKUP(Table1[[#This Row],[Reference]],metron,24,FALSE)</f>
        <v>1.8572676958928049</v>
      </c>
      <c r="CK636" s="6">
        <f>VLOOKUP(Table1[[#This Row],[Reference]],metron,25,FALSE)</f>
        <v>9.641712787649287E-2</v>
      </c>
      <c r="CL636" s="6">
        <f>VLOOKUP(Table1[[#This Row],[Reference]],metron,26,FALSE)</f>
        <v>0.11302068161957469</v>
      </c>
    </row>
    <row r="637" spans="1:90" x14ac:dyDescent="0.45">
      <c r="A637" t="s">
        <v>1256</v>
      </c>
      <c r="B637">
        <v>1618193160</v>
      </c>
      <c r="C637" s="23" t="s">
        <v>1177</v>
      </c>
      <c r="D637" t="s">
        <v>65</v>
      </c>
      <c r="E637" t="s">
        <v>66</v>
      </c>
      <c r="F637" t="s">
        <v>106</v>
      </c>
      <c r="G637" t="s">
        <v>113</v>
      </c>
      <c r="H637" t="s">
        <v>80</v>
      </c>
      <c r="I637">
        <f>MROUND(Table1[[#This Row],[ProbH]]*100,2)/100</f>
        <v>0.46</v>
      </c>
      <c r="J637">
        <f>1/Table1[[#This Row],[odds_ft_home_team_win]]-Table1[[#This Row],[Margin]]</f>
        <v>0.45772530879604206</v>
      </c>
      <c r="K637">
        <f>1/Table1[[#This Row],[odds_ft_draw]]-Table1[[#This Row],[Margin]]</f>
        <v>0.26681115049057946</v>
      </c>
      <c r="L637">
        <f>1/Table1[[#This Row],[odds_ft_away_team_win]]-Table1[[#This Row],[Margin]]</f>
        <v>0.27546354071337847</v>
      </c>
      <c r="M637">
        <v>14</v>
      </c>
      <c r="N637">
        <v>1.6</v>
      </c>
      <c r="O637">
        <v>0.53</v>
      </c>
      <c r="P637">
        <v>1.59</v>
      </c>
      <c r="Q637">
        <v>0.65</v>
      </c>
      <c r="R637" t="str" cm="1">
        <f t="array" ref="R6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7">
        <v>2</v>
      </c>
      <c r="T637">
        <v>3</v>
      </c>
      <c r="U637">
        <v>5</v>
      </c>
      <c r="V637">
        <v>3</v>
      </c>
      <c r="W637">
        <v>2</v>
      </c>
      <c r="X637">
        <v>1</v>
      </c>
      <c r="Y637" t="s">
        <v>1178</v>
      </c>
      <c r="Z637" t="s">
        <v>1179</v>
      </c>
      <c r="AA637">
        <v>1</v>
      </c>
      <c r="AB637">
        <v>4</v>
      </c>
      <c r="AC637">
        <v>4</v>
      </c>
      <c r="AD637">
        <v>0</v>
      </c>
      <c r="AE637">
        <v>3</v>
      </c>
      <c r="AF637">
        <v>0</v>
      </c>
      <c r="AG637">
        <v>0</v>
      </c>
      <c r="AH637">
        <v>4</v>
      </c>
      <c r="AI637">
        <v>1</v>
      </c>
      <c r="AJ637">
        <v>2</v>
      </c>
      <c r="AK637">
        <v>14</v>
      </c>
      <c r="AL637">
        <v>12</v>
      </c>
      <c r="AM637">
        <v>3</v>
      </c>
      <c r="AN637">
        <v>4</v>
      </c>
      <c r="AO637">
        <v>11</v>
      </c>
      <c r="AP637">
        <v>8</v>
      </c>
      <c r="AQ637">
        <v>19</v>
      </c>
      <c r="AR637">
        <v>9</v>
      </c>
      <c r="AS637">
        <v>47</v>
      </c>
      <c r="AT637">
        <v>53</v>
      </c>
      <c r="AU637">
        <v>1.34</v>
      </c>
      <c r="AV637">
        <v>1.29</v>
      </c>
      <c r="AW637">
        <v>2.67</v>
      </c>
      <c r="AX637">
        <v>50</v>
      </c>
      <c r="AY637">
        <v>74</v>
      </c>
      <c r="AZ637">
        <v>54</v>
      </c>
      <c r="BA637">
        <v>30</v>
      </c>
      <c r="BB637">
        <v>14</v>
      </c>
      <c r="BC637">
        <v>33</v>
      </c>
      <c r="BD637">
        <v>63</v>
      </c>
      <c r="BE637">
        <v>44</v>
      </c>
      <c r="BF637">
        <v>70</v>
      </c>
      <c r="BG637">
        <v>7.2</v>
      </c>
      <c r="BH637">
        <v>4.66</v>
      </c>
      <c r="BI637">
        <v>2.08</v>
      </c>
      <c r="BJ637">
        <v>3.45</v>
      </c>
      <c r="BK637">
        <v>3.35</v>
      </c>
      <c r="BL637">
        <f>(1/Table1[[#This Row],[odds_ft_home_team_win]]+1/Table1[[#This Row],[odds_ft_draw]]+1/Table1[[#This Row],[odds_ft_away_team_win]]-1)/3</f>
        <v>2.3043921973188681E-2</v>
      </c>
      <c r="BM637">
        <v>1.36</v>
      </c>
      <c r="BN637">
        <v>2.16</v>
      </c>
      <c r="BO637">
        <v>3.25</v>
      </c>
      <c r="BP637">
        <v>6.5</v>
      </c>
      <c r="BQ637">
        <v>1.83</v>
      </c>
      <c r="BR637">
        <v>1.87</v>
      </c>
      <c r="BS637" t="s">
        <v>110</v>
      </c>
      <c r="BT637">
        <f>VLOOKUP(Table1[[#This Row],[Reference]],metron,8,FALSE)</f>
        <v>1.6955772349985931</v>
      </c>
      <c r="BU637">
        <f>VLOOKUP(Table1[[#This Row],[Reference]],metron,9,FALSE)</f>
        <v>1.0239029519551039</v>
      </c>
      <c r="BV637">
        <f>VLOOKUP(Table1[[#This Row],[Reference]],metron,10,FALSE)</f>
        <v>2.5405629139072849</v>
      </c>
      <c r="BW637">
        <f>VLOOKUP(Table1[[#This Row],[Reference]],metron,11,FALSE)</f>
        <v>1.4888836329233679</v>
      </c>
      <c r="BX637">
        <f>VLOOKUP(Table1[[#This Row],[Reference]],metron,12,FALSE)</f>
        <v>1.0516792809839171</v>
      </c>
      <c r="BY637" s="6">
        <f>VLOOKUP(Table1[[#This Row],[Reference]],metron,13,FALSE)</f>
        <v>0.64581362346263005</v>
      </c>
      <c r="BZ637" s="6">
        <f>VLOOKUP(Table1[[#This Row],[Reference]],metron,14,FALSE)</f>
        <v>0.45364238410596031</v>
      </c>
      <c r="CA637" s="6">
        <f>VLOOKUP(Table1[[#This Row],[Reference]],metron,15,FALSE)</f>
        <v>12.686892177589851</v>
      </c>
      <c r="CB637" s="6">
        <f>VLOOKUP(Table1[[#This Row],[Reference]],metron,16,FALSE)</f>
        <v>9.8059196617336148</v>
      </c>
      <c r="CC637" s="6">
        <f>VLOOKUP(Table1[[#This Row],[Reference]],metron,17,FALSE)</f>
        <v>5.3198121263877027</v>
      </c>
      <c r="CD637" s="6">
        <f>VLOOKUP(Table1[[#This Row],[Reference]],metron,18,FALSE)</f>
        <v>4.0954312553373189</v>
      </c>
      <c r="CE637" s="6">
        <f>VLOOKUP(Table1[[#This Row],[Reference]],metron,19,FALSE)</f>
        <v>7.3670800512021479</v>
      </c>
      <c r="CF637" s="6">
        <f>VLOOKUP(Table1[[#This Row],[Reference]],metron,20,FALSE)</f>
        <v>5.710488406396296</v>
      </c>
      <c r="CG637" s="6">
        <f>VLOOKUP(Table1[[#This Row],[Reference]],metron,21,FALSE)</f>
        <v>13.0488908033599</v>
      </c>
      <c r="CH637" s="6">
        <f>VLOOKUP(Table1[[#This Row],[Reference]],metron,22,FALSE)</f>
        <v>13.714839543398661</v>
      </c>
      <c r="CI637" s="6">
        <f>VLOOKUP(Table1[[#This Row],[Reference]],metron,23,FALSE)</f>
        <v>1.567523459812322</v>
      </c>
      <c r="CJ637" s="6">
        <f>VLOOKUP(Table1[[#This Row],[Reference]],metron,24,FALSE)</f>
        <v>1.951040391676867</v>
      </c>
      <c r="CK637" s="6">
        <f>VLOOKUP(Table1[[#This Row],[Reference]],metron,25,FALSE)</f>
        <v>8.3027335781313744E-2</v>
      </c>
      <c r="CL637" s="6">
        <f>VLOOKUP(Table1[[#This Row],[Reference]],metron,26,FALSE)</f>
        <v>0.13117095063239501</v>
      </c>
    </row>
    <row r="638" spans="1:90" x14ac:dyDescent="0.45">
      <c r="A638" t="s">
        <v>1256</v>
      </c>
      <c r="B638">
        <v>1618279200</v>
      </c>
      <c r="C638" s="23" t="s">
        <v>1180</v>
      </c>
      <c r="D638" t="s">
        <v>65</v>
      </c>
      <c r="E638" t="s">
        <v>66</v>
      </c>
      <c r="F638" t="s">
        <v>84</v>
      </c>
      <c r="G638" t="s">
        <v>102</v>
      </c>
      <c r="H638" t="s">
        <v>138</v>
      </c>
      <c r="I638">
        <f>MROUND(Table1[[#This Row],[ProbH]]*100,2)/100</f>
        <v>0.54</v>
      </c>
      <c r="J638">
        <f>1/Table1[[#This Row],[odds_ft_home_team_win]]-Table1[[#This Row],[Margin]]</f>
        <v>0.53042079871348158</v>
      </c>
      <c r="K638">
        <f>1/Table1[[#This Row],[odds_ft_draw]]-Table1[[#This Row],[Margin]]</f>
        <v>0.26668453497721795</v>
      </c>
      <c r="L638">
        <f>1/Table1[[#This Row],[odds_ft_away_team_win]]-Table1[[#This Row],[Margin]]</f>
        <v>0.20289466630930048</v>
      </c>
      <c r="M638">
        <v>14</v>
      </c>
      <c r="N638">
        <v>1.25</v>
      </c>
      <c r="O638">
        <v>1.31</v>
      </c>
      <c r="P638">
        <v>1.43</v>
      </c>
      <c r="Q638">
        <v>1.33</v>
      </c>
      <c r="R638" t="str" cm="1">
        <f t="array" ref="R6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8">
        <v>1</v>
      </c>
      <c r="T638">
        <v>3</v>
      </c>
      <c r="U638">
        <v>4</v>
      </c>
      <c r="V638">
        <v>1</v>
      </c>
      <c r="W638">
        <v>0</v>
      </c>
      <c r="X638">
        <v>1</v>
      </c>
      <c r="Y638">
        <v>48</v>
      </c>
      <c r="Z638" t="s">
        <v>1181</v>
      </c>
      <c r="AA638">
        <v>8</v>
      </c>
      <c r="AB638">
        <v>5</v>
      </c>
      <c r="AC638">
        <v>2</v>
      </c>
      <c r="AD638">
        <v>0</v>
      </c>
      <c r="AE638">
        <v>2</v>
      </c>
      <c r="AF638">
        <v>0</v>
      </c>
      <c r="AG638">
        <v>1</v>
      </c>
      <c r="AH638">
        <v>1</v>
      </c>
      <c r="AI638">
        <v>0</v>
      </c>
      <c r="AJ638">
        <v>2</v>
      </c>
      <c r="AK638">
        <v>17</v>
      </c>
      <c r="AL638">
        <v>13</v>
      </c>
      <c r="AM638">
        <v>5</v>
      </c>
      <c r="AN638">
        <v>7</v>
      </c>
      <c r="AO638">
        <v>12</v>
      </c>
      <c r="AP638">
        <v>6</v>
      </c>
      <c r="AQ638">
        <v>6</v>
      </c>
      <c r="AR638">
        <v>14</v>
      </c>
      <c r="AS638">
        <v>64</v>
      </c>
      <c r="AT638">
        <v>36</v>
      </c>
      <c r="AU638">
        <v>2</v>
      </c>
      <c r="AV638">
        <v>1.52</v>
      </c>
      <c r="AW638">
        <v>2.35</v>
      </c>
      <c r="AX638">
        <v>50</v>
      </c>
      <c r="AY638">
        <v>53</v>
      </c>
      <c r="AZ638">
        <v>35</v>
      </c>
      <c r="BA638">
        <v>22</v>
      </c>
      <c r="BB638">
        <v>13</v>
      </c>
      <c r="BC638">
        <v>28</v>
      </c>
      <c r="BD638">
        <v>72</v>
      </c>
      <c r="BE638">
        <v>32</v>
      </c>
      <c r="BF638">
        <v>63</v>
      </c>
      <c r="BG638">
        <v>9.25</v>
      </c>
      <c r="BH638">
        <v>4.88</v>
      </c>
      <c r="BI638">
        <v>1.75</v>
      </c>
      <c r="BJ638">
        <v>3.25</v>
      </c>
      <c r="BK638">
        <v>4.0999999999999996</v>
      </c>
      <c r="BL638">
        <f>(1/Table1[[#This Row],[odds_ft_home_team_win]]+1/Table1[[#This Row],[odds_ft_draw]]+1/Table1[[#This Row],[odds_ft_away_team_win]]-1)/3</f>
        <v>4.1007772715089784E-2</v>
      </c>
      <c r="BM638">
        <v>1.35</v>
      </c>
      <c r="BN638">
        <v>2.08</v>
      </c>
      <c r="BO638">
        <v>3.6</v>
      </c>
      <c r="BP638">
        <v>7.25</v>
      </c>
      <c r="BQ638">
        <v>1.95</v>
      </c>
      <c r="BR638">
        <v>1.77</v>
      </c>
      <c r="BS638" t="s">
        <v>88</v>
      </c>
      <c r="BT638">
        <f>VLOOKUP(Table1[[#This Row],[Reference]],metron,8,FALSE)</f>
        <v>1.915666026436746</v>
      </c>
      <c r="BU638">
        <f>VLOOKUP(Table1[[#This Row],[Reference]],metron,9,FALSE)</f>
        <v>0.82283834599204153</v>
      </c>
      <c r="BV638">
        <f>VLOOKUP(Table1[[#This Row],[Reference]],metron,10,FALSE)</f>
        <v>2.6359702267612941</v>
      </c>
      <c r="BW638">
        <f>VLOOKUP(Table1[[#This Row],[Reference]],metron,11,FALSE)</f>
        <v>1.684957590444867</v>
      </c>
      <c r="BX638">
        <f>VLOOKUP(Table1[[#This Row],[Reference]],metron,12,FALSE)</f>
        <v>0.95101263631642718</v>
      </c>
      <c r="BY638" s="6">
        <f>VLOOKUP(Table1[[#This Row],[Reference]],metron,13,FALSE)</f>
        <v>0.72650164445213783</v>
      </c>
      <c r="BZ638" s="6">
        <f>VLOOKUP(Table1[[#This Row],[Reference]],metron,14,FALSE)</f>
        <v>0.42097974727367138</v>
      </c>
      <c r="CA638" s="6">
        <f>VLOOKUP(Table1[[#This Row],[Reference]],metron,15,FALSE)</f>
        <v>13.338806970509379</v>
      </c>
      <c r="CB638" s="6">
        <f>VLOOKUP(Table1[[#This Row],[Reference]],metron,16,FALSE)</f>
        <v>9.2530160857908843</v>
      </c>
      <c r="CC638" s="6">
        <f>VLOOKUP(Table1[[#This Row],[Reference]],metron,17,FALSE)</f>
        <v>5.9915081521739131</v>
      </c>
      <c r="CD638" s="6">
        <f>VLOOKUP(Table1[[#This Row],[Reference]],metron,18,FALSE)</f>
        <v>3.9772418478260869</v>
      </c>
      <c r="CE638" s="6">
        <f>VLOOKUP(Table1[[#This Row],[Reference]],metron,19,FALSE)</f>
        <v>7.3472988183354664</v>
      </c>
      <c r="CF638" s="6">
        <f>VLOOKUP(Table1[[#This Row],[Reference]],metron,20,FALSE)</f>
        <v>5.2757742379647974</v>
      </c>
      <c r="CG638" s="6">
        <f>VLOOKUP(Table1[[#This Row],[Reference]],metron,21,FALSE)</f>
        <v>12.59428182437032</v>
      </c>
      <c r="CH638" s="6">
        <f>VLOOKUP(Table1[[#This Row],[Reference]],metron,22,FALSE)</f>
        <v>13.577944179714089</v>
      </c>
      <c r="CI638" s="6">
        <f>VLOOKUP(Table1[[#This Row],[Reference]],metron,23,FALSE)</f>
        <v>1.4276913099870301</v>
      </c>
      <c r="CJ638" s="6">
        <f>VLOOKUP(Table1[[#This Row],[Reference]],metron,24,FALSE)</f>
        <v>1.940985732814527</v>
      </c>
      <c r="CK638" s="6">
        <f>VLOOKUP(Table1[[#This Row],[Reference]],metron,25,FALSE)</f>
        <v>8.0739299610894946E-2</v>
      </c>
      <c r="CL638" s="6">
        <f>VLOOKUP(Table1[[#This Row],[Reference]],metron,26,FALSE)</f>
        <v>0.12743190661478601</v>
      </c>
    </row>
    <row r="639" spans="1:90" x14ac:dyDescent="0.45">
      <c r="A639" t="s">
        <v>1256</v>
      </c>
      <c r="B639">
        <v>1618452000</v>
      </c>
      <c r="C639" s="23" t="s">
        <v>1182</v>
      </c>
      <c r="D639" t="s">
        <v>65</v>
      </c>
      <c r="E639" t="s">
        <v>66</v>
      </c>
      <c r="F639" t="s">
        <v>78</v>
      </c>
      <c r="G639" t="s">
        <v>107</v>
      </c>
      <c r="H639" t="s">
        <v>215</v>
      </c>
      <c r="I639">
        <f>MROUND(Table1[[#This Row],[ProbH]]*100,2)/100</f>
        <v>0.28000000000000003</v>
      </c>
      <c r="J639">
        <f>1/Table1[[#This Row],[odds_ft_home_team_win]]-Table1[[#This Row],[Margin]]</f>
        <v>0.28261069111805531</v>
      </c>
      <c r="K639">
        <f>1/Table1[[#This Row],[odds_ft_draw]]-Table1[[#This Row],[Margin]]</f>
        <v>0.26665536602830664</v>
      </c>
      <c r="L639">
        <f>1/Table1[[#This Row],[odds_ft_away_team_win]]-Table1[[#This Row],[Margin]]</f>
        <v>0.45073394285363805</v>
      </c>
      <c r="M639">
        <v>5</v>
      </c>
      <c r="N639">
        <v>1.4</v>
      </c>
      <c r="O639">
        <v>1.53</v>
      </c>
      <c r="P639">
        <v>1.41</v>
      </c>
      <c r="Q639">
        <v>1.47</v>
      </c>
      <c r="R639" t="str" cm="1">
        <f t="array" ref="R6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9">
        <v>2</v>
      </c>
      <c r="T639">
        <v>3</v>
      </c>
      <c r="U639">
        <v>5</v>
      </c>
      <c r="V639">
        <v>0</v>
      </c>
      <c r="W639">
        <v>0</v>
      </c>
      <c r="X639">
        <v>0</v>
      </c>
      <c r="Y639" t="s">
        <v>1183</v>
      </c>
      <c r="Z639" t="s">
        <v>1184</v>
      </c>
      <c r="AA639">
        <v>5</v>
      </c>
      <c r="AB639">
        <v>3</v>
      </c>
      <c r="AC639">
        <v>3</v>
      </c>
      <c r="AD639">
        <v>0</v>
      </c>
      <c r="AE639">
        <v>2</v>
      </c>
      <c r="AF639">
        <v>0</v>
      </c>
      <c r="AG639">
        <v>2</v>
      </c>
      <c r="AH639">
        <v>1</v>
      </c>
      <c r="AI639">
        <v>0</v>
      </c>
      <c r="AJ639">
        <v>2</v>
      </c>
      <c r="AK639">
        <v>11</v>
      </c>
      <c r="AL639">
        <v>13</v>
      </c>
      <c r="AM639">
        <v>6</v>
      </c>
      <c r="AN639">
        <v>7</v>
      </c>
      <c r="AO639">
        <v>5</v>
      </c>
      <c r="AP639">
        <v>6</v>
      </c>
      <c r="AQ639">
        <v>8</v>
      </c>
      <c r="AR639">
        <v>8</v>
      </c>
      <c r="AS639">
        <v>31</v>
      </c>
      <c r="AT639">
        <v>69</v>
      </c>
      <c r="AU639">
        <v>1.4</v>
      </c>
      <c r="AV639">
        <v>1.68</v>
      </c>
      <c r="AW639">
        <v>1.97</v>
      </c>
      <c r="AX639">
        <v>40</v>
      </c>
      <c r="AY639">
        <v>60</v>
      </c>
      <c r="AZ639">
        <v>20</v>
      </c>
      <c r="BA639">
        <v>14</v>
      </c>
      <c r="BB639">
        <v>7</v>
      </c>
      <c r="BC639">
        <v>17</v>
      </c>
      <c r="BD639">
        <v>50</v>
      </c>
      <c r="BE639">
        <v>34</v>
      </c>
      <c r="BF639">
        <v>80</v>
      </c>
      <c r="BG639">
        <v>10</v>
      </c>
      <c r="BH639">
        <v>4.26</v>
      </c>
      <c r="BI639">
        <v>3.27</v>
      </c>
      <c r="BJ639">
        <v>3.45</v>
      </c>
      <c r="BK639">
        <v>2.11</v>
      </c>
      <c r="BL639">
        <f>(1/Table1[[#This Row],[odds_ft_home_team_win]]+1/Table1[[#This Row],[odds_ft_draw]]+1/Table1[[#This Row],[odds_ft_away_team_win]]-1)/3</f>
        <v>2.3199706435461504E-2</v>
      </c>
      <c r="BM639">
        <v>1.35</v>
      </c>
      <c r="BN639">
        <v>2.0699999999999998</v>
      </c>
      <c r="BO639">
        <v>3.73</v>
      </c>
      <c r="BP639">
        <v>6.5</v>
      </c>
      <c r="BQ639">
        <v>1.8</v>
      </c>
      <c r="BR639">
        <v>1.91</v>
      </c>
      <c r="BS639" t="s">
        <v>82</v>
      </c>
      <c r="BT639">
        <f>VLOOKUP(Table1[[#This Row],[Reference]],metron,8,FALSE)</f>
        <v>1.1529533168233341</v>
      </c>
      <c r="BU639">
        <f>VLOOKUP(Table1[[#This Row],[Reference]],metron,9,FALSE)</f>
        <v>1.5628535554286829</v>
      </c>
      <c r="BV639">
        <f>VLOOKUP(Table1[[#This Row],[Reference]],metron,10,FALSE)</f>
        <v>2.5445607358071678</v>
      </c>
      <c r="BW639">
        <f>VLOOKUP(Table1[[#This Row],[Reference]],metron,11,FALSE)</f>
        <v>1.128766254360926</v>
      </c>
      <c r="BX639">
        <f>VLOOKUP(Table1[[#This Row],[Reference]],metron,12,FALSE)</f>
        <v>1.415794481446242</v>
      </c>
      <c r="BY639" s="6">
        <f>VLOOKUP(Table1[[#This Row],[Reference]],metron,13,FALSE)</f>
        <v>0.49635267998731369</v>
      </c>
      <c r="BZ639" s="6">
        <f>VLOOKUP(Table1[[#This Row],[Reference]],metron,14,FALSE)</f>
        <v>0.61084681255946716</v>
      </c>
      <c r="CA639" s="6">
        <f>VLOOKUP(Table1[[#This Row],[Reference]],metron,15,FALSE)</f>
        <v>11.04442036836403</v>
      </c>
      <c r="CB639" s="6">
        <f>VLOOKUP(Table1[[#This Row],[Reference]],metron,16,FALSE)</f>
        <v>11.38840736728061</v>
      </c>
      <c r="CC639" s="6">
        <f>VLOOKUP(Table1[[#This Row],[Reference]],metron,17,FALSE)</f>
        <v>4.5379574003276897</v>
      </c>
      <c r="CD639" s="6">
        <f>VLOOKUP(Table1[[#This Row],[Reference]],metron,18,FALSE)</f>
        <v>4.8481703986892413</v>
      </c>
      <c r="CE639" s="6">
        <f>VLOOKUP(Table1[[#This Row],[Reference]],metron,19,FALSE)</f>
        <v>6.5064629680363399</v>
      </c>
      <c r="CF639" s="6">
        <f>VLOOKUP(Table1[[#This Row],[Reference]],metron,20,FALSE)</f>
        <v>6.540236968591369</v>
      </c>
      <c r="CG639" s="6">
        <f>VLOOKUP(Table1[[#This Row],[Reference]],metron,21,FALSE)</f>
        <v>13.117582417582421</v>
      </c>
      <c r="CH639" s="6">
        <f>VLOOKUP(Table1[[#This Row],[Reference]],metron,22,FALSE)</f>
        <v>13.28241758241758</v>
      </c>
      <c r="CI639" s="6">
        <f>VLOOKUP(Table1[[#This Row],[Reference]],metron,23,FALSE)</f>
        <v>1.792592592592593</v>
      </c>
      <c r="CJ639" s="6">
        <f>VLOOKUP(Table1[[#This Row],[Reference]],metron,24,FALSE)</f>
        <v>1.806980433632998</v>
      </c>
      <c r="CK639" s="6">
        <f>VLOOKUP(Table1[[#This Row],[Reference]],metron,25,FALSE)</f>
        <v>0.1047065044949762</v>
      </c>
      <c r="CL639" s="6">
        <f>VLOOKUP(Table1[[#This Row],[Reference]],metron,26,FALSE)</f>
        <v>0.1073506081438392</v>
      </c>
    </row>
    <row r="640" spans="1:90" x14ac:dyDescent="0.45">
      <c r="A640" t="s">
        <v>1256</v>
      </c>
      <c r="B640">
        <v>1618619400</v>
      </c>
      <c r="C640" s="23" t="s">
        <v>1185</v>
      </c>
      <c r="D640" t="s">
        <v>65</v>
      </c>
      <c r="E640" t="s">
        <v>66</v>
      </c>
      <c r="F640" t="s">
        <v>72</v>
      </c>
      <c r="G640" t="s">
        <v>67</v>
      </c>
      <c r="H640" t="s">
        <v>184</v>
      </c>
      <c r="I640">
        <f>MROUND(Table1[[#This Row],[ProbH]]*100,2)/100</f>
        <v>0.42</v>
      </c>
      <c r="J640">
        <f>1/Table1[[#This Row],[odds_ft_home_team_win]]-Table1[[#This Row],[Margin]]</f>
        <v>0.41750841750841755</v>
      </c>
      <c r="K640">
        <f>1/Table1[[#This Row],[odds_ft_draw]]-Table1[[#This Row],[Margin]]</f>
        <v>0.27609427609427617</v>
      </c>
      <c r="L640">
        <f>1/Table1[[#This Row],[odds_ft_away_team_win]]-Table1[[#This Row],[Margin]]</f>
        <v>0.30639730639730645</v>
      </c>
      <c r="M640">
        <v>15</v>
      </c>
      <c r="N640">
        <v>1.4</v>
      </c>
      <c r="O640">
        <v>0.13</v>
      </c>
      <c r="P640">
        <v>1.29</v>
      </c>
      <c r="Q640">
        <v>0.17</v>
      </c>
      <c r="R640" t="str" cm="1">
        <f t="array" ref="R6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A640">
        <v>9</v>
      </c>
      <c r="AB640">
        <v>5</v>
      </c>
      <c r="AC640">
        <v>0</v>
      </c>
      <c r="AD640">
        <v>0</v>
      </c>
      <c r="AE640">
        <v>2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17</v>
      </c>
      <c r="AL640">
        <v>8</v>
      </c>
      <c r="AM640">
        <v>3</v>
      </c>
      <c r="AN640">
        <v>0</v>
      </c>
      <c r="AO640">
        <v>14</v>
      </c>
      <c r="AP640">
        <v>8</v>
      </c>
      <c r="AQ640">
        <v>15</v>
      </c>
      <c r="AR640">
        <v>14</v>
      </c>
      <c r="AS640">
        <v>56</v>
      </c>
      <c r="AT640">
        <v>44</v>
      </c>
      <c r="AU640">
        <v>1.56</v>
      </c>
      <c r="AV640">
        <v>0.71</v>
      </c>
      <c r="AW640">
        <v>2.67</v>
      </c>
      <c r="AX640">
        <v>54</v>
      </c>
      <c r="AY640">
        <v>74</v>
      </c>
      <c r="AZ640">
        <v>53</v>
      </c>
      <c r="BA640">
        <v>23</v>
      </c>
      <c r="BB640">
        <v>14</v>
      </c>
      <c r="BC640">
        <v>40</v>
      </c>
      <c r="BD640">
        <v>80</v>
      </c>
      <c r="BE640">
        <v>27</v>
      </c>
      <c r="BF640">
        <v>77</v>
      </c>
      <c r="BG640">
        <v>8.34</v>
      </c>
      <c r="BH640">
        <v>5.53</v>
      </c>
      <c r="BI640">
        <v>2.25</v>
      </c>
      <c r="BJ640">
        <v>3.3</v>
      </c>
      <c r="BK640">
        <v>3</v>
      </c>
      <c r="BL640">
        <f>(1/Table1[[#This Row],[odds_ft_home_team_win]]+1/Table1[[#This Row],[odds_ft_draw]]+1/Table1[[#This Row],[odds_ft_away_team_win]]-1)/3</f>
        <v>2.6936026936026886E-2</v>
      </c>
      <c r="BM640">
        <v>1.33</v>
      </c>
      <c r="BN640">
        <v>1.91</v>
      </c>
      <c r="BO640">
        <v>3.3</v>
      </c>
      <c r="BP640">
        <v>6.5</v>
      </c>
      <c r="BQ640">
        <v>1.8</v>
      </c>
      <c r="BR640">
        <v>1.95</v>
      </c>
      <c r="BS640" t="s">
        <v>76</v>
      </c>
      <c r="BT640">
        <f>VLOOKUP(Table1[[#This Row],[Reference]],metron,8,FALSE)</f>
        <v>1.5780106027030405</v>
      </c>
      <c r="BU640">
        <f>VLOOKUP(Table1[[#This Row],[Reference]],metron,9,FALSE)</f>
        <v>1.1353025412447635</v>
      </c>
      <c r="BV640">
        <f>VLOOKUP(Table1[[#This Row],[Reference]],metron,10,FALSE)</f>
        <v>2.4884649511978703</v>
      </c>
      <c r="BW640">
        <f>VLOOKUP(Table1[[#This Row],[Reference]],metron,11,FALSE)</f>
        <v>1.396960958296362</v>
      </c>
      <c r="BX640">
        <f>VLOOKUP(Table1[[#This Row],[Reference]],metron,12,FALSE)</f>
        <v>1.091503992901508</v>
      </c>
      <c r="BY640" s="6">
        <f>VLOOKUP(Table1[[#This Row],[Reference]],metron,13,FALSE)</f>
        <v>0.60765391014975045</v>
      </c>
      <c r="BZ640" s="6">
        <f>VLOOKUP(Table1[[#This Row],[Reference]],metron,14,FALSE)</f>
        <v>0.47276760953965608</v>
      </c>
      <c r="CA640" s="6">
        <f>VLOOKUP(Table1[[#This Row],[Reference]],metron,15,FALSE)</f>
        <v>12.29504785684561</v>
      </c>
      <c r="CB640" s="6">
        <f>VLOOKUP(Table1[[#This Row],[Reference]],metron,16,FALSE)</f>
        <v>10.047232625884311</v>
      </c>
      <c r="CC640" s="6">
        <f>VLOOKUP(Table1[[#This Row],[Reference]],metron,17,FALSE)</f>
        <v>5.2917192097519967</v>
      </c>
      <c r="CD640" s="6">
        <f>VLOOKUP(Table1[[#This Row],[Reference]],metron,18,FALSE)</f>
        <v>4.2580916351408158</v>
      </c>
      <c r="CE640" s="6">
        <f>VLOOKUP(Table1[[#This Row],[Reference]],metron,19,FALSE)</f>
        <v>7.0033286470936131</v>
      </c>
      <c r="CF640" s="6">
        <f>VLOOKUP(Table1[[#This Row],[Reference]],metron,20,FALSE)</f>
        <v>5.789140990743495</v>
      </c>
      <c r="CG640" s="6">
        <f>VLOOKUP(Table1[[#This Row],[Reference]],metron,21,FALSE)</f>
        <v>12.77041895895049</v>
      </c>
      <c r="CH640" s="6">
        <f>VLOOKUP(Table1[[#This Row],[Reference]],metron,22,FALSE)</f>
        <v>13.411129919593741</v>
      </c>
      <c r="CI640" s="6">
        <f>VLOOKUP(Table1[[#This Row],[Reference]],metron,23,FALSE)</f>
        <v>1.556141062018646</v>
      </c>
      <c r="CJ640" s="6">
        <f>VLOOKUP(Table1[[#This Row],[Reference]],metron,24,FALSE)</f>
        <v>1.9114308877178761</v>
      </c>
      <c r="CK640" s="6">
        <f>VLOOKUP(Table1[[#This Row],[Reference]],metron,25,FALSE)</f>
        <v>8.4920956627482766E-2</v>
      </c>
      <c r="CL640" s="6">
        <f>VLOOKUP(Table1[[#This Row],[Reference]],metron,26,FALSE)</f>
        <v>0.1323469801378192</v>
      </c>
    </row>
    <row r="641" spans="1:90" x14ac:dyDescent="0.45">
      <c r="A641" t="s">
        <v>1256</v>
      </c>
      <c r="B641">
        <v>1618626600</v>
      </c>
      <c r="C641" s="23" t="s">
        <v>1186</v>
      </c>
      <c r="D641" t="s">
        <v>65</v>
      </c>
      <c r="E641" t="s">
        <v>66</v>
      </c>
      <c r="F641" t="s">
        <v>113</v>
      </c>
      <c r="G641" t="s">
        <v>97</v>
      </c>
      <c r="H641" t="s">
        <v>69</v>
      </c>
      <c r="I641">
        <f>MROUND(Table1[[#This Row],[ProbH]]*100,2)/100</f>
        <v>0.36</v>
      </c>
      <c r="J641">
        <f>1/Table1[[#This Row],[odds_ft_home_team_win]]-Table1[[#This Row],[Margin]]</f>
        <v>0.35086872418573767</v>
      </c>
      <c r="K641">
        <f>1/Table1[[#This Row],[odds_ft_draw]]-Table1[[#This Row],[Margin]]</f>
        <v>0.27696601870408483</v>
      </c>
      <c r="L641">
        <f>1/Table1[[#This Row],[odds_ft_away_team_win]]-Table1[[#This Row],[Margin]]</f>
        <v>0.37216525711017756</v>
      </c>
      <c r="M641">
        <v>15</v>
      </c>
      <c r="N641">
        <v>1.47</v>
      </c>
      <c r="O641">
        <v>1</v>
      </c>
      <c r="P641">
        <v>1.53</v>
      </c>
      <c r="Q641">
        <v>1.06</v>
      </c>
      <c r="R641" t="str" cm="1">
        <f t="array" ref="R6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AA641">
        <v>2</v>
      </c>
      <c r="AB641">
        <v>5</v>
      </c>
      <c r="AC641">
        <v>2</v>
      </c>
      <c r="AD641">
        <v>0</v>
      </c>
      <c r="AE641">
        <v>2</v>
      </c>
      <c r="AF641">
        <v>0</v>
      </c>
      <c r="AG641">
        <v>1</v>
      </c>
      <c r="AH641">
        <v>1</v>
      </c>
      <c r="AI641">
        <v>2</v>
      </c>
      <c r="AJ641">
        <v>0</v>
      </c>
      <c r="AK641">
        <v>4</v>
      </c>
      <c r="AL641">
        <v>12</v>
      </c>
      <c r="AM641">
        <v>2</v>
      </c>
      <c r="AN641">
        <v>5</v>
      </c>
      <c r="AO641">
        <v>2</v>
      </c>
      <c r="AP641">
        <v>7</v>
      </c>
      <c r="AQ641">
        <v>18</v>
      </c>
      <c r="AR641">
        <v>14</v>
      </c>
      <c r="AS641">
        <v>34</v>
      </c>
      <c r="AT641">
        <v>66</v>
      </c>
      <c r="AU641">
        <v>0.56000000000000005</v>
      </c>
      <c r="AV641">
        <v>1.58</v>
      </c>
      <c r="AW641">
        <v>2.2400000000000002</v>
      </c>
      <c r="AX641">
        <v>50</v>
      </c>
      <c r="AY641">
        <v>57</v>
      </c>
      <c r="AZ641">
        <v>40</v>
      </c>
      <c r="BA641">
        <v>24</v>
      </c>
      <c r="BB641">
        <v>20</v>
      </c>
      <c r="BC641">
        <v>47</v>
      </c>
      <c r="BD641">
        <v>63</v>
      </c>
      <c r="BE641">
        <v>27</v>
      </c>
      <c r="BF641">
        <v>57</v>
      </c>
      <c r="BG641">
        <v>9.1300000000000008</v>
      </c>
      <c r="BH641">
        <v>4.8</v>
      </c>
      <c r="BI641">
        <v>2.73</v>
      </c>
      <c r="BJ641">
        <v>3.42</v>
      </c>
      <c r="BK641">
        <v>2.58</v>
      </c>
      <c r="BL641">
        <f>(1/Table1[[#This Row],[odds_ft_home_team_win]]+1/Table1[[#This Row],[odds_ft_draw]]+1/Table1[[#This Row],[odds_ft_away_team_win]]-1)/3</f>
        <v>1.5431642114628627E-2</v>
      </c>
      <c r="BM641">
        <v>1.3</v>
      </c>
      <c r="BN641">
        <v>2</v>
      </c>
      <c r="BO641">
        <v>3.3</v>
      </c>
      <c r="BP641">
        <v>6.5</v>
      </c>
      <c r="BQ641">
        <v>1.77</v>
      </c>
      <c r="BR641">
        <v>1.95</v>
      </c>
      <c r="BS641" t="s">
        <v>120</v>
      </c>
      <c r="BT641">
        <f>VLOOKUP(Table1[[#This Row],[Reference]],metron,8,FALSE)</f>
        <v>1.4023864615972674</v>
      </c>
      <c r="BU641">
        <f>VLOOKUP(Table1[[#This Row],[Reference]],metron,9,FALSE)</f>
        <v>1.3093265904245279</v>
      </c>
      <c r="BV641">
        <f>VLOOKUP(Table1[[#This Row],[Reference]],metron,10,FALSE)</f>
        <v>2.5110350525197691</v>
      </c>
      <c r="BW641">
        <f>VLOOKUP(Table1[[#This Row],[Reference]],metron,11,FALSE)</f>
        <v>1.269326094653606</v>
      </c>
      <c r="BX641">
        <f>VLOOKUP(Table1[[#This Row],[Reference]],metron,12,FALSE)</f>
        <v>1.2417089578661631</v>
      </c>
      <c r="BY641" s="6">
        <f>VLOOKUP(Table1[[#This Row],[Reference]],metron,13,FALSE)</f>
        <v>0.56586402266288949</v>
      </c>
      <c r="BZ641" s="6">
        <f>VLOOKUP(Table1[[#This Row],[Reference]],metron,14,FALSE)</f>
        <v>0.55158168083097259</v>
      </c>
      <c r="CA641" s="6">
        <f>VLOOKUP(Table1[[#This Row],[Reference]],metron,15,FALSE)</f>
        <v>11.49400826446281</v>
      </c>
      <c r="CB641" s="6">
        <f>VLOOKUP(Table1[[#This Row],[Reference]],metron,16,FALSE)</f>
        <v>10.507231404958681</v>
      </c>
      <c r="CC641" s="6">
        <f>VLOOKUP(Table1[[#This Row],[Reference]],metron,17,FALSE)</f>
        <v>4.9238790406673623</v>
      </c>
      <c r="CD641" s="6">
        <f>VLOOKUP(Table1[[#This Row],[Reference]],metron,18,FALSE)</f>
        <v>4.6296141814389991</v>
      </c>
      <c r="CE641" s="6">
        <f>VLOOKUP(Table1[[#This Row],[Reference]],metron,19,FALSE)</f>
        <v>6.5701292237954476</v>
      </c>
      <c r="CF641" s="6">
        <f>VLOOKUP(Table1[[#This Row],[Reference]],metron,20,FALSE)</f>
        <v>5.8776172235196817</v>
      </c>
      <c r="CG641" s="6">
        <f>VLOOKUP(Table1[[#This Row],[Reference]],metron,21,FALSE)</f>
        <v>12.798739495798319</v>
      </c>
      <c r="CH641" s="6">
        <f>VLOOKUP(Table1[[#This Row],[Reference]],metron,22,FALSE)</f>
        <v>12.98844537815126</v>
      </c>
      <c r="CI641" s="6">
        <f>VLOOKUP(Table1[[#This Row],[Reference]],metron,23,FALSE)</f>
        <v>1.604928297313674</v>
      </c>
      <c r="CJ641" s="6">
        <f>VLOOKUP(Table1[[#This Row],[Reference]],metron,24,FALSE)</f>
        <v>1.791961219955565</v>
      </c>
      <c r="CK641" s="6">
        <f>VLOOKUP(Table1[[#This Row],[Reference]],metron,25,FALSE)</f>
        <v>8.887093516461321E-2</v>
      </c>
      <c r="CL641" s="6">
        <f>VLOOKUP(Table1[[#This Row],[Reference]],metron,26,FALSE)</f>
        <v>0.11694607150070691</v>
      </c>
    </row>
    <row r="642" spans="1:90" x14ac:dyDescent="0.45">
      <c r="A642" t="s">
        <v>1256</v>
      </c>
      <c r="B642">
        <v>1618696800</v>
      </c>
      <c r="C642" s="23" t="s">
        <v>1187</v>
      </c>
      <c r="D642" t="s">
        <v>65</v>
      </c>
      <c r="E642" t="s">
        <v>66</v>
      </c>
      <c r="F642" t="s">
        <v>91</v>
      </c>
      <c r="G642" t="s">
        <v>102</v>
      </c>
      <c r="H642" t="s">
        <v>158</v>
      </c>
      <c r="I642">
        <f>MROUND(Table1[[#This Row],[ProbH]]*100,2)/100</f>
        <v>0.32</v>
      </c>
      <c r="J642">
        <f>1/Table1[[#This Row],[odds_ft_home_team_win]]-Table1[[#This Row],[Margin]]</f>
        <v>0.32955404383975812</v>
      </c>
      <c r="K642">
        <f>1/Table1[[#This Row],[odds_ft_draw]]-Table1[[#This Row],[Margin]]</f>
        <v>0.28987150415721841</v>
      </c>
      <c r="L642">
        <f>1/Table1[[#This Row],[odds_ft_away_team_win]]-Table1[[#This Row],[Margin]]</f>
        <v>0.38057445200302337</v>
      </c>
      <c r="M642">
        <v>15</v>
      </c>
      <c r="N642">
        <v>1.1299999999999999</v>
      </c>
      <c r="O642">
        <v>1.41</v>
      </c>
      <c r="P642">
        <v>1</v>
      </c>
      <c r="Q642">
        <v>1.33</v>
      </c>
      <c r="R642" s="9" t="str" cm="1">
        <f t="array" ref="R6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42">
        <v>1</v>
      </c>
      <c r="T642">
        <v>4</v>
      </c>
      <c r="U642">
        <v>5</v>
      </c>
      <c r="V642">
        <v>1</v>
      </c>
      <c r="W642">
        <v>0</v>
      </c>
      <c r="X642">
        <v>1</v>
      </c>
      <c r="Y642">
        <v>67</v>
      </c>
      <c r="Z642" t="s">
        <v>1188</v>
      </c>
      <c r="AA642">
        <v>5</v>
      </c>
      <c r="AB642">
        <v>8</v>
      </c>
      <c r="AC642">
        <v>2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12</v>
      </c>
      <c r="AL642">
        <v>19</v>
      </c>
      <c r="AM642">
        <v>6</v>
      </c>
      <c r="AN642">
        <v>6</v>
      </c>
      <c r="AO642">
        <v>6</v>
      </c>
      <c r="AP642">
        <v>13</v>
      </c>
      <c r="AQ642">
        <v>10</v>
      </c>
      <c r="AR642">
        <v>9</v>
      </c>
      <c r="AS642">
        <v>46</v>
      </c>
      <c r="AT642">
        <v>54</v>
      </c>
      <c r="AU642">
        <v>1.47</v>
      </c>
      <c r="AV642">
        <v>1.88</v>
      </c>
      <c r="AW642">
        <v>2.75</v>
      </c>
      <c r="AX642">
        <v>60</v>
      </c>
      <c r="AY642">
        <v>70</v>
      </c>
      <c r="AZ642">
        <v>54</v>
      </c>
      <c r="BA642">
        <v>34</v>
      </c>
      <c r="BB642">
        <v>13</v>
      </c>
      <c r="BC642">
        <v>41</v>
      </c>
      <c r="BD642">
        <v>85</v>
      </c>
      <c r="BE642">
        <v>37</v>
      </c>
      <c r="BF642">
        <v>66</v>
      </c>
      <c r="BG642">
        <v>9.4700000000000006</v>
      </c>
      <c r="BH642">
        <v>5.67</v>
      </c>
      <c r="BI642">
        <v>2.8</v>
      </c>
      <c r="BJ642">
        <v>3.15</v>
      </c>
      <c r="BK642">
        <v>2.4500000000000002</v>
      </c>
      <c r="BL642">
        <f>(1/Table1[[#This Row],[odds_ft_home_team_win]]+1/Table1[[#This Row],[odds_ft_draw]]+1/Table1[[#This Row],[odds_ft_away_team_win]]-1)/3</f>
        <v>2.7588813303099036E-2</v>
      </c>
      <c r="BM642">
        <v>1.34</v>
      </c>
      <c r="BN642">
        <v>1.95</v>
      </c>
      <c r="BO642">
        <v>3.2</v>
      </c>
      <c r="BP642">
        <v>6.25</v>
      </c>
      <c r="BQ642">
        <v>1.74</v>
      </c>
      <c r="BR642">
        <v>2</v>
      </c>
      <c r="BS642" t="s">
        <v>144</v>
      </c>
      <c r="BT642">
        <f>VLOOKUP(Table1[[#This Row],[Reference]],metron,8,FALSE)</f>
        <v>1.274681051426811</v>
      </c>
      <c r="BU642">
        <f>VLOOKUP(Table1[[#This Row],[Reference]],metron,9,FALSE)</f>
        <v>1.4392482240810365</v>
      </c>
      <c r="BV642">
        <f>VLOOKUP(Table1[[#This Row],[Reference]],metron,10,FALSE)</f>
        <v>2.5313454284174597</v>
      </c>
      <c r="BW642">
        <f>VLOOKUP(Table1[[#This Row],[Reference]],metron,11,FALSE)</f>
        <v>1.210167055864918</v>
      </c>
      <c r="BX642">
        <f>VLOOKUP(Table1[[#This Row],[Reference]],metron,12,FALSE)</f>
        <v>1.3211783725525419</v>
      </c>
      <c r="BY642" s="6">
        <f>VLOOKUP(Table1[[#This Row],[Reference]],metron,13,FALSE)</f>
        <v>0.53135669362084459</v>
      </c>
      <c r="BZ642" s="6">
        <f>VLOOKUP(Table1[[#This Row],[Reference]],metron,14,FALSE)</f>
        <v>0.55633423180592989</v>
      </c>
      <c r="CA642" s="6">
        <f>VLOOKUP(Table1[[#This Row],[Reference]],metron,15,FALSE)</f>
        <v>11.21109010712035</v>
      </c>
      <c r="CB642" s="6">
        <f>VLOOKUP(Table1[[#This Row],[Reference]],metron,16,FALSE)</f>
        <v>11.01700787401575</v>
      </c>
      <c r="CC642" s="6">
        <f>VLOOKUP(Table1[[#This Row],[Reference]],metron,17,FALSE)</f>
        <v>4.6792332268370611</v>
      </c>
      <c r="CD642" s="6">
        <f>VLOOKUP(Table1[[#This Row],[Reference]],metron,18,FALSE)</f>
        <v>4.7080804854679013</v>
      </c>
      <c r="CE642" s="6">
        <f>VLOOKUP(Table1[[#This Row],[Reference]],metron,19,FALSE)</f>
        <v>6.5318568802832893</v>
      </c>
      <c r="CF642" s="6">
        <f>VLOOKUP(Table1[[#This Row],[Reference]],metron,20,FALSE)</f>
        <v>6.3089273885478487</v>
      </c>
      <c r="CG642" s="6">
        <f>VLOOKUP(Table1[[#This Row],[Reference]],metron,21,FALSE)</f>
        <v>12.72547770700637</v>
      </c>
      <c r="CH642" s="6">
        <f>VLOOKUP(Table1[[#This Row],[Reference]],metron,22,FALSE)</f>
        <v>13.06847133757962</v>
      </c>
      <c r="CI642" s="6">
        <f>VLOOKUP(Table1[[#This Row],[Reference]],metron,23,FALSE)</f>
        <v>1.6902356902356901</v>
      </c>
      <c r="CJ642" s="6">
        <f>VLOOKUP(Table1[[#This Row],[Reference]],metron,24,FALSE)</f>
        <v>1.8050198959289869</v>
      </c>
      <c r="CK642" s="6">
        <f>VLOOKUP(Table1[[#This Row],[Reference]],metron,25,FALSE)</f>
        <v>0.105907560453015</v>
      </c>
      <c r="CL642" s="6">
        <f>VLOOKUP(Table1[[#This Row],[Reference]],metron,26,FALSE)</f>
        <v>0.1141720232629324</v>
      </c>
    </row>
    <row r="643" spans="1:90" x14ac:dyDescent="0.45">
      <c r="A643" t="s">
        <v>1256</v>
      </c>
      <c r="B643">
        <v>1618704000</v>
      </c>
      <c r="C643" s="23" t="s">
        <v>1189</v>
      </c>
      <c r="D643" t="s">
        <v>65</v>
      </c>
      <c r="E643" t="s">
        <v>66</v>
      </c>
      <c r="F643" t="s">
        <v>90</v>
      </c>
      <c r="G643" t="s">
        <v>106</v>
      </c>
      <c r="H643" t="s">
        <v>114</v>
      </c>
      <c r="I643">
        <f>MROUND(Table1[[#This Row],[ProbH]]*100,2)/100</f>
        <v>0.44</v>
      </c>
      <c r="J643">
        <f>1/Table1[[#This Row],[odds_ft_home_team_win]]-Table1[[#This Row],[Margin]]</f>
        <v>0.44246031746031739</v>
      </c>
      <c r="K643">
        <f>1/Table1[[#This Row],[odds_ft_draw]]-Table1[[#This Row],[Margin]]</f>
        <v>0.27876984126984122</v>
      </c>
      <c r="L643">
        <f>1/Table1[[#This Row],[odds_ft_away_team_win]]-Table1[[#This Row],[Margin]]</f>
        <v>0.27876984126984122</v>
      </c>
      <c r="M643">
        <v>15</v>
      </c>
      <c r="N643">
        <v>1.56</v>
      </c>
      <c r="O643">
        <v>0.47</v>
      </c>
      <c r="P643">
        <v>1.6</v>
      </c>
      <c r="Q643">
        <v>0.47</v>
      </c>
      <c r="R643" t="str" cm="1">
        <f t="array" ref="R6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43">
        <v>2</v>
      </c>
      <c r="T643">
        <v>0</v>
      </c>
      <c r="U643">
        <v>2</v>
      </c>
      <c r="V643">
        <v>0</v>
      </c>
      <c r="W643">
        <v>0</v>
      </c>
      <c r="X643">
        <v>0</v>
      </c>
      <c r="Y643" t="s">
        <v>1190</v>
      </c>
      <c r="AA643">
        <v>6</v>
      </c>
      <c r="AB643">
        <v>3</v>
      </c>
      <c r="AC643">
        <v>0</v>
      </c>
      <c r="AD643">
        <v>0</v>
      </c>
      <c r="AE643">
        <v>2</v>
      </c>
      <c r="AF643">
        <v>1</v>
      </c>
      <c r="AG643">
        <v>0</v>
      </c>
      <c r="AH643">
        <v>0</v>
      </c>
      <c r="AI643">
        <v>0</v>
      </c>
      <c r="AJ643">
        <v>3</v>
      </c>
      <c r="AK643">
        <v>20</v>
      </c>
      <c r="AL643">
        <v>7</v>
      </c>
      <c r="AM643">
        <v>7</v>
      </c>
      <c r="AN643">
        <v>3</v>
      </c>
      <c r="AO643">
        <v>13</v>
      </c>
      <c r="AP643">
        <v>4</v>
      </c>
      <c r="AQ643">
        <v>9</v>
      </c>
      <c r="AR643">
        <v>7</v>
      </c>
      <c r="AS643">
        <v>57</v>
      </c>
      <c r="AT643">
        <v>43</v>
      </c>
      <c r="AU643">
        <v>2.13</v>
      </c>
      <c r="AV643">
        <v>0.78</v>
      </c>
      <c r="AW643">
        <v>2.38</v>
      </c>
      <c r="AX643">
        <v>51</v>
      </c>
      <c r="AY643">
        <v>73</v>
      </c>
      <c r="AZ643">
        <v>46</v>
      </c>
      <c r="BA643">
        <v>22</v>
      </c>
      <c r="BB643">
        <v>7</v>
      </c>
      <c r="BC643">
        <v>33</v>
      </c>
      <c r="BD643">
        <v>80</v>
      </c>
      <c r="BE643">
        <v>31</v>
      </c>
      <c r="BF643">
        <v>63</v>
      </c>
      <c r="BG643">
        <v>8.5299999999999994</v>
      </c>
      <c r="BH643">
        <v>4.26</v>
      </c>
      <c r="BI643">
        <v>2.1</v>
      </c>
      <c r="BJ643">
        <v>3.2</v>
      </c>
      <c r="BK643">
        <v>3.2</v>
      </c>
      <c r="BL643">
        <f>(1/Table1[[#This Row],[odds_ft_home_team_win]]+1/Table1[[#This Row],[odds_ft_draw]]+1/Table1[[#This Row],[odds_ft_away_team_win]]-1)/3</f>
        <v>3.3730158730158756E-2</v>
      </c>
      <c r="BM643">
        <v>1.36</v>
      </c>
      <c r="BN643">
        <v>2.0499999999999998</v>
      </c>
      <c r="BO643">
        <v>3.6</v>
      </c>
      <c r="BP643">
        <v>7.25</v>
      </c>
      <c r="BQ643">
        <v>1.91</v>
      </c>
      <c r="BR643">
        <v>1.8</v>
      </c>
      <c r="BS643" t="s">
        <v>94</v>
      </c>
      <c r="BT643">
        <f>VLOOKUP(Table1[[#This Row],[Reference]],metron,8,FALSE)</f>
        <v>1.6395459745305552</v>
      </c>
      <c r="BU643">
        <f>VLOOKUP(Table1[[#This Row],[Reference]],metron,9,FALSE)</f>
        <v>1.0758429359324786</v>
      </c>
      <c r="BV643">
        <f>VLOOKUP(Table1[[#This Row],[Reference]],metron,10,FALSE)</f>
        <v>2.4807646356033461</v>
      </c>
      <c r="BW643">
        <f>VLOOKUP(Table1[[#This Row],[Reference]],metron,11,FALSE)</f>
        <v>1.4140979689366791</v>
      </c>
      <c r="BX643">
        <f>VLOOKUP(Table1[[#This Row],[Reference]],metron,12,FALSE)</f>
        <v>1.0666666666666671</v>
      </c>
      <c r="BY643" s="6">
        <f>VLOOKUP(Table1[[#This Row],[Reference]],metron,13,FALSE)</f>
        <v>0.62712066905615294</v>
      </c>
      <c r="BZ643" s="6">
        <f>VLOOKUP(Table1[[#This Row],[Reference]],metron,14,FALSE)</f>
        <v>0.46009557945041818</v>
      </c>
      <c r="CA643" s="6">
        <f>VLOOKUP(Table1[[#This Row],[Reference]],metron,15,FALSE)</f>
        <v>12.56969280146722</v>
      </c>
      <c r="CB643" s="6">
        <f>VLOOKUP(Table1[[#This Row],[Reference]],metron,16,FALSE)</f>
        <v>9.8695552498853729</v>
      </c>
      <c r="CC643" s="6">
        <f>VLOOKUP(Table1[[#This Row],[Reference]],metron,17,FALSE)</f>
        <v>5.2754256787850897</v>
      </c>
      <c r="CD643" s="6">
        <f>VLOOKUP(Table1[[#This Row],[Reference]],metron,18,FALSE)</f>
        <v>4.1279337321675103</v>
      </c>
      <c r="CE643" s="6">
        <f>VLOOKUP(Table1[[#This Row],[Reference]],metron,19,FALSE)</f>
        <v>7.2942671226821298</v>
      </c>
      <c r="CF643" s="6">
        <f>VLOOKUP(Table1[[#This Row],[Reference]],metron,20,FALSE)</f>
        <v>5.7416215177178627</v>
      </c>
      <c r="CG643" s="6">
        <f>VLOOKUP(Table1[[#This Row],[Reference]],metron,21,FALSE)</f>
        <v>12.897246007868549</v>
      </c>
      <c r="CH643" s="6">
        <f>VLOOKUP(Table1[[#This Row],[Reference]],metron,22,FALSE)</f>
        <v>13.507058551261281</v>
      </c>
      <c r="CI643" s="6">
        <f>VLOOKUP(Table1[[#This Row],[Reference]],metron,23,FALSE)</f>
        <v>1.576522702104098</v>
      </c>
      <c r="CJ643" s="6">
        <f>VLOOKUP(Table1[[#This Row],[Reference]],metron,24,FALSE)</f>
        <v>1.917165005537099</v>
      </c>
      <c r="CK643" s="6">
        <f>VLOOKUP(Table1[[#This Row],[Reference]],metron,25,FALSE)</f>
        <v>8.4385382059800659E-2</v>
      </c>
      <c r="CL643" s="6">
        <f>VLOOKUP(Table1[[#This Row],[Reference]],metron,26,FALSE)</f>
        <v>0.1233665559246955</v>
      </c>
    </row>
    <row r="644" spans="1:90" x14ac:dyDescent="0.45">
      <c r="A644" t="s">
        <v>1256</v>
      </c>
      <c r="B644">
        <v>1618711500</v>
      </c>
      <c r="C644" s="23" t="s">
        <v>1191</v>
      </c>
      <c r="D644" t="s">
        <v>65</v>
      </c>
      <c r="E644" t="s">
        <v>66</v>
      </c>
      <c r="F644" t="s">
        <v>68</v>
      </c>
      <c r="G644" t="s">
        <v>112</v>
      </c>
      <c r="H644" t="s">
        <v>122</v>
      </c>
      <c r="I644">
        <f>MROUND(Table1[[#This Row],[ProbH]]*100,2)/100</f>
        <v>0.4</v>
      </c>
      <c r="J644">
        <f>1/Table1[[#This Row],[odds_ft_home_team_win]]-Table1[[#This Row],[Margin]]</f>
        <v>0.40206267480294949</v>
      </c>
      <c r="K644">
        <f>1/Table1[[#This Row],[odds_ft_draw]]-Table1[[#This Row],[Margin]]</f>
        <v>0.27978006610729728</v>
      </c>
      <c r="L644">
        <f>1/Table1[[#This Row],[odds_ft_away_team_win]]-Table1[[#This Row],[Margin]]</f>
        <v>0.3181572590897534</v>
      </c>
      <c r="M644">
        <v>15</v>
      </c>
      <c r="N644">
        <v>2.41</v>
      </c>
      <c r="O644">
        <v>1.89</v>
      </c>
      <c r="P644">
        <v>2.37</v>
      </c>
      <c r="Q644">
        <v>1.77</v>
      </c>
      <c r="R644" t="str" cm="1">
        <f t="array" ref="R6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4">
        <v>1</v>
      </c>
      <c r="T644">
        <v>1</v>
      </c>
      <c r="U644">
        <v>2</v>
      </c>
      <c r="V644">
        <v>1</v>
      </c>
      <c r="W644">
        <v>1</v>
      </c>
      <c r="X644">
        <v>0</v>
      </c>
      <c r="Y644">
        <v>41</v>
      </c>
      <c r="Z644">
        <v>84</v>
      </c>
      <c r="AA644">
        <v>3</v>
      </c>
      <c r="AB644">
        <v>9</v>
      </c>
      <c r="AC644">
        <v>1</v>
      </c>
      <c r="AD644">
        <v>0</v>
      </c>
      <c r="AE644">
        <v>2</v>
      </c>
      <c r="AF644">
        <v>0</v>
      </c>
      <c r="AG644">
        <v>0</v>
      </c>
      <c r="AH644">
        <v>1</v>
      </c>
      <c r="AI644">
        <v>0</v>
      </c>
      <c r="AJ644">
        <v>2</v>
      </c>
      <c r="AK644">
        <v>12</v>
      </c>
      <c r="AL644">
        <v>9</v>
      </c>
      <c r="AM644">
        <v>4</v>
      </c>
      <c r="AN644">
        <v>2</v>
      </c>
      <c r="AO644">
        <v>8</v>
      </c>
      <c r="AP644">
        <v>7</v>
      </c>
      <c r="AQ644">
        <v>16</v>
      </c>
      <c r="AR644">
        <v>14</v>
      </c>
      <c r="AS644">
        <v>42</v>
      </c>
      <c r="AT644">
        <v>58</v>
      </c>
      <c r="AU644">
        <v>1.28</v>
      </c>
      <c r="AV644">
        <v>1.1599999999999999</v>
      </c>
      <c r="AW644">
        <v>2.4700000000000002</v>
      </c>
      <c r="AX644">
        <v>47</v>
      </c>
      <c r="AY644">
        <v>69</v>
      </c>
      <c r="AZ644">
        <v>47</v>
      </c>
      <c r="BA644">
        <v>29</v>
      </c>
      <c r="BB644">
        <v>3</v>
      </c>
      <c r="BC644">
        <v>35</v>
      </c>
      <c r="BD644">
        <v>69</v>
      </c>
      <c r="BE644">
        <v>32</v>
      </c>
      <c r="BF644">
        <v>86</v>
      </c>
      <c r="BG644">
        <v>10.199999999999999</v>
      </c>
      <c r="BH644">
        <v>3.2</v>
      </c>
      <c r="BI644">
        <v>2.2999999999999998</v>
      </c>
      <c r="BJ644">
        <v>3.2</v>
      </c>
      <c r="BK644">
        <v>2.85</v>
      </c>
      <c r="BL644">
        <f>(1/Table1[[#This Row],[odds_ft_home_team_win]]+1/Table1[[#This Row],[odds_ft_draw]]+1/Table1[[#This Row],[odds_ft_away_team_win]]-1)/3</f>
        <v>3.2719933892702745E-2</v>
      </c>
      <c r="BM644">
        <v>1.33</v>
      </c>
      <c r="BN644">
        <v>1.95</v>
      </c>
      <c r="BO644">
        <v>3.3</v>
      </c>
      <c r="BP644">
        <v>6</v>
      </c>
      <c r="BQ644">
        <v>1.77</v>
      </c>
      <c r="BR644">
        <v>1.95</v>
      </c>
      <c r="BS644" t="s">
        <v>116</v>
      </c>
      <c r="BT644">
        <f>VLOOKUP(Table1[[#This Row],[Reference]],metron,8,FALSE)</f>
        <v>1.5181603563290151</v>
      </c>
      <c r="BU644">
        <f>VLOOKUP(Table1[[#This Row],[Reference]],metron,9,FALSE)</f>
        <v>1.1952730370775513</v>
      </c>
      <c r="BV644">
        <f>VLOOKUP(Table1[[#This Row],[Reference]],metron,10,FALSE)</f>
        <v>2.4956155335383219</v>
      </c>
      <c r="BW644">
        <f>VLOOKUP(Table1[[#This Row],[Reference]],metron,11,FALSE)</f>
        <v>1.344038264434575</v>
      </c>
      <c r="BX644">
        <f>VLOOKUP(Table1[[#This Row],[Reference]],metron,12,FALSE)</f>
        <v>1.1515772691037469</v>
      </c>
      <c r="BY644" s="6">
        <f>VLOOKUP(Table1[[#This Row],[Reference]],metron,13,FALSE)</f>
        <v>0.59936225942375587</v>
      </c>
      <c r="BZ644" s="6">
        <f>VLOOKUP(Table1[[#This Row],[Reference]],metron,14,FALSE)</f>
        <v>0.50723152260562576</v>
      </c>
      <c r="CA644" s="6">
        <f>VLOOKUP(Table1[[#This Row],[Reference]],metron,15,FALSE)</f>
        <v>11.99278846153846</v>
      </c>
      <c r="CB644" s="6">
        <f>VLOOKUP(Table1[[#This Row],[Reference]],metron,16,FALSE)</f>
        <v>10.0277534965035</v>
      </c>
      <c r="CC644" s="6">
        <f>VLOOKUP(Table1[[#This Row],[Reference]],metron,17,FALSE)</f>
        <v>5.2857459543338514</v>
      </c>
      <c r="CD644" s="6">
        <f>VLOOKUP(Table1[[#This Row],[Reference]],metron,18,FALSE)</f>
        <v>4.4067834183107957</v>
      </c>
      <c r="CE644" s="6">
        <f>VLOOKUP(Table1[[#This Row],[Reference]],metron,19,FALSE)</f>
        <v>6.7070425072046085</v>
      </c>
      <c r="CF644" s="6">
        <f>VLOOKUP(Table1[[#This Row],[Reference]],metron,20,FALSE)</f>
        <v>5.6209700781927046</v>
      </c>
      <c r="CG644" s="6">
        <f>VLOOKUP(Table1[[#This Row],[Reference]],metron,21,FALSE)</f>
        <v>13.04463690872752</v>
      </c>
      <c r="CH644" s="6">
        <f>VLOOKUP(Table1[[#This Row],[Reference]],metron,22,FALSE)</f>
        <v>13.49811236953142</v>
      </c>
      <c r="CI644" s="6">
        <f>VLOOKUP(Table1[[#This Row],[Reference]],metron,23,FALSE)</f>
        <v>1.5836526181353769</v>
      </c>
      <c r="CJ644" s="6">
        <f>VLOOKUP(Table1[[#This Row],[Reference]],metron,24,FALSE)</f>
        <v>1.8744146445295871</v>
      </c>
      <c r="CK644" s="6">
        <f>VLOOKUP(Table1[[#This Row],[Reference]],metron,25,FALSE)</f>
        <v>8.5994040017028525E-2</v>
      </c>
      <c r="CL644" s="6">
        <f>VLOOKUP(Table1[[#This Row],[Reference]],metron,26,FALSE)</f>
        <v>0.13452532992762881</v>
      </c>
    </row>
    <row r="645" spans="1:90" x14ac:dyDescent="0.45">
      <c r="A645" t="s">
        <v>1256</v>
      </c>
      <c r="B645">
        <v>1618765200</v>
      </c>
      <c r="C645" s="23" t="s">
        <v>1192</v>
      </c>
      <c r="D645" t="s">
        <v>65</v>
      </c>
      <c r="E645" t="s">
        <v>66</v>
      </c>
      <c r="F645" t="s">
        <v>96</v>
      </c>
      <c r="G645" t="s">
        <v>107</v>
      </c>
      <c r="H645" t="s">
        <v>133</v>
      </c>
      <c r="I645">
        <f>MROUND(Table1[[#This Row],[ProbH]]*100,2)/100</f>
        <v>0.28000000000000003</v>
      </c>
      <c r="J645">
        <f>1/Table1[[#This Row],[odds_ft_home_team_win]]-Table1[[#This Row],[Margin]]</f>
        <v>0.2747354462036864</v>
      </c>
      <c r="K645">
        <f>1/Table1[[#This Row],[odds_ft_draw]]-Table1[[#This Row],[Margin]]</f>
        <v>0.28392029120942697</v>
      </c>
      <c r="L645">
        <f>1/Table1[[#This Row],[odds_ft_away_team_win]]-Table1[[#This Row],[Margin]]</f>
        <v>0.44134426258688669</v>
      </c>
      <c r="M645">
        <v>15</v>
      </c>
      <c r="N645">
        <v>1.78</v>
      </c>
      <c r="O645">
        <v>1.63</v>
      </c>
      <c r="P645">
        <v>1.65</v>
      </c>
      <c r="Q645">
        <v>1.47</v>
      </c>
      <c r="R645" t="str" cm="1">
        <f t="array" ref="R6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AA645">
        <v>2</v>
      </c>
      <c r="AB645">
        <v>2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14</v>
      </c>
      <c r="AL645">
        <v>9</v>
      </c>
      <c r="AM645">
        <v>5</v>
      </c>
      <c r="AN645">
        <v>5</v>
      </c>
      <c r="AO645">
        <v>9</v>
      </c>
      <c r="AP645">
        <v>4</v>
      </c>
      <c r="AQ645">
        <v>8</v>
      </c>
      <c r="AR645">
        <v>6</v>
      </c>
      <c r="AS645">
        <v>43</v>
      </c>
      <c r="AT645">
        <v>57</v>
      </c>
      <c r="AU645">
        <v>1.5</v>
      </c>
      <c r="AV645">
        <v>1.18</v>
      </c>
      <c r="AW645">
        <v>2.39</v>
      </c>
      <c r="AX645">
        <v>44</v>
      </c>
      <c r="AY645">
        <v>71</v>
      </c>
      <c r="AZ645">
        <v>38</v>
      </c>
      <c r="BA645">
        <v>27</v>
      </c>
      <c r="BB645">
        <v>12</v>
      </c>
      <c r="BC645">
        <v>21</v>
      </c>
      <c r="BD645">
        <v>53</v>
      </c>
      <c r="BE645">
        <v>44</v>
      </c>
      <c r="BF645">
        <v>89</v>
      </c>
      <c r="BG645">
        <v>11.3</v>
      </c>
      <c r="BH645">
        <v>4.5</v>
      </c>
      <c r="BI645">
        <v>3.35</v>
      </c>
      <c r="BJ645">
        <v>3.25</v>
      </c>
      <c r="BK645">
        <v>2.15</v>
      </c>
      <c r="BL645">
        <f>(1/Table1[[#This Row],[odds_ft_home_team_win]]+1/Table1[[#This Row],[odds_ft_draw]]+1/Table1[[#This Row],[odds_ft_away_team_win]]-1)/3</f>
        <v>2.3772016482880742E-2</v>
      </c>
      <c r="BM645">
        <v>1.42</v>
      </c>
      <c r="BN645">
        <v>2.15</v>
      </c>
      <c r="BO645">
        <v>3.8</v>
      </c>
      <c r="BP645">
        <v>7.75</v>
      </c>
      <c r="BQ645">
        <v>1.95</v>
      </c>
      <c r="BR645">
        <v>1.8</v>
      </c>
      <c r="BS645" t="s">
        <v>99</v>
      </c>
      <c r="BT645">
        <f>VLOOKUP(Table1[[#This Row],[Reference]],metron,8,FALSE)</f>
        <v>1.1529533168233341</v>
      </c>
      <c r="BU645">
        <f>VLOOKUP(Table1[[#This Row],[Reference]],metron,9,FALSE)</f>
        <v>1.5628535554286829</v>
      </c>
      <c r="BV645">
        <f>VLOOKUP(Table1[[#This Row],[Reference]],metron,10,FALSE)</f>
        <v>2.5445607358071678</v>
      </c>
      <c r="BW645">
        <f>VLOOKUP(Table1[[#This Row],[Reference]],metron,11,FALSE)</f>
        <v>1.128766254360926</v>
      </c>
      <c r="BX645">
        <f>VLOOKUP(Table1[[#This Row],[Reference]],metron,12,FALSE)</f>
        <v>1.415794481446242</v>
      </c>
      <c r="BY645" s="6">
        <f>VLOOKUP(Table1[[#This Row],[Reference]],metron,13,FALSE)</f>
        <v>0.49635267998731369</v>
      </c>
      <c r="BZ645" s="6">
        <f>VLOOKUP(Table1[[#This Row],[Reference]],metron,14,FALSE)</f>
        <v>0.61084681255946716</v>
      </c>
      <c r="CA645" s="6">
        <f>VLOOKUP(Table1[[#This Row],[Reference]],metron,15,FALSE)</f>
        <v>11.04442036836403</v>
      </c>
      <c r="CB645" s="6">
        <f>VLOOKUP(Table1[[#This Row],[Reference]],metron,16,FALSE)</f>
        <v>11.38840736728061</v>
      </c>
      <c r="CC645" s="6">
        <f>VLOOKUP(Table1[[#This Row],[Reference]],metron,17,FALSE)</f>
        <v>4.5379574003276897</v>
      </c>
      <c r="CD645" s="6">
        <f>VLOOKUP(Table1[[#This Row],[Reference]],metron,18,FALSE)</f>
        <v>4.8481703986892413</v>
      </c>
      <c r="CE645" s="6">
        <f>VLOOKUP(Table1[[#This Row],[Reference]],metron,19,FALSE)</f>
        <v>6.5064629680363399</v>
      </c>
      <c r="CF645" s="6">
        <f>VLOOKUP(Table1[[#This Row],[Reference]],metron,20,FALSE)</f>
        <v>6.540236968591369</v>
      </c>
      <c r="CG645" s="6">
        <f>VLOOKUP(Table1[[#This Row],[Reference]],metron,21,FALSE)</f>
        <v>13.117582417582421</v>
      </c>
      <c r="CH645" s="6">
        <f>VLOOKUP(Table1[[#This Row],[Reference]],metron,22,FALSE)</f>
        <v>13.28241758241758</v>
      </c>
      <c r="CI645" s="6">
        <f>VLOOKUP(Table1[[#This Row],[Reference]],metron,23,FALSE)</f>
        <v>1.792592592592593</v>
      </c>
      <c r="CJ645" s="6">
        <f>VLOOKUP(Table1[[#This Row],[Reference]],metron,24,FALSE)</f>
        <v>1.806980433632998</v>
      </c>
      <c r="CK645" s="6">
        <f>VLOOKUP(Table1[[#This Row],[Reference]],metron,25,FALSE)</f>
        <v>0.1047065044949762</v>
      </c>
      <c r="CL645" s="6">
        <f>VLOOKUP(Table1[[#This Row],[Reference]],metron,26,FALSE)</f>
        <v>0.1073506081438392</v>
      </c>
    </row>
    <row r="646" spans="1:90" x14ac:dyDescent="0.45">
      <c r="A646" t="s">
        <v>1256</v>
      </c>
      <c r="B646">
        <v>1618790400</v>
      </c>
      <c r="C646" s="23" t="s">
        <v>1193</v>
      </c>
      <c r="D646" t="s">
        <v>65</v>
      </c>
      <c r="E646" t="s">
        <v>66</v>
      </c>
      <c r="F646" t="s">
        <v>73</v>
      </c>
      <c r="G646" t="s">
        <v>79</v>
      </c>
      <c r="H646" t="s">
        <v>98</v>
      </c>
      <c r="I646">
        <f>MROUND(Table1[[#This Row],[ProbH]]*100,2)/100</f>
        <v>0.54</v>
      </c>
      <c r="J646">
        <f>1/Table1[[#This Row],[odds_ft_home_team_win]]-Table1[[#This Row],[Margin]]</f>
        <v>0.54163099925811786</v>
      </c>
      <c r="K646">
        <f>1/Table1[[#This Row],[odds_ft_draw]]-Table1[[#This Row],[Margin]]</f>
        <v>0.25443702562346632</v>
      </c>
      <c r="L646">
        <f>1/Table1[[#This Row],[odds_ft_away_team_win]]-Table1[[#This Row],[Margin]]</f>
        <v>0.20393197511841576</v>
      </c>
      <c r="M646">
        <v>15</v>
      </c>
      <c r="N646">
        <v>2.06</v>
      </c>
      <c r="O646">
        <v>0.63</v>
      </c>
      <c r="P646">
        <v>2.09</v>
      </c>
      <c r="Q646">
        <v>0.55000000000000004</v>
      </c>
      <c r="R646" t="str" cm="1">
        <f t="array" ref="R6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46">
        <v>3</v>
      </c>
      <c r="T646">
        <v>1</v>
      </c>
      <c r="U646">
        <v>4</v>
      </c>
      <c r="V646">
        <v>2</v>
      </c>
      <c r="W646">
        <v>2</v>
      </c>
      <c r="X646">
        <v>0</v>
      </c>
      <c r="Y646" t="s">
        <v>1194</v>
      </c>
      <c r="Z646">
        <v>68</v>
      </c>
      <c r="AA646">
        <v>4</v>
      </c>
      <c r="AB646">
        <v>3</v>
      </c>
      <c r="AC646">
        <v>1</v>
      </c>
      <c r="AD646">
        <v>0</v>
      </c>
      <c r="AE646">
        <v>4</v>
      </c>
      <c r="AF646">
        <v>1</v>
      </c>
      <c r="AG646">
        <v>1</v>
      </c>
      <c r="AH646">
        <v>0</v>
      </c>
      <c r="AI646">
        <v>2</v>
      </c>
      <c r="AJ646">
        <v>3</v>
      </c>
      <c r="AK646">
        <v>16</v>
      </c>
      <c r="AL646">
        <v>16</v>
      </c>
      <c r="AM646">
        <v>9</v>
      </c>
      <c r="AN646">
        <v>5</v>
      </c>
      <c r="AO646">
        <v>7</v>
      </c>
      <c r="AP646">
        <v>11</v>
      </c>
      <c r="AQ646">
        <v>17</v>
      </c>
      <c r="AR646">
        <v>13</v>
      </c>
      <c r="AS646">
        <v>45</v>
      </c>
      <c r="AT646">
        <v>55</v>
      </c>
      <c r="AU646">
        <v>1.95</v>
      </c>
      <c r="AV646">
        <v>1.62</v>
      </c>
      <c r="AW646">
        <v>2.72</v>
      </c>
      <c r="AX646">
        <v>63</v>
      </c>
      <c r="AY646">
        <v>78</v>
      </c>
      <c r="AZ646">
        <v>57</v>
      </c>
      <c r="BA646">
        <v>29</v>
      </c>
      <c r="BB646">
        <v>19</v>
      </c>
      <c r="BC646">
        <v>54</v>
      </c>
      <c r="BD646">
        <v>72</v>
      </c>
      <c r="BE646">
        <v>35</v>
      </c>
      <c r="BF646">
        <v>75</v>
      </c>
      <c r="BG646">
        <v>11.15</v>
      </c>
      <c r="BH646">
        <v>4</v>
      </c>
      <c r="BI646">
        <v>1.77</v>
      </c>
      <c r="BJ646">
        <v>3.6</v>
      </c>
      <c r="BK646">
        <v>4.4000000000000004</v>
      </c>
      <c r="BL646">
        <f>(1/Table1[[#This Row],[odds_ft_home_team_win]]+1/Table1[[#This Row],[odds_ft_draw]]+1/Table1[[#This Row],[odds_ft_away_team_win]]-1)/3</f>
        <v>2.334075215431149E-2</v>
      </c>
      <c r="BM646">
        <v>1.29</v>
      </c>
      <c r="BN646">
        <v>1.83</v>
      </c>
      <c r="BO646">
        <v>3</v>
      </c>
      <c r="BP646">
        <v>6</v>
      </c>
      <c r="BQ646">
        <v>1.8</v>
      </c>
      <c r="BR646">
        <v>1.95</v>
      </c>
      <c r="BS646" t="s">
        <v>142</v>
      </c>
      <c r="BT646">
        <f>VLOOKUP(Table1[[#This Row],[Reference]],metron,8,FALSE)</f>
        <v>1.915666026436746</v>
      </c>
      <c r="BU646">
        <f>VLOOKUP(Table1[[#This Row],[Reference]],metron,9,FALSE)</f>
        <v>0.82283834599204153</v>
      </c>
      <c r="BV646">
        <f>VLOOKUP(Table1[[#This Row],[Reference]],metron,10,FALSE)</f>
        <v>2.6359702267612941</v>
      </c>
      <c r="BW646">
        <f>VLOOKUP(Table1[[#This Row],[Reference]],metron,11,FALSE)</f>
        <v>1.684957590444867</v>
      </c>
      <c r="BX646">
        <f>VLOOKUP(Table1[[#This Row],[Reference]],metron,12,FALSE)</f>
        <v>0.95101263631642718</v>
      </c>
      <c r="BY646" s="6">
        <f>VLOOKUP(Table1[[#This Row],[Reference]],metron,13,FALSE)</f>
        <v>0.72650164445213783</v>
      </c>
      <c r="BZ646" s="6">
        <f>VLOOKUP(Table1[[#This Row],[Reference]],metron,14,FALSE)</f>
        <v>0.42097974727367138</v>
      </c>
      <c r="CA646" s="6">
        <f>VLOOKUP(Table1[[#This Row],[Reference]],metron,15,FALSE)</f>
        <v>13.338806970509379</v>
      </c>
      <c r="CB646" s="6">
        <f>VLOOKUP(Table1[[#This Row],[Reference]],metron,16,FALSE)</f>
        <v>9.2530160857908843</v>
      </c>
      <c r="CC646" s="6">
        <f>VLOOKUP(Table1[[#This Row],[Reference]],metron,17,FALSE)</f>
        <v>5.9915081521739131</v>
      </c>
      <c r="CD646" s="6">
        <f>VLOOKUP(Table1[[#This Row],[Reference]],metron,18,FALSE)</f>
        <v>3.9772418478260869</v>
      </c>
      <c r="CE646" s="6">
        <f>VLOOKUP(Table1[[#This Row],[Reference]],metron,19,FALSE)</f>
        <v>7.3472988183354664</v>
      </c>
      <c r="CF646" s="6">
        <f>VLOOKUP(Table1[[#This Row],[Reference]],metron,20,FALSE)</f>
        <v>5.2757742379647974</v>
      </c>
      <c r="CG646" s="6">
        <f>VLOOKUP(Table1[[#This Row],[Reference]],metron,21,FALSE)</f>
        <v>12.59428182437032</v>
      </c>
      <c r="CH646" s="6">
        <f>VLOOKUP(Table1[[#This Row],[Reference]],metron,22,FALSE)</f>
        <v>13.577944179714089</v>
      </c>
      <c r="CI646" s="6">
        <f>VLOOKUP(Table1[[#This Row],[Reference]],metron,23,FALSE)</f>
        <v>1.4276913099870301</v>
      </c>
      <c r="CJ646" s="6">
        <f>VLOOKUP(Table1[[#This Row],[Reference]],metron,24,FALSE)</f>
        <v>1.940985732814527</v>
      </c>
      <c r="CK646" s="6">
        <f>VLOOKUP(Table1[[#This Row],[Reference]],metron,25,FALSE)</f>
        <v>8.0739299610894946E-2</v>
      </c>
      <c r="CL646" s="6">
        <f>VLOOKUP(Table1[[#This Row],[Reference]],metron,26,FALSE)</f>
        <v>0.12743190661478601</v>
      </c>
    </row>
    <row r="647" spans="1:90" hidden="1" x14ac:dyDescent="0.45">
      <c r="A647" t="s">
        <v>1256</v>
      </c>
      <c r="B647">
        <v>1618797960</v>
      </c>
      <c r="C647" s="23" t="s">
        <v>1195</v>
      </c>
      <c r="D647" t="s">
        <v>65</v>
      </c>
      <c r="E647" t="s">
        <v>66</v>
      </c>
      <c r="F647" t="s">
        <v>101</v>
      </c>
      <c r="G647" t="s">
        <v>84</v>
      </c>
      <c r="H647" t="s">
        <v>74</v>
      </c>
      <c r="I647">
        <f>MROUND(Table1[[#This Row],[ProbH]]*100,2)/100</f>
        <v>0.62</v>
      </c>
      <c r="J647">
        <f>1/Table1[[#This Row],[odds_ft_home_team_win]]-Table1[[#This Row],[Margin]]</f>
        <v>0.61777317332872883</v>
      </c>
      <c r="K647">
        <f>1/Table1[[#This Row],[odds_ft_draw]]-Table1[[#This Row],[Margin]]</f>
        <v>0.22366111255000146</v>
      </c>
      <c r="L647">
        <f>1/Table1[[#This Row],[odds_ft_away_team_win]]-Table1[[#This Row],[Margin]]</f>
        <v>0.15856571412126969</v>
      </c>
      <c r="M647">
        <v>15</v>
      </c>
      <c r="N647">
        <v>2</v>
      </c>
      <c r="O647">
        <v>1.35</v>
      </c>
      <c r="P647">
        <v>1.79</v>
      </c>
      <c r="Q647">
        <v>1.38</v>
      </c>
      <c r="R647" t="str" cm="1">
        <f t="array" ref="R6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Z647">
        <v>48</v>
      </c>
      <c r="AA647">
        <v>7</v>
      </c>
      <c r="AB647">
        <v>1</v>
      </c>
      <c r="AC647">
        <v>4</v>
      </c>
      <c r="AD647">
        <v>1</v>
      </c>
      <c r="AE647">
        <v>3</v>
      </c>
      <c r="AF647">
        <v>1</v>
      </c>
      <c r="AG647">
        <v>3</v>
      </c>
      <c r="AH647">
        <v>2</v>
      </c>
      <c r="AI647">
        <v>2</v>
      </c>
      <c r="AJ647">
        <v>2</v>
      </c>
      <c r="AK647">
        <v>22</v>
      </c>
      <c r="AL647">
        <v>6</v>
      </c>
      <c r="AM647">
        <v>4</v>
      </c>
      <c r="AN647">
        <v>2</v>
      </c>
      <c r="AO647">
        <v>18</v>
      </c>
      <c r="AP647">
        <v>4</v>
      </c>
      <c r="AQ647">
        <v>12</v>
      </c>
      <c r="AR647">
        <v>15</v>
      </c>
      <c r="AS647">
        <v>52</v>
      </c>
      <c r="AT647">
        <v>48</v>
      </c>
      <c r="AU647">
        <v>1.93</v>
      </c>
      <c r="AV647">
        <v>0.72</v>
      </c>
      <c r="AW647">
        <v>2.15</v>
      </c>
      <c r="AX647">
        <v>51</v>
      </c>
      <c r="AY647">
        <v>70</v>
      </c>
      <c r="AZ647">
        <v>32</v>
      </c>
      <c r="BA647">
        <v>23</v>
      </c>
      <c r="BB647">
        <v>0</v>
      </c>
      <c r="BC647">
        <v>26</v>
      </c>
      <c r="BD647">
        <v>63</v>
      </c>
      <c r="BE647">
        <v>44</v>
      </c>
      <c r="BF647">
        <v>73</v>
      </c>
      <c r="BG647">
        <v>11.29</v>
      </c>
      <c r="BH647">
        <v>3.82</v>
      </c>
      <c r="BI647">
        <v>1.56</v>
      </c>
      <c r="BJ647">
        <v>4.05</v>
      </c>
      <c r="BK647">
        <v>5.5</v>
      </c>
      <c r="BL647">
        <f>(1/Table1[[#This Row],[odds_ft_home_team_win]]+1/Table1[[#This Row],[odds_ft_draw]]+1/Table1[[#This Row],[odds_ft_away_team_win]]-1)/3</f>
        <v>2.3252467696912138E-2</v>
      </c>
      <c r="BM647">
        <v>1.32</v>
      </c>
      <c r="BN647">
        <v>1.91</v>
      </c>
      <c r="BO647">
        <v>3.3</v>
      </c>
      <c r="BP647">
        <v>6.5</v>
      </c>
      <c r="BQ647">
        <v>2.0499999999999998</v>
      </c>
      <c r="BR647">
        <v>1.74</v>
      </c>
      <c r="BS647" t="s">
        <v>713</v>
      </c>
      <c r="BT647">
        <f>VLOOKUP(Table1[[#This Row],[Reference]],metron,8,FALSE)</f>
        <v>2.1234388909289978</v>
      </c>
      <c r="BU647">
        <f>VLOOKUP(Table1[[#This Row],[Reference]],metron,9,FALSE)</f>
        <v>0.63925141338926716</v>
      </c>
      <c r="BV647">
        <f>VLOOKUP(Table1[[#This Row],[Reference]],metron,10,FALSE)</f>
        <v>2.7366666666666664</v>
      </c>
      <c r="BW647">
        <f>VLOOKUP(Table1[[#This Row],[Reference]],metron,11,FALSE)</f>
        <v>1.8681481481481479</v>
      </c>
      <c r="BX647">
        <f>VLOOKUP(Table1[[#This Row],[Reference]],metron,12,FALSE)</f>
        <v>0.86851851851851847</v>
      </c>
      <c r="BY647" s="6">
        <f>VLOOKUP(Table1[[#This Row],[Reference]],metron,13,FALSE)</f>
        <v>0.81333333333333335</v>
      </c>
      <c r="BZ647" s="6">
        <f>VLOOKUP(Table1[[#This Row],[Reference]],metron,14,FALSE)</f>
        <v>0.38925925925925919</v>
      </c>
      <c r="CA647" s="6">
        <f>VLOOKUP(Table1[[#This Row],[Reference]],metron,15,FALSE)</f>
        <v>14.53422724064926</v>
      </c>
      <c r="CB647" s="6">
        <f>VLOOKUP(Table1[[#This Row],[Reference]],metron,16,FALSE)</f>
        <v>8.7882851093860275</v>
      </c>
      <c r="CC647" s="6">
        <f>VLOOKUP(Table1[[#This Row],[Reference]],metron,17,FALSE)</f>
        <v>6.3007953723788868</v>
      </c>
      <c r="CD647" s="6">
        <f>VLOOKUP(Table1[[#This Row],[Reference]],metron,18,FALSE)</f>
        <v>3.681851048445409</v>
      </c>
      <c r="CE647" s="6">
        <f>VLOOKUP(Table1[[#This Row],[Reference]],metron,19,FALSE)</f>
        <v>8.2334318682703724</v>
      </c>
      <c r="CF647" s="6">
        <f>VLOOKUP(Table1[[#This Row],[Reference]],metron,20,FALSE)</f>
        <v>5.106434060940618</v>
      </c>
      <c r="CG647" s="6">
        <f>VLOOKUP(Table1[[#This Row],[Reference]],metron,21,FALSE)</f>
        <v>12.32150615496017</v>
      </c>
      <c r="CH647" s="6">
        <f>VLOOKUP(Table1[[#This Row],[Reference]],metron,22,FALSE)</f>
        <v>13.337436640115859</v>
      </c>
      <c r="CI647" s="6">
        <f>VLOOKUP(Table1[[#This Row],[Reference]],metron,23,FALSE)</f>
        <v>1.346101231190151</v>
      </c>
      <c r="CJ647" s="6">
        <f>VLOOKUP(Table1[[#This Row],[Reference]],metron,24,FALSE)</f>
        <v>1.995212038303694</v>
      </c>
      <c r="CK647" s="6">
        <f>VLOOKUP(Table1[[#This Row],[Reference]],metron,25,FALSE)</f>
        <v>6.1559507523939808E-2</v>
      </c>
      <c r="CL647" s="6">
        <f>VLOOKUP(Table1[[#This Row],[Reference]],metron,26,FALSE)</f>
        <v>0.13201094391244869</v>
      </c>
    </row>
    <row r="648" spans="1:90" hidden="1" x14ac:dyDescent="0.45">
      <c r="A648" t="s">
        <v>1256</v>
      </c>
      <c r="B648">
        <v>1618884000</v>
      </c>
      <c r="C648" s="23" t="s">
        <v>1196</v>
      </c>
      <c r="D648" t="s">
        <v>65</v>
      </c>
      <c r="E648" t="s">
        <v>66</v>
      </c>
      <c r="F648" t="s">
        <v>85</v>
      </c>
      <c r="G648" t="s">
        <v>78</v>
      </c>
      <c r="H648" t="s">
        <v>108</v>
      </c>
      <c r="I648">
        <f>MROUND(Table1[[#This Row],[ProbH]]*100,2)/100</f>
        <v>0.72</v>
      </c>
      <c r="J648">
        <f>1/Table1[[#This Row],[odds_ft_home_team_win]]-Table1[[#This Row],[Margin]]</f>
        <v>0.71088573360378626</v>
      </c>
      <c r="K648">
        <f>1/Table1[[#This Row],[odds_ft_draw]]-Table1[[#This Row],[Margin]]</f>
        <v>0.17559161595672751</v>
      </c>
      <c r="L648">
        <f>1/Table1[[#This Row],[odds_ft_away_team_win]]-Table1[[#This Row],[Margin]]</f>
        <v>0.11352265043948612</v>
      </c>
      <c r="M648">
        <v>15</v>
      </c>
      <c r="N648">
        <v>2.2799999999999998</v>
      </c>
      <c r="O648">
        <v>0.67</v>
      </c>
      <c r="P648">
        <v>2.29</v>
      </c>
      <c r="Q648">
        <v>0.59</v>
      </c>
      <c r="R648" t="str" cm="1">
        <f t="array" ref="R6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48">
        <v>2</v>
      </c>
      <c r="T648">
        <v>0</v>
      </c>
      <c r="U648">
        <v>2</v>
      </c>
      <c r="V648">
        <v>0</v>
      </c>
      <c r="W648">
        <v>0</v>
      </c>
      <c r="X648">
        <v>0</v>
      </c>
      <c r="Y648" t="s">
        <v>1197</v>
      </c>
      <c r="AA648">
        <v>9</v>
      </c>
      <c r="AB648">
        <v>2</v>
      </c>
      <c r="AC648">
        <v>1</v>
      </c>
      <c r="AD648">
        <v>0</v>
      </c>
      <c r="AE648">
        <v>2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18</v>
      </c>
      <c r="AL648">
        <v>16</v>
      </c>
      <c r="AM648">
        <v>4</v>
      </c>
      <c r="AN648">
        <v>5</v>
      </c>
      <c r="AO648">
        <v>14</v>
      </c>
      <c r="AP648">
        <v>11</v>
      </c>
      <c r="AQ648">
        <v>7</v>
      </c>
      <c r="AR648">
        <v>11</v>
      </c>
      <c r="AS648">
        <v>66</v>
      </c>
      <c r="AT648">
        <v>34</v>
      </c>
      <c r="AU648">
        <v>1.88</v>
      </c>
      <c r="AV648">
        <v>1.61</v>
      </c>
      <c r="AW648">
        <v>2.68</v>
      </c>
      <c r="AX648">
        <v>64</v>
      </c>
      <c r="AY648">
        <v>83</v>
      </c>
      <c r="AZ648">
        <v>52</v>
      </c>
      <c r="BA648">
        <v>25</v>
      </c>
      <c r="BB648">
        <v>13</v>
      </c>
      <c r="BC648">
        <v>34</v>
      </c>
      <c r="BD648">
        <v>73</v>
      </c>
      <c r="BE648">
        <v>42</v>
      </c>
      <c r="BF648">
        <v>89</v>
      </c>
      <c r="BG648">
        <v>7.42</v>
      </c>
      <c r="BH648">
        <v>4.5999999999999996</v>
      </c>
      <c r="BI648">
        <v>1.36</v>
      </c>
      <c r="BJ648">
        <v>5</v>
      </c>
      <c r="BK648">
        <v>7.25</v>
      </c>
      <c r="BL648">
        <f>(1/Table1[[#This Row],[odds_ft_home_team_win]]+1/Table1[[#This Row],[odds_ft_draw]]+1/Table1[[#This Row],[odds_ft_away_team_win]]-1)/3</f>
        <v>2.4408384043272502E-2</v>
      </c>
      <c r="BM648">
        <v>1.24</v>
      </c>
      <c r="BN648">
        <v>1.62</v>
      </c>
      <c r="BO648">
        <v>2.6</v>
      </c>
      <c r="BP648">
        <v>4.8</v>
      </c>
      <c r="BQ648">
        <v>1.95</v>
      </c>
      <c r="BR648">
        <v>1.8</v>
      </c>
      <c r="BS648" t="s">
        <v>128</v>
      </c>
      <c r="BT648">
        <f>VLOOKUP(Table1[[#This Row],[Reference]],metron,8,FALSE)</f>
        <v>2.3749635199551693</v>
      </c>
      <c r="BU648">
        <f>VLOOKUP(Table1[[#This Row],[Reference]],metron,9,FALSE)</f>
        <v>0.44130366263957893</v>
      </c>
      <c r="BV648">
        <f>VLOOKUP(Table1[[#This Row],[Reference]],metron,10,FALSE)</f>
        <v>2.9969924812030078</v>
      </c>
      <c r="BW648">
        <f>VLOOKUP(Table1[[#This Row],[Reference]],metron,11,FALSE)</f>
        <v>2.2436090225563912</v>
      </c>
      <c r="BX648">
        <f>VLOOKUP(Table1[[#This Row],[Reference]],metron,12,FALSE)</f>
        <v>0.75338345864661649</v>
      </c>
      <c r="BY648" s="6">
        <f>VLOOKUP(Table1[[#This Row],[Reference]],metron,13,FALSE)</f>
        <v>1.018796992481203</v>
      </c>
      <c r="BZ648" s="6">
        <f>VLOOKUP(Table1[[#This Row],[Reference]],metron,14,FALSE)</f>
        <v>0.35112781954887218</v>
      </c>
      <c r="CA648" s="6">
        <f>VLOOKUP(Table1[[#This Row],[Reference]],metron,15,FALSE)</f>
        <v>16.67069486404834</v>
      </c>
      <c r="CB648" s="6">
        <f>VLOOKUP(Table1[[#This Row],[Reference]],metron,16,FALSE)</f>
        <v>8.2024169184290034</v>
      </c>
      <c r="CC648" s="6">
        <f>VLOOKUP(Table1[[#This Row],[Reference]],metron,17,FALSE)</f>
        <v>7.274390243902439</v>
      </c>
      <c r="CD648" s="6">
        <f>VLOOKUP(Table1[[#This Row],[Reference]],metron,18,FALSE)</f>
        <v>3.282012195121951</v>
      </c>
      <c r="CE648" s="6">
        <f>VLOOKUP(Table1[[#This Row],[Reference]],metron,19,FALSE)</f>
        <v>9.3963046201459015</v>
      </c>
      <c r="CF648" s="6">
        <f>VLOOKUP(Table1[[#This Row],[Reference]],metron,20,FALSE)</f>
        <v>4.9204047233070529</v>
      </c>
      <c r="CG648" s="6">
        <f>VLOOKUP(Table1[[#This Row],[Reference]],metron,21,FALSE)</f>
        <v>11.79352850539291</v>
      </c>
      <c r="CH648" s="6">
        <f>VLOOKUP(Table1[[#This Row],[Reference]],metron,22,FALSE)</f>
        <v>13.348228043143299</v>
      </c>
      <c r="CI648" s="6">
        <f>VLOOKUP(Table1[[#This Row],[Reference]],metron,23,FALSE)</f>
        <v>1.2705530642750369</v>
      </c>
      <c r="CJ648" s="6">
        <f>VLOOKUP(Table1[[#This Row],[Reference]],metron,24,FALSE)</f>
        <v>2.0822122571001489</v>
      </c>
      <c r="CK648" s="6">
        <f>VLOOKUP(Table1[[#This Row],[Reference]],metron,25,FALSE)</f>
        <v>5.6801195814648729E-2</v>
      </c>
      <c r="CL648" s="6">
        <f>VLOOKUP(Table1[[#This Row],[Reference]],metron,26,FALSE)</f>
        <v>0.12257100149476829</v>
      </c>
    </row>
    <row r="649" spans="1:90" hidden="1" x14ac:dyDescent="0.45">
      <c r="A649" t="s">
        <v>1256</v>
      </c>
      <c r="B649">
        <v>1619056800</v>
      </c>
      <c r="C649" s="23" t="s">
        <v>1198</v>
      </c>
      <c r="D649" t="s">
        <v>65</v>
      </c>
      <c r="E649" t="s">
        <v>66</v>
      </c>
      <c r="F649" t="s">
        <v>101</v>
      </c>
      <c r="G649" t="s">
        <v>90</v>
      </c>
      <c r="H649" t="s">
        <v>92</v>
      </c>
      <c r="I649">
        <f>MROUND(Table1[[#This Row],[ProbH]]*100,2)/100</f>
        <v>0.62</v>
      </c>
      <c r="J649">
        <f>1/Table1[[#This Row],[odds_ft_home_team_win]]-Table1[[#This Row],[Margin]]</f>
        <v>0.62979135332700298</v>
      </c>
      <c r="K649">
        <f>1/Table1[[#This Row],[odds_ft_draw]]-Table1[[#This Row],[Margin]]</f>
        <v>0.2200990211095632</v>
      </c>
      <c r="L649">
        <f>1/Table1[[#This Row],[odds_ft_away_team_win]]-Table1[[#This Row],[Margin]]</f>
        <v>0.1501096255634338</v>
      </c>
      <c r="M649">
        <v>12</v>
      </c>
      <c r="N649">
        <v>1.88</v>
      </c>
      <c r="O649">
        <v>1.24</v>
      </c>
      <c r="P649">
        <v>1.79</v>
      </c>
      <c r="Q649">
        <v>1.35</v>
      </c>
      <c r="R649" t="str" cm="1">
        <f t="array" ref="R6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49">
        <v>1</v>
      </c>
      <c r="T649">
        <v>2</v>
      </c>
      <c r="U649">
        <v>3</v>
      </c>
      <c r="V649">
        <v>1</v>
      </c>
      <c r="W649">
        <v>0</v>
      </c>
      <c r="X649">
        <v>1</v>
      </c>
      <c r="Y649">
        <v>62</v>
      </c>
      <c r="Z649" t="s">
        <v>1199</v>
      </c>
      <c r="AA649">
        <v>3</v>
      </c>
      <c r="AB649">
        <v>3</v>
      </c>
      <c r="AC649">
        <v>4</v>
      </c>
      <c r="AD649">
        <v>1</v>
      </c>
      <c r="AE649">
        <v>1</v>
      </c>
      <c r="AF649">
        <v>0</v>
      </c>
      <c r="AG649">
        <v>0</v>
      </c>
      <c r="AH649">
        <v>5</v>
      </c>
      <c r="AI649">
        <v>0</v>
      </c>
      <c r="AJ649">
        <v>1</v>
      </c>
      <c r="AK649">
        <v>9</v>
      </c>
      <c r="AL649">
        <v>10</v>
      </c>
      <c r="AM649">
        <v>3</v>
      </c>
      <c r="AN649">
        <v>6</v>
      </c>
      <c r="AO649">
        <v>6</v>
      </c>
      <c r="AP649">
        <v>4</v>
      </c>
      <c r="AQ649">
        <v>20</v>
      </c>
      <c r="AR649">
        <v>16</v>
      </c>
      <c r="AS649">
        <v>46</v>
      </c>
      <c r="AT649">
        <v>54</v>
      </c>
      <c r="AU649">
        <v>1.05</v>
      </c>
      <c r="AV649">
        <v>1.37</v>
      </c>
      <c r="AW649">
        <v>2.37</v>
      </c>
      <c r="AX649">
        <v>61</v>
      </c>
      <c r="AY649">
        <v>73</v>
      </c>
      <c r="AZ649">
        <v>40</v>
      </c>
      <c r="BA649">
        <v>27</v>
      </c>
      <c r="BB649">
        <v>0</v>
      </c>
      <c r="BC649">
        <v>27</v>
      </c>
      <c r="BD649">
        <v>70</v>
      </c>
      <c r="BE649">
        <v>46</v>
      </c>
      <c r="BF649">
        <v>79</v>
      </c>
      <c r="BG649">
        <v>9.8000000000000007</v>
      </c>
      <c r="BH649">
        <v>4.4800000000000004</v>
      </c>
      <c r="BI649">
        <v>1.53</v>
      </c>
      <c r="BJ649">
        <v>4.0999999999999996</v>
      </c>
      <c r="BK649">
        <v>5.75</v>
      </c>
      <c r="BL649">
        <f>(1/Table1[[#This Row],[odds_ft_home_team_win]]+1/Table1[[#This Row],[odds_ft_draw]]+1/Table1[[#This Row],[odds_ft_away_team_win]]-1)/3</f>
        <v>2.3803417914827058E-2</v>
      </c>
      <c r="BM649">
        <v>1.3</v>
      </c>
      <c r="BN649">
        <v>1.83</v>
      </c>
      <c r="BO649">
        <v>3.1</v>
      </c>
      <c r="BP649">
        <v>6</v>
      </c>
      <c r="BQ649">
        <v>1.95</v>
      </c>
      <c r="BR649">
        <v>1.8</v>
      </c>
      <c r="BS649" t="s">
        <v>713</v>
      </c>
      <c r="BT649">
        <f>VLOOKUP(Table1[[#This Row],[Reference]],metron,8,FALSE)</f>
        <v>2.1234388909289978</v>
      </c>
      <c r="BU649">
        <f>VLOOKUP(Table1[[#This Row],[Reference]],metron,9,FALSE)</f>
        <v>0.63925141338926716</v>
      </c>
      <c r="BV649">
        <f>VLOOKUP(Table1[[#This Row],[Reference]],metron,10,FALSE)</f>
        <v>2.7366666666666664</v>
      </c>
      <c r="BW649">
        <f>VLOOKUP(Table1[[#This Row],[Reference]],metron,11,FALSE)</f>
        <v>1.8681481481481479</v>
      </c>
      <c r="BX649">
        <f>VLOOKUP(Table1[[#This Row],[Reference]],metron,12,FALSE)</f>
        <v>0.86851851851851847</v>
      </c>
      <c r="BY649" s="6">
        <f>VLOOKUP(Table1[[#This Row],[Reference]],metron,13,FALSE)</f>
        <v>0.81333333333333335</v>
      </c>
      <c r="BZ649" s="6">
        <f>VLOOKUP(Table1[[#This Row],[Reference]],metron,14,FALSE)</f>
        <v>0.38925925925925919</v>
      </c>
      <c r="CA649" s="6">
        <f>VLOOKUP(Table1[[#This Row],[Reference]],metron,15,FALSE)</f>
        <v>14.53422724064926</v>
      </c>
      <c r="CB649" s="6">
        <f>VLOOKUP(Table1[[#This Row],[Reference]],metron,16,FALSE)</f>
        <v>8.7882851093860275</v>
      </c>
      <c r="CC649" s="6">
        <f>VLOOKUP(Table1[[#This Row],[Reference]],metron,17,FALSE)</f>
        <v>6.3007953723788868</v>
      </c>
      <c r="CD649" s="6">
        <f>VLOOKUP(Table1[[#This Row],[Reference]],metron,18,FALSE)</f>
        <v>3.681851048445409</v>
      </c>
      <c r="CE649" s="6">
        <f>VLOOKUP(Table1[[#This Row],[Reference]],metron,19,FALSE)</f>
        <v>8.2334318682703724</v>
      </c>
      <c r="CF649" s="6">
        <f>VLOOKUP(Table1[[#This Row],[Reference]],metron,20,FALSE)</f>
        <v>5.106434060940618</v>
      </c>
      <c r="CG649" s="6">
        <f>VLOOKUP(Table1[[#This Row],[Reference]],metron,21,FALSE)</f>
        <v>12.32150615496017</v>
      </c>
      <c r="CH649" s="6">
        <f>VLOOKUP(Table1[[#This Row],[Reference]],metron,22,FALSE)</f>
        <v>13.337436640115859</v>
      </c>
      <c r="CI649" s="6">
        <f>VLOOKUP(Table1[[#This Row],[Reference]],metron,23,FALSE)</f>
        <v>1.346101231190151</v>
      </c>
      <c r="CJ649" s="6">
        <f>VLOOKUP(Table1[[#This Row],[Reference]],metron,24,FALSE)</f>
        <v>1.995212038303694</v>
      </c>
      <c r="CK649" s="6">
        <f>VLOOKUP(Table1[[#This Row],[Reference]],metron,25,FALSE)</f>
        <v>6.1559507523939808E-2</v>
      </c>
      <c r="CL649" s="6">
        <f>VLOOKUP(Table1[[#This Row],[Reference]],metron,26,FALSE)</f>
        <v>0.13201094391244869</v>
      </c>
    </row>
    <row r="650" spans="1:90" x14ac:dyDescent="0.45">
      <c r="A650" t="s">
        <v>1256</v>
      </c>
      <c r="B650">
        <v>1619224200</v>
      </c>
      <c r="C650" s="23" t="s">
        <v>1200</v>
      </c>
      <c r="D650" t="s">
        <v>65</v>
      </c>
      <c r="E650" t="s">
        <v>66</v>
      </c>
      <c r="F650" t="s">
        <v>102</v>
      </c>
      <c r="G650" t="s">
        <v>96</v>
      </c>
      <c r="H650" t="s">
        <v>103</v>
      </c>
      <c r="I650">
        <f>MROUND(Table1[[#This Row],[ProbH]]*100,2)/100</f>
        <v>0.52</v>
      </c>
      <c r="J650">
        <f>1/Table1[[#This Row],[odds_ft_home_team_win]]-Table1[[#This Row],[Margin]]</f>
        <v>0.51289992956402841</v>
      </c>
      <c r="K650">
        <f>1/Table1[[#This Row],[odds_ft_draw]]-Table1[[#This Row],[Margin]]</f>
        <v>0.26799564373902657</v>
      </c>
      <c r="L650">
        <f>1/Table1[[#This Row],[odds_ft_away_team_win]]-Table1[[#This Row],[Margin]]</f>
        <v>0.21910442669694516</v>
      </c>
      <c r="M650">
        <v>16</v>
      </c>
      <c r="N650">
        <v>1.35</v>
      </c>
      <c r="O650">
        <v>1.26</v>
      </c>
      <c r="P650">
        <v>1.5</v>
      </c>
      <c r="Q650">
        <v>1.25</v>
      </c>
      <c r="R650" t="str" cm="1">
        <f t="array" ref="R6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AA650">
        <v>10</v>
      </c>
      <c r="AB650">
        <v>3</v>
      </c>
      <c r="AC650">
        <v>0</v>
      </c>
      <c r="AD650">
        <v>0</v>
      </c>
      <c r="AE650">
        <v>3</v>
      </c>
      <c r="AF650">
        <v>0</v>
      </c>
      <c r="AG650">
        <v>0</v>
      </c>
      <c r="AH650">
        <v>0</v>
      </c>
      <c r="AI650">
        <v>2</v>
      </c>
      <c r="AJ650">
        <v>1</v>
      </c>
      <c r="AK650">
        <v>18</v>
      </c>
      <c r="AL650">
        <v>15</v>
      </c>
      <c r="AM650">
        <v>3</v>
      </c>
      <c r="AN650">
        <v>6</v>
      </c>
      <c r="AO650">
        <v>15</v>
      </c>
      <c r="AP650">
        <v>9</v>
      </c>
      <c r="AQ650">
        <v>8</v>
      </c>
      <c r="AR650">
        <v>12</v>
      </c>
      <c r="AS650">
        <v>61</v>
      </c>
      <c r="AT650">
        <v>39</v>
      </c>
      <c r="AU650">
        <v>1.89</v>
      </c>
      <c r="AV650">
        <v>1.65</v>
      </c>
      <c r="AW650">
        <v>2.2400000000000002</v>
      </c>
      <c r="AX650">
        <v>48</v>
      </c>
      <c r="AY650">
        <v>64</v>
      </c>
      <c r="AZ650">
        <v>37</v>
      </c>
      <c r="BA650">
        <v>20</v>
      </c>
      <c r="BB650">
        <v>9</v>
      </c>
      <c r="BC650">
        <v>37</v>
      </c>
      <c r="BD650">
        <v>64</v>
      </c>
      <c r="BE650">
        <v>34</v>
      </c>
      <c r="BF650">
        <v>64</v>
      </c>
      <c r="BG650">
        <v>8.89</v>
      </c>
      <c r="BH650">
        <v>4.4000000000000004</v>
      </c>
      <c r="BI650">
        <v>1.87</v>
      </c>
      <c r="BJ650">
        <v>3.45</v>
      </c>
      <c r="BK650">
        <v>4.1500000000000004</v>
      </c>
      <c r="BL650">
        <f>(1/Table1[[#This Row],[odds_ft_home_team_win]]+1/Table1[[#This Row],[odds_ft_draw]]+1/Table1[[#This Row],[odds_ft_away_team_win]]-1)/3</f>
        <v>2.1859428724741559E-2</v>
      </c>
      <c r="BM650">
        <v>1.36</v>
      </c>
      <c r="BN650">
        <v>2.0499999999999998</v>
      </c>
      <c r="BO650">
        <v>3.45</v>
      </c>
      <c r="BP650">
        <v>6.75</v>
      </c>
      <c r="BQ650">
        <v>1.95</v>
      </c>
      <c r="BR650">
        <v>1.8</v>
      </c>
      <c r="BS650" t="s">
        <v>124</v>
      </c>
      <c r="BT650">
        <f>VLOOKUP(Table1[[#This Row],[Reference]],metron,8,FALSE)</f>
        <v>1.8614830167843088</v>
      </c>
      <c r="BU650">
        <f>VLOOKUP(Table1[[#This Row],[Reference]],metron,9,FALSE)</f>
        <v>0.87079851622593896</v>
      </c>
      <c r="BV650">
        <f>VLOOKUP(Table1[[#This Row],[Reference]],metron,10,FALSE)</f>
        <v>2.5967403582378576</v>
      </c>
      <c r="BW650">
        <f>VLOOKUP(Table1[[#This Row],[Reference]],metron,11,FALSE)</f>
        <v>1.625948039373891</v>
      </c>
      <c r="BX650">
        <f>VLOOKUP(Table1[[#This Row],[Reference]],metron,12,FALSE)</f>
        <v>0.97079231886396644</v>
      </c>
      <c r="BY650" s="6">
        <f>VLOOKUP(Table1[[#This Row],[Reference]],metron,13,FALSE)</f>
        <v>0.71433182698515174</v>
      </c>
      <c r="BZ650" s="6">
        <f>VLOOKUP(Table1[[#This Row],[Reference]],metron,14,FALSE)</f>
        <v>0.43011620400258233</v>
      </c>
      <c r="CA650" s="6">
        <f>VLOOKUP(Table1[[#This Row],[Reference]],metron,15,FALSE)</f>
        <v>13.39951055368614</v>
      </c>
      <c r="CB650" s="6">
        <f>VLOOKUP(Table1[[#This Row],[Reference]],metron,16,FALSE)</f>
        <v>9.4252064851636579</v>
      </c>
      <c r="CC650" s="6">
        <f>VLOOKUP(Table1[[#This Row],[Reference]],metron,17,FALSE)</f>
        <v>5.7628422023992618</v>
      </c>
      <c r="CD650" s="6">
        <f>VLOOKUP(Table1[[#This Row],[Reference]],metron,18,FALSE)</f>
        <v>3.9375576745616732</v>
      </c>
      <c r="CE650" s="6">
        <f>VLOOKUP(Table1[[#This Row],[Reference]],metron,19,FALSE)</f>
        <v>7.636668351286878</v>
      </c>
      <c r="CF650" s="6">
        <f>VLOOKUP(Table1[[#This Row],[Reference]],metron,20,FALSE)</f>
        <v>5.4876488106019847</v>
      </c>
      <c r="CG650" s="6">
        <f>VLOOKUP(Table1[[#This Row],[Reference]],metron,21,FALSE)</f>
        <v>12.460420531849101</v>
      </c>
      <c r="CH650" s="6">
        <f>VLOOKUP(Table1[[#This Row],[Reference]],metron,22,FALSE)</f>
        <v>13.44897959183673</v>
      </c>
      <c r="CI650" s="6">
        <f>VLOOKUP(Table1[[#This Row],[Reference]],metron,23,FALSE)</f>
        <v>1.462202380952381</v>
      </c>
      <c r="CJ650" s="6">
        <f>VLOOKUP(Table1[[#This Row],[Reference]],metron,24,FALSE)</f>
        <v>2.01547619047619</v>
      </c>
      <c r="CK650" s="6">
        <f>VLOOKUP(Table1[[#This Row],[Reference]],metron,25,FALSE)</f>
        <v>7.7380952380952384E-2</v>
      </c>
      <c r="CL650" s="6">
        <f>VLOOKUP(Table1[[#This Row],[Reference]],metron,26,FALSE)</f>
        <v>0.13754093480202439</v>
      </c>
    </row>
    <row r="651" spans="1:90" x14ac:dyDescent="0.45">
      <c r="A651" t="s">
        <v>1256</v>
      </c>
      <c r="B651">
        <v>1619229960</v>
      </c>
      <c r="C651" s="23" t="s">
        <v>1201</v>
      </c>
      <c r="D651" t="s">
        <v>65</v>
      </c>
      <c r="E651" t="s">
        <v>66</v>
      </c>
      <c r="F651" t="s">
        <v>106</v>
      </c>
      <c r="G651" t="s">
        <v>72</v>
      </c>
      <c r="H651" t="s">
        <v>215</v>
      </c>
      <c r="I651">
        <f>MROUND(Table1[[#This Row],[ProbH]]*100,2)/100</f>
        <v>0.54</v>
      </c>
      <c r="J651">
        <f>1/Table1[[#This Row],[odds_ft_home_team_win]]-Table1[[#This Row],[Margin]]</f>
        <v>0.5414597049691765</v>
      </c>
      <c r="K651">
        <f>1/Table1[[#This Row],[odds_ft_draw]]-Table1[[#This Row],[Margin]]</f>
        <v>0.24675822382701737</v>
      </c>
      <c r="L651">
        <f>1/Table1[[#This Row],[odds_ft_away_team_win]]-Table1[[#This Row],[Margin]]</f>
        <v>0.21178207120380596</v>
      </c>
      <c r="M651">
        <v>16</v>
      </c>
      <c r="N651">
        <v>1.5</v>
      </c>
      <c r="O651">
        <v>0.76</v>
      </c>
      <c r="P651">
        <v>1.59</v>
      </c>
      <c r="Q651">
        <v>0.72</v>
      </c>
      <c r="R651" t="str" cm="1">
        <f t="array" ref="R6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59</v>
      </c>
      <c r="AA651">
        <v>5</v>
      </c>
      <c r="AB651">
        <v>10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2</v>
      </c>
      <c r="AI651">
        <v>0</v>
      </c>
      <c r="AJ651">
        <v>0</v>
      </c>
      <c r="AK651">
        <v>15</v>
      </c>
      <c r="AL651">
        <v>18</v>
      </c>
      <c r="AM651">
        <v>8</v>
      </c>
      <c r="AN651">
        <v>5</v>
      </c>
      <c r="AO651">
        <v>7</v>
      </c>
      <c r="AP651">
        <v>13</v>
      </c>
      <c r="AQ651">
        <v>6</v>
      </c>
      <c r="AR651">
        <v>10</v>
      </c>
      <c r="AS651">
        <v>57</v>
      </c>
      <c r="AT651">
        <v>43</v>
      </c>
      <c r="AU651">
        <v>1.77</v>
      </c>
      <c r="AV651">
        <v>1.91</v>
      </c>
      <c r="AW651">
        <v>2.33</v>
      </c>
      <c r="AX651">
        <v>49</v>
      </c>
      <c r="AY651">
        <v>67</v>
      </c>
      <c r="AZ651">
        <v>43</v>
      </c>
      <c r="BA651">
        <v>25</v>
      </c>
      <c r="BB651">
        <v>10</v>
      </c>
      <c r="BC651">
        <v>34</v>
      </c>
      <c r="BD651">
        <v>70</v>
      </c>
      <c r="BE651">
        <v>33</v>
      </c>
      <c r="BF651">
        <v>76</v>
      </c>
      <c r="BG651">
        <v>7.23</v>
      </c>
      <c r="BH651">
        <v>5.25</v>
      </c>
      <c r="BI651">
        <v>1.77</v>
      </c>
      <c r="BJ651">
        <v>3.7</v>
      </c>
      <c r="BK651">
        <v>4.25</v>
      </c>
      <c r="BL651">
        <f>(1/Table1[[#This Row],[odds_ft_home_team_win]]+1/Table1[[#This Row],[odds_ft_draw]]+1/Table1[[#This Row],[odds_ft_away_team_win]]-1)/3</f>
        <v>2.3512046443252849E-2</v>
      </c>
      <c r="BM651">
        <v>1.29</v>
      </c>
      <c r="BN651">
        <v>1.83</v>
      </c>
      <c r="BO651">
        <v>3</v>
      </c>
      <c r="BP651">
        <v>5.75</v>
      </c>
      <c r="BQ651">
        <v>1.8</v>
      </c>
      <c r="BR651">
        <v>2</v>
      </c>
      <c r="BS651" t="s">
        <v>110</v>
      </c>
      <c r="BT651">
        <f>VLOOKUP(Table1[[#This Row],[Reference]],metron,8,FALSE)</f>
        <v>1.915666026436746</v>
      </c>
      <c r="BU651">
        <f>VLOOKUP(Table1[[#This Row],[Reference]],metron,9,FALSE)</f>
        <v>0.82283834599204153</v>
      </c>
      <c r="BV651">
        <f>VLOOKUP(Table1[[#This Row],[Reference]],metron,10,FALSE)</f>
        <v>2.6359702267612941</v>
      </c>
      <c r="BW651">
        <f>VLOOKUP(Table1[[#This Row],[Reference]],metron,11,FALSE)</f>
        <v>1.684957590444867</v>
      </c>
      <c r="BX651">
        <f>VLOOKUP(Table1[[#This Row],[Reference]],metron,12,FALSE)</f>
        <v>0.95101263631642718</v>
      </c>
      <c r="BY651" s="6">
        <f>VLOOKUP(Table1[[#This Row],[Reference]],metron,13,FALSE)</f>
        <v>0.72650164445213783</v>
      </c>
      <c r="BZ651" s="6">
        <f>VLOOKUP(Table1[[#This Row],[Reference]],metron,14,FALSE)</f>
        <v>0.42097974727367138</v>
      </c>
      <c r="CA651" s="6">
        <f>VLOOKUP(Table1[[#This Row],[Reference]],metron,15,FALSE)</f>
        <v>13.338806970509379</v>
      </c>
      <c r="CB651" s="6">
        <f>VLOOKUP(Table1[[#This Row],[Reference]],metron,16,FALSE)</f>
        <v>9.2530160857908843</v>
      </c>
      <c r="CC651" s="6">
        <f>VLOOKUP(Table1[[#This Row],[Reference]],metron,17,FALSE)</f>
        <v>5.9915081521739131</v>
      </c>
      <c r="CD651" s="6">
        <f>VLOOKUP(Table1[[#This Row],[Reference]],metron,18,FALSE)</f>
        <v>3.9772418478260869</v>
      </c>
      <c r="CE651" s="6">
        <f>VLOOKUP(Table1[[#This Row],[Reference]],metron,19,FALSE)</f>
        <v>7.3472988183354664</v>
      </c>
      <c r="CF651" s="6">
        <f>VLOOKUP(Table1[[#This Row],[Reference]],metron,20,FALSE)</f>
        <v>5.2757742379647974</v>
      </c>
      <c r="CG651" s="6">
        <f>VLOOKUP(Table1[[#This Row],[Reference]],metron,21,FALSE)</f>
        <v>12.59428182437032</v>
      </c>
      <c r="CH651" s="6">
        <f>VLOOKUP(Table1[[#This Row],[Reference]],metron,22,FALSE)</f>
        <v>13.577944179714089</v>
      </c>
      <c r="CI651" s="6">
        <f>VLOOKUP(Table1[[#This Row],[Reference]],metron,23,FALSE)</f>
        <v>1.4276913099870301</v>
      </c>
      <c r="CJ651" s="6">
        <f>VLOOKUP(Table1[[#This Row],[Reference]],metron,24,FALSE)</f>
        <v>1.940985732814527</v>
      </c>
      <c r="CK651" s="6">
        <f>VLOOKUP(Table1[[#This Row],[Reference]],metron,25,FALSE)</f>
        <v>8.0739299610894946E-2</v>
      </c>
      <c r="CL651" s="6">
        <f>VLOOKUP(Table1[[#This Row],[Reference]],metron,26,FALSE)</f>
        <v>0.12743190661478601</v>
      </c>
    </row>
    <row r="652" spans="1:90" x14ac:dyDescent="0.45">
      <c r="A652" t="s">
        <v>1256</v>
      </c>
      <c r="B652">
        <v>1619231700</v>
      </c>
      <c r="C652" s="23" t="s">
        <v>1202</v>
      </c>
      <c r="D652" t="s">
        <v>65</v>
      </c>
      <c r="E652" t="s">
        <v>66</v>
      </c>
      <c r="F652" t="s">
        <v>113</v>
      </c>
      <c r="G652" t="s">
        <v>85</v>
      </c>
      <c r="H652" t="s">
        <v>158</v>
      </c>
      <c r="I652">
        <f>MROUND(Table1[[#This Row],[ProbH]]*100,2)/100</f>
        <v>0.24</v>
      </c>
      <c r="J652">
        <f>1/Table1[[#This Row],[odds_ft_home_team_win]]-Table1[[#This Row],[Margin]]</f>
        <v>0.23919460948172941</v>
      </c>
      <c r="K652">
        <f>1/Table1[[#This Row],[odds_ft_draw]]-Table1[[#This Row],[Margin]]</f>
        <v>0.25000931748461336</v>
      </c>
      <c r="L652">
        <f>1/Table1[[#This Row],[odds_ft_away_team_win]]-Table1[[#This Row],[Margin]]</f>
        <v>0.51079607303365726</v>
      </c>
      <c r="M652">
        <v>16</v>
      </c>
      <c r="N652">
        <v>1.44</v>
      </c>
      <c r="O652">
        <v>1.58</v>
      </c>
      <c r="P652">
        <v>1.53</v>
      </c>
      <c r="Q652">
        <v>1.5</v>
      </c>
      <c r="R652" s="9" t="str" cm="1">
        <f t="array" ref="R6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2">
        <v>4</v>
      </c>
      <c r="T652">
        <v>3</v>
      </c>
      <c r="U652">
        <v>7</v>
      </c>
      <c r="V652">
        <v>3</v>
      </c>
      <c r="W652">
        <v>1</v>
      </c>
      <c r="X652">
        <v>2</v>
      </c>
      <c r="Y652" t="s">
        <v>1203</v>
      </c>
      <c r="Z652" t="s">
        <v>1204</v>
      </c>
      <c r="AA652">
        <v>2</v>
      </c>
      <c r="AB652">
        <v>6</v>
      </c>
      <c r="AC652">
        <v>1</v>
      </c>
      <c r="AD652">
        <v>0</v>
      </c>
      <c r="AE652">
        <v>2</v>
      </c>
      <c r="AF652">
        <v>1</v>
      </c>
      <c r="AG652">
        <v>0</v>
      </c>
      <c r="AH652">
        <v>1</v>
      </c>
      <c r="AI652">
        <v>2</v>
      </c>
      <c r="AJ652">
        <v>1</v>
      </c>
      <c r="AK652">
        <v>6</v>
      </c>
      <c r="AL652">
        <v>8</v>
      </c>
      <c r="AM652">
        <v>2</v>
      </c>
      <c r="AN652">
        <v>3</v>
      </c>
      <c r="AO652">
        <v>4</v>
      </c>
      <c r="AP652">
        <v>5</v>
      </c>
      <c r="AQ652">
        <v>13</v>
      </c>
      <c r="AR652">
        <v>15</v>
      </c>
      <c r="AS652">
        <v>45</v>
      </c>
      <c r="AT652">
        <v>55</v>
      </c>
      <c r="AU652">
        <v>0.73</v>
      </c>
      <c r="AV652">
        <v>1.1499999999999999</v>
      </c>
      <c r="AW652">
        <v>2.35</v>
      </c>
      <c r="AX652">
        <v>52</v>
      </c>
      <c r="AY652">
        <v>71</v>
      </c>
      <c r="AZ652">
        <v>44</v>
      </c>
      <c r="BA652">
        <v>21</v>
      </c>
      <c r="BB652">
        <v>15</v>
      </c>
      <c r="BC652">
        <v>39</v>
      </c>
      <c r="BD652">
        <v>69</v>
      </c>
      <c r="BE652">
        <v>26</v>
      </c>
      <c r="BF652">
        <v>70</v>
      </c>
      <c r="BG652">
        <v>7.76</v>
      </c>
      <c r="BH652">
        <v>4.57</v>
      </c>
      <c r="BI652">
        <v>3.8</v>
      </c>
      <c r="BJ652">
        <v>3.65</v>
      </c>
      <c r="BK652">
        <v>1.87</v>
      </c>
      <c r="BL652">
        <f>(1/Table1[[#This Row],[odds_ft_home_team_win]]+1/Table1[[#This Row],[odds_ft_draw]]+1/Table1[[#This Row],[odds_ft_away_team_win]]-1)/3</f>
        <v>2.3963285255112671E-2</v>
      </c>
      <c r="BM652">
        <v>1.27</v>
      </c>
      <c r="BN652">
        <v>1.8</v>
      </c>
      <c r="BO652">
        <v>2.85</v>
      </c>
      <c r="BP652">
        <v>5.25</v>
      </c>
      <c r="BQ652">
        <v>1.69</v>
      </c>
      <c r="BR652">
        <v>2.1</v>
      </c>
      <c r="BS652" t="s">
        <v>120</v>
      </c>
      <c r="BT652">
        <f>VLOOKUP(Table1[[#This Row],[Reference]],metron,8,FALSE)</f>
        <v>1.0221684690062811</v>
      </c>
      <c r="BU652">
        <f>VLOOKUP(Table1[[#This Row],[Reference]],metron,9,FALSE)</f>
        <v>1.7036119427882386</v>
      </c>
      <c r="BV652">
        <f>VLOOKUP(Table1[[#This Row],[Reference]],metron,10,FALSE)</f>
        <v>2.6014437689969609</v>
      </c>
      <c r="BW652">
        <f>VLOOKUP(Table1[[#This Row],[Reference]],metron,11,FALSE)</f>
        <v>1.067249240121581</v>
      </c>
      <c r="BX652">
        <f>VLOOKUP(Table1[[#This Row],[Reference]],metron,12,FALSE)</f>
        <v>1.53419452887538</v>
      </c>
      <c r="BY652" s="6">
        <f>VLOOKUP(Table1[[#This Row],[Reference]],metron,13,FALSE)</f>
        <v>0.45589353612167299</v>
      </c>
      <c r="BZ652" s="6">
        <f>VLOOKUP(Table1[[#This Row],[Reference]],metron,14,FALSE)</f>
        <v>0.65133079847908748</v>
      </c>
      <c r="CA652" s="6">
        <f>VLOOKUP(Table1[[#This Row],[Reference]],metron,15,FALSE)</f>
        <v>10.75886524822695</v>
      </c>
      <c r="CB652" s="6">
        <f>VLOOKUP(Table1[[#This Row],[Reference]],metron,16,FALSE)</f>
        <v>12.46679561573179</v>
      </c>
      <c r="CC652" s="6">
        <f>VLOOKUP(Table1[[#This Row],[Reference]],metron,17,FALSE)</f>
        <v>4.1157347204161248</v>
      </c>
      <c r="CD652" s="6">
        <f>VLOOKUP(Table1[[#This Row],[Reference]],metron,18,FALSE)</f>
        <v>5.1072821846553964</v>
      </c>
      <c r="CE652" s="6">
        <f>VLOOKUP(Table1[[#This Row],[Reference]],metron,19,FALSE)</f>
        <v>6.6431305278108255</v>
      </c>
      <c r="CF652" s="6">
        <f>VLOOKUP(Table1[[#This Row],[Reference]],metron,20,FALSE)</f>
        <v>7.3595134310763939</v>
      </c>
      <c r="CG652" s="6">
        <f>VLOOKUP(Table1[[#This Row],[Reference]],metron,21,FALSE)</f>
        <v>13.11140235910878</v>
      </c>
      <c r="CH652" s="6">
        <f>VLOOKUP(Table1[[#This Row],[Reference]],metron,22,FALSE)</f>
        <v>12.93184796854522</v>
      </c>
      <c r="CI652" s="6">
        <f>VLOOKUP(Table1[[#This Row],[Reference]],metron,23,FALSE)</f>
        <v>1.8341677096370459</v>
      </c>
      <c r="CJ652" s="6">
        <f>VLOOKUP(Table1[[#This Row],[Reference]],metron,24,FALSE)</f>
        <v>1.7903629536921151</v>
      </c>
      <c r="CK652" s="6">
        <f>VLOOKUP(Table1[[#This Row],[Reference]],metron,25,FALSE)</f>
        <v>0.1095118898623279</v>
      </c>
      <c r="CL652" s="6">
        <f>VLOOKUP(Table1[[#This Row],[Reference]],metron,26,FALSE)</f>
        <v>9.3241551939924908E-2</v>
      </c>
    </row>
    <row r="653" spans="1:90" x14ac:dyDescent="0.45">
      <c r="A653" t="s">
        <v>1256</v>
      </c>
      <c r="B653">
        <v>1619301600</v>
      </c>
      <c r="C653" s="23" t="s">
        <v>1205</v>
      </c>
      <c r="D653" t="s">
        <v>65</v>
      </c>
      <c r="E653" t="s">
        <v>66</v>
      </c>
      <c r="F653" t="s">
        <v>112</v>
      </c>
      <c r="G653" t="s">
        <v>91</v>
      </c>
      <c r="H653" t="s">
        <v>98</v>
      </c>
      <c r="I653">
        <f>MROUND(Table1[[#This Row],[ProbH]]*100,2)/100</f>
        <v>0.7</v>
      </c>
      <c r="J653">
        <f>1/Table1[[#This Row],[odds_ft_home_team_win]]-Table1[[#This Row],[Margin]]</f>
        <v>0.69100529100529107</v>
      </c>
      <c r="K653">
        <f>1/Table1[[#This Row],[odds_ft_draw]]-Table1[[#This Row],[Margin]]</f>
        <v>0.19894179894179895</v>
      </c>
      <c r="L653">
        <f>1/Table1[[#This Row],[odds_ft_away_team_win]]-Table1[[#This Row],[Margin]]</f>
        <v>0.11005291005291006</v>
      </c>
      <c r="M653">
        <v>16</v>
      </c>
      <c r="N653">
        <v>2.1800000000000002</v>
      </c>
      <c r="O653">
        <v>0.38</v>
      </c>
      <c r="P653">
        <v>2.1800000000000002</v>
      </c>
      <c r="Q653">
        <v>0.35</v>
      </c>
      <c r="R653" t="str" cm="1">
        <f t="array" ref="R6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3">
        <v>3</v>
      </c>
      <c r="T653">
        <v>2</v>
      </c>
      <c r="U653">
        <v>5</v>
      </c>
      <c r="V653">
        <v>3</v>
      </c>
      <c r="W653">
        <v>2</v>
      </c>
      <c r="X653">
        <v>1</v>
      </c>
      <c r="Y653" t="s">
        <v>1206</v>
      </c>
      <c r="Z653" t="s">
        <v>1207</v>
      </c>
      <c r="AA653">
        <v>4</v>
      </c>
      <c r="AB653">
        <v>13</v>
      </c>
      <c r="AC653">
        <v>0</v>
      </c>
      <c r="AD653">
        <v>0</v>
      </c>
      <c r="AE653">
        <v>2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17</v>
      </c>
      <c r="AL653">
        <v>16</v>
      </c>
      <c r="AM653">
        <v>7</v>
      </c>
      <c r="AN653">
        <v>4</v>
      </c>
      <c r="AO653">
        <v>10</v>
      </c>
      <c r="AP653">
        <v>12</v>
      </c>
      <c r="AQ653">
        <v>13</v>
      </c>
      <c r="AR653">
        <v>11</v>
      </c>
      <c r="AS653">
        <v>48</v>
      </c>
      <c r="AT653">
        <v>52</v>
      </c>
      <c r="AU653">
        <v>1.9</v>
      </c>
      <c r="AV653">
        <v>1.74</v>
      </c>
      <c r="AW653">
        <v>2.71</v>
      </c>
      <c r="AX653">
        <v>43</v>
      </c>
      <c r="AY653">
        <v>74</v>
      </c>
      <c r="AZ653">
        <v>58</v>
      </c>
      <c r="BA653">
        <v>27</v>
      </c>
      <c r="BB653">
        <v>15</v>
      </c>
      <c r="BC653">
        <v>34</v>
      </c>
      <c r="BD653">
        <v>64</v>
      </c>
      <c r="BE653">
        <v>46</v>
      </c>
      <c r="BF653">
        <v>88</v>
      </c>
      <c r="BG653">
        <v>9.6999999999999993</v>
      </c>
      <c r="BH653">
        <v>4.1399999999999997</v>
      </c>
      <c r="BI653">
        <v>1.4</v>
      </c>
      <c r="BJ653">
        <v>4.5</v>
      </c>
      <c r="BK653">
        <v>7.5</v>
      </c>
      <c r="BL653">
        <f>(1/Table1[[#This Row],[odds_ft_home_team_win]]+1/Table1[[#This Row],[odds_ft_draw]]+1/Table1[[#This Row],[odds_ft_away_team_win]]-1)/3</f>
        <v>2.3280423280423273E-2</v>
      </c>
      <c r="BM653">
        <v>1.27</v>
      </c>
      <c r="BN653">
        <v>2</v>
      </c>
      <c r="BO653">
        <v>3</v>
      </c>
      <c r="BP653">
        <v>5.5</v>
      </c>
      <c r="BQ653">
        <v>1.95</v>
      </c>
      <c r="BR653">
        <v>1.83</v>
      </c>
      <c r="BS653" t="s">
        <v>116</v>
      </c>
      <c r="BT653">
        <f>VLOOKUP(Table1[[#This Row],[Reference]],metron,8,FALSE)</f>
        <v>2.3288743096422602</v>
      </c>
      <c r="BU653">
        <f>VLOOKUP(Table1[[#This Row],[Reference]],metron,9,FALSE)</f>
        <v>0.47695922076506025</v>
      </c>
      <c r="BV653">
        <f>VLOOKUP(Table1[[#This Row],[Reference]],metron,10,FALSE)</f>
        <v>2.9925826028320968</v>
      </c>
      <c r="BW653">
        <f>VLOOKUP(Table1[[#This Row],[Reference]],metron,11,FALSE)</f>
        <v>2.224544841537424</v>
      </c>
      <c r="BX653">
        <f>VLOOKUP(Table1[[#This Row],[Reference]],metron,12,FALSE)</f>
        <v>0.76803776129467294</v>
      </c>
      <c r="BY653" s="6">
        <f>VLOOKUP(Table1[[#This Row],[Reference]],metron,13,FALSE)</f>
        <v>0.96561024949426832</v>
      </c>
      <c r="BZ653" s="6">
        <f>VLOOKUP(Table1[[#This Row],[Reference]],metron,14,FALSE)</f>
        <v>0.34187457855697911</v>
      </c>
      <c r="CA653" s="6">
        <f>VLOOKUP(Table1[[#This Row],[Reference]],metron,15,FALSE)</f>
        <v>16.100000000000001</v>
      </c>
      <c r="CB653" s="6">
        <f>VLOOKUP(Table1[[#This Row],[Reference]],metron,16,FALSE)</f>
        <v>8.3493506493506491</v>
      </c>
      <c r="CC653" s="6">
        <f>VLOOKUP(Table1[[#This Row],[Reference]],metron,17,FALSE)</f>
        <v>7.2678100263852254</v>
      </c>
      <c r="CD653" s="6">
        <f>VLOOKUP(Table1[[#This Row],[Reference]],metron,18,FALSE)</f>
        <v>3.2770448548812658</v>
      </c>
      <c r="CE653" s="6">
        <f>VLOOKUP(Table1[[#This Row],[Reference]],metron,19,FALSE)</f>
        <v>8.832189973614776</v>
      </c>
      <c r="CF653" s="6">
        <f>VLOOKUP(Table1[[#This Row],[Reference]],metron,20,FALSE)</f>
        <v>5.0723057944693828</v>
      </c>
      <c r="CG653" s="6">
        <f>VLOOKUP(Table1[[#This Row],[Reference]],metron,21,FALSE)</f>
        <v>11.95872170439414</v>
      </c>
      <c r="CH653" s="6">
        <f>VLOOKUP(Table1[[#This Row],[Reference]],metron,22,FALSE)</f>
        <v>13.450066577896139</v>
      </c>
      <c r="CI653" s="6">
        <f>VLOOKUP(Table1[[#This Row],[Reference]],metron,23,FALSE)</f>
        <v>1.301526717557252</v>
      </c>
      <c r="CJ653" s="6">
        <f>VLOOKUP(Table1[[#This Row],[Reference]],metron,24,FALSE)</f>
        <v>1.9796437659033079</v>
      </c>
      <c r="CK653" s="6">
        <f>VLOOKUP(Table1[[#This Row],[Reference]],metron,25,FALSE)</f>
        <v>5.3435114503816793E-2</v>
      </c>
      <c r="CL653" s="6">
        <f>VLOOKUP(Table1[[#This Row],[Reference]],metron,26,FALSE)</f>
        <v>0.1183206106870229</v>
      </c>
    </row>
    <row r="654" spans="1:90" x14ac:dyDescent="0.45">
      <c r="A654" t="s">
        <v>1256</v>
      </c>
      <c r="B654">
        <v>1619308800</v>
      </c>
      <c r="C654" s="23" t="s">
        <v>1208</v>
      </c>
      <c r="D654" t="s">
        <v>65</v>
      </c>
      <c r="E654" t="s">
        <v>66</v>
      </c>
      <c r="F654" t="s">
        <v>97</v>
      </c>
      <c r="G654" t="s">
        <v>90</v>
      </c>
      <c r="H654" t="s">
        <v>130</v>
      </c>
      <c r="I654">
        <f>MROUND(Table1[[#This Row],[ProbH]]*100,2)/100</f>
        <v>0.42</v>
      </c>
      <c r="J654">
        <f>1/Table1[[#This Row],[odds_ft_home_team_win]]-Table1[[#This Row],[Margin]]</f>
        <v>0.42125391305719173</v>
      </c>
      <c r="K654">
        <f>1/Table1[[#This Row],[odds_ft_draw]]-Table1[[#This Row],[Margin]]</f>
        <v>0.29457731097075363</v>
      </c>
      <c r="L654">
        <f>1/Table1[[#This Row],[odds_ft_away_team_win]]-Table1[[#This Row],[Margin]]</f>
        <v>0.28416877597205464</v>
      </c>
      <c r="M654">
        <v>16</v>
      </c>
      <c r="N654">
        <v>1.06</v>
      </c>
      <c r="O654">
        <v>1.33</v>
      </c>
      <c r="P654">
        <v>1.21</v>
      </c>
      <c r="Q654">
        <v>1.35</v>
      </c>
      <c r="R654" t="str" cm="1">
        <f t="array" ref="R6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Z654">
        <v>81</v>
      </c>
      <c r="AA654">
        <v>3</v>
      </c>
      <c r="AB654">
        <v>3</v>
      </c>
      <c r="AC654">
        <v>2</v>
      </c>
      <c r="AD654">
        <v>0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2</v>
      </c>
      <c r="AK654">
        <v>14</v>
      </c>
      <c r="AL654">
        <v>5</v>
      </c>
      <c r="AM654">
        <v>3</v>
      </c>
      <c r="AN654">
        <v>3</v>
      </c>
      <c r="AO654">
        <v>11</v>
      </c>
      <c r="AP654">
        <v>2</v>
      </c>
      <c r="AQ654">
        <v>10</v>
      </c>
      <c r="AR654">
        <v>10</v>
      </c>
      <c r="AS654">
        <v>49</v>
      </c>
      <c r="AT654">
        <v>51</v>
      </c>
      <c r="AU654">
        <v>1.33</v>
      </c>
      <c r="AV654">
        <v>0.75</v>
      </c>
      <c r="AW654">
        <v>2.2000000000000002</v>
      </c>
      <c r="AX654">
        <v>50</v>
      </c>
      <c r="AY654">
        <v>68</v>
      </c>
      <c r="AZ654">
        <v>35</v>
      </c>
      <c r="BA654">
        <v>21</v>
      </c>
      <c r="BB654">
        <v>0</v>
      </c>
      <c r="BC654">
        <v>24</v>
      </c>
      <c r="BD654">
        <v>74</v>
      </c>
      <c r="BE654">
        <v>35</v>
      </c>
      <c r="BF654">
        <v>77</v>
      </c>
      <c r="BG654">
        <v>9.5500000000000007</v>
      </c>
      <c r="BH654">
        <v>4.8499999999999996</v>
      </c>
      <c r="BI654">
        <v>2.2000000000000002</v>
      </c>
      <c r="BJ654">
        <v>3.05</v>
      </c>
      <c r="BK654">
        <v>3.15</v>
      </c>
      <c r="BL654">
        <f>(1/Table1[[#This Row],[odds_ft_home_team_win]]+1/Table1[[#This Row],[odds_ft_draw]]+1/Table1[[#This Row],[odds_ft_away_team_win]]-1)/3</f>
        <v>3.3291541488262778E-2</v>
      </c>
      <c r="BM654">
        <v>1.4</v>
      </c>
      <c r="BN654">
        <v>2.25</v>
      </c>
      <c r="BO654">
        <v>3.95</v>
      </c>
      <c r="BP654">
        <v>8</v>
      </c>
      <c r="BQ654">
        <v>2.0499999999999998</v>
      </c>
      <c r="BR654">
        <v>1.71</v>
      </c>
      <c r="BS654" t="s">
        <v>136</v>
      </c>
      <c r="BT654">
        <f>VLOOKUP(Table1[[#This Row],[Reference]],metron,8,FALSE)</f>
        <v>1.5780106027030405</v>
      </c>
      <c r="BU654">
        <f>VLOOKUP(Table1[[#This Row],[Reference]],metron,9,FALSE)</f>
        <v>1.1353025412447635</v>
      </c>
      <c r="BV654">
        <f>VLOOKUP(Table1[[#This Row],[Reference]],metron,10,FALSE)</f>
        <v>2.4884649511978703</v>
      </c>
      <c r="BW654">
        <f>VLOOKUP(Table1[[#This Row],[Reference]],metron,11,FALSE)</f>
        <v>1.396960958296362</v>
      </c>
      <c r="BX654">
        <f>VLOOKUP(Table1[[#This Row],[Reference]],metron,12,FALSE)</f>
        <v>1.091503992901508</v>
      </c>
      <c r="BY654" s="6">
        <f>VLOOKUP(Table1[[#This Row],[Reference]],metron,13,FALSE)</f>
        <v>0.60765391014975045</v>
      </c>
      <c r="BZ654" s="6">
        <f>VLOOKUP(Table1[[#This Row],[Reference]],metron,14,FALSE)</f>
        <v>0.47276760953965608</v>
      </c>
      <c r="CA654" s="6">
        <f>VLOOKUP(Table1[[#This Row],[Reference]],metron,15,FALSE)</f>
        <v>12.29504785684561</v>
      </c>
      <c r="CB654" s="6">
        <f>VLOOKUP(Table1[[#This Row],[Reference]],metron,16,FALSE)</f>
        <v>10.047232625884311</v>
      </c>
      <c r="CC654" s="6">
        <f>VLOOKUP(Table1[[#This Row],[Reference]],metron,17,FALSE)</f>
        <v>5.2917192097519967</v>
      </c>
      <c r="CD654" s="6">
        <f>VLOOKUP(Table1[[#This Row],[Reference]],metron,18,FALSE)</f>
        <v>4.2580916351408158</v>
      </c>
      <c r="CE654" s="6">
        <f>VLOOKUP(Table1[[#This Row],[Reference]],metron,19,FALSE)</f>
        <v>7.0033286470936131</v>
      </c>
      <c r="CF654" s="6">
        <f>VLOOKUP(Table1[[#This Row],[Reference]],metron,20,FALSE)</f>
        <v>5.789140990743495</v>
      </c>
      <c r="CG654" s="6">
        <f>VLOOKUP(Table1[[#This Row],[Reference]],metron,21,FALSE)</f>
        <v>12.77041895895049</v>
      </c>
      <c r="CH654" s="6">
        <f>VLOOKUP(Table1[[#This Row],[Reference]],metron,22,FALSE)</f>
        <v>13.411129919593741</v>
      </c>
      <c r="CI654" s="6">
        <f>VLOOKUP(Table1[[#This Row],[Reference]],metron,23,FALSE)</f>
        <v>1.556141062018646</v>
      </c>
      <c r="CJ654" s="6">
        <f>VLOOKUP(Table1[[#This Row],[Reference]],metron,24,FALSE)</f>
        <v>1.9114308877178761</v>
      </c>
      <c r="CK654" s="6">
        <f>VLOOKUP(Table1[[#This Row],[Reference]],metron,25,FALSE)</f>
        <v>8.4920956627482766E-2</v>
      </c>
      <c r="CL654" s="6">
        <f>VLOOKUP(Table1[[#This Row],[Reference]],metron,26,FALSE)</f>
        <v>0.1323469801378192</v>
      </c>
    </row>
    <row r="655" spans="1:90" x14ac:dyDescent="0.45">
      <c r="A655" t="s">
        <v>1256</v>
      </c>
      <c r="B655">
        <v>1619316600</v>
      </c>
      <c r="C655" s="23" t="s">
        <v>1209</v>
      </c>
      <c r="D655" t="s">
        <v>65</v>
      </c>
      <c r="E655" t="s">
        <v>66</v>
      </c>
      <c r="F655" t="s">
        <v>107</v>
      </c>
      <c r="G655" t="s">
        <v>101</v>
      </c>
      <c r="H655" t="s">
        <v>69</v>
      </c>
      <c r="I655">
        <f>MROUND(Table1[[#This Row],[ProbH]]*100,2)/100</f>
        <v>0.34</v>
      </c>
      <c r="J655">
        <f>1/Table1[[#This Row],[odds_ft_home_team_win]]-Table1[[#This Row],[Margin]]</f>
        <v>0.33227513227513222</v>
      </c>
      <c r="K655">
        <f>1/Table1[[#This Row],[odds_ft_draw]]-Table1[[#This Row],[Margin]]</f>
        <v>0.29259259259259252</v>
      </c>
      <c r="L655">
        <f>1/Table1[[#This Row],[odds_ft_away_team_win]]-Table1[[#This Row],[Margin]]</f>
        <v>0.37513227513227509</v>
      </c>
      <c r="M655">
        <v>16</v>
      </c>
      <c r="N655">
        <v>1.44</v>
      </c>
      <c r="O655">
        <v>1.56</v>
      </c>
      <c r="P655">
        <v>1.53</v>
      </c>
      <c r="Q655">
        <v>1.39</v>
      </c>
      <c r="R655" t="str" cm="1">
        <f t="array" ref="R6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5">
        <v>2</v>
      </c>
      <c r="T655">
        <v>1</v>
      </c>
      <c r="U655">
        <v>3</v>
      </c>
      <c r="V655">
        <v>2</v>
      </c>
      <c r="W655">
        <v>1</v>
      </c>
      <c r="X655">
        <v>1</v>
      </c>
      <c r="Y655" t="s">
        <v>1210</v>
      </c>
      <c r="Z655">
        <v>18</v>
      </c>
      <c r="AA655">
        <v>4</v>
      </c>
      <c r="AB655">
        <v>6</v>
      </c>
      <c r="AC655">
        <v>2</v>
      </c>
      <c r="AD655">
        <v>1</v>
      </c>
      <c r="AE655">
        <v>5</v>
      </c>
      <c r="AF655">
        <v>1</v>
      </c>
      <c r="AG655">
        <v>0</v>
      </c>
      <c r="AH655">
        <v>3</v>
      </c>
      <c r="AI655">
        <v>1</v>
      </c>
      <c r="AJ655">
        <v>5</v>
      </c>
      <c r="AK655">
        <v>11</v>
      </c>
      <c r="AL655">
        <v>10</v>
      </c>
      <c r="AM655">
        <v>7</v>
      </c>
      <c r="AN655">
        <v>4</v>
      </c>
      <c r="AO655">
        <v>4</v>
      </c>
      <c r="AP655">
        <v>6</v>
      </c>
      <c r="AQ655">
        <v>8</v>
      </c>
      <c r="AR655">
        <v>13</v>
      </c>
      <c r="AS655">
        <v>58</v>
      </c>
      <c r="AT655">
        <v>42</v>
      </c>
      <c r="AU655">
        <v>1.6</v>
      </c>
      <c r="AV655">
        <v>1.17</v>
      </c>
      <c r="AW655">
        <v>2.64</v>
      </c>
      <c r="AX655">
        <v>68</v>
      </c>
      <c r="AY655">
        <v>85</v>
      </c>
      <c r="AZ655">
        <v>50</v>
      </c>
      <c r="BA655">
        <v>21</v>
      </c>
      <c r="BB655">
        <v>6</v>
      </c>
      <c r="BC655">
        <v>30</v>
      </c>
      <c r="BD655">
        <v>68</v>
      </c>
      <c r="BE655">
        <v>44</v>
      </c>
      <c r="BF655">
        <v>85</v>
      </c>
      <c r="BG655">
        <v>10.09</v>
      </c>
      <c r="BH655">
        <v>4.41</v>
      </c>
      <c r="BI655">
        <v>2.8</v>
      </c>
      <c r="BJ655">
        <v>3.15</v>
      </c>
      <c r="BK655">
        <v>2.5</v>
      </c>
      <c r="BL655">
        <f>(1/Table1[[#This Row],[odds_ft_home_team_win]]+1/Table1[[#This Row],[odds_ft_draw]]+1/Table1[[#This Row],[odds_ft_away_team_win]]-1)/3</f>
        <v>2.4867724867724927E-2</v>
      </c>
      <c r="BM655">
        <v>1.36</v>
      </c>
      <c r="BN655">
        <v>2</v>
      </c>
      <c r="BO655">
        <v>3.35</v>
      </c>
      <c r="BP655">
        <v>6.75</v>
      </c>
      <c r="BQ655">
        <v>1.8</v>
      </c>
      <c r="BR655">
        <v>1.95</v>
      </c>
      <c r="BS655" t="s">
        <v>161</v>
      </c>
      <c r="BT655">
        <f>VLOOKUP(Table1[[#This Row],[Reference]],metron,8,FALSE)</f>
        <v>1.3382439854569812</v>
      </c>
      <c r="BU655">
        <f>VLOOKUP(Table1[[#This Row],[Reference]],metron,9,FALSE)</f>
        <v>1.3740319615582339</v>
      </c>
      <c r="BV655">
        <f>VLOOKUP(Table1[[#This Row],[Reference]],metron,10,FALSE)</f>
        <v>2.5229727551184897</v>
      </c>
      <c r="BW655">
        <f>VLOOKUP(Table1[[#This Row],[Reference]],metron,11,FALSE)</f>
        <v>1.228921489601805</v>
      </c>
      <c r="BX655">
        <f>VLOOKUP(Table1[[#This Row],[Reference]],metron,12,FALSE)</f>
        <v>1.2940512655166849</v>
      </c>
      <c r="BY655" s="6">
        <f>VLOOKUP(Table1[[#This Row],[Reference]],metron,13,FALSE)</f>
        <v>0.53240890035472432</v>
      </c>
      <c r="BZ655" s="6">
        <f>VLOOKUP(Table1[[#This Row],[Reference]],metron,14,FALSE)</f>
        <v>0.56514027732989358</v>
      </c>
      <c r="CA655" s="6">
        <f>VLOOKUP(Table1[[#This Row],[Reference]],metron,15,FALSE)</f>
        <v>11.417888124439131</v>
      </c>
      <c r="CB655" s="6">
        <f>VLOOKUP(Table1[[#This Row],[Reference]],metron,16,FALSE)</f>
        <v>10.76308704756207</v>
      </c>
      <c r="CC655" s="6">
        <f>VLOOKUP(Table1[[#This Row],[Reference]],metron,17,FALSE)</f>
        <v>4.8317672021824798</v>
      </c>
      <c r="CD655" s="6">
        <f>VLOOKUP(Table1[[#This Row],[Reference]],metron,18,FALSE)</f>
        <v>4.6698999696877843</v>
      </c>
      <c r="CE655" s="6">
        <f>VLOOKUP(Table1[[#This Row],[Reference]],metron,19,FALSE)</f>
        <v>6.5861209222566508</v>
      </c>
      <c r="CF655" s="6">
        <f>VLOOKUP(Table1[[#This Row],[Reference]],metron,20,FALSE)</f>
        <v>6.093187077874286</v>
      </c>
      <c r="CG655" s="6">
        <f>VLOOKUP(Table1[[#This Row],[Reference]],metron,21,FALSE)</f>
        <v>12.685679611650491</v>
      </c>
      <c r="CH655" s="6">
        <f>VLOOKUP(Table1[[#This Row],[Reference]],metron,22,FALSE)</f>
        <v>13.02639563106796</v>
      </c>
      <c r="CI655" s="6">
        <f>VLOOKUP(Table1[[#This Row],[Reference]],metron,23,FALSE)</f>
        <v>1.6481211768132831</v>
      </c>
      <c r="CJ655" s="6">
        <f>VLOOKUP(Table1[[#This Row],[Reference]],metron,24,FALSE)</f>
        <v>1.8572676958928049</v>
      </c>
      <c r="CK655" s="6">
        <f>VLOOKUP(Table1[[#This Row],[Reference]],metron,25,FALSE)</f>
        <v>9.641712787649287E-2</v>
      </c>
      <c r="CL655" s="6">
        <f>VLOOKUP(Table1[[#This Row],[Reference]],metron,26,FALSE)</f>
        <v>0.11302068161957469</v>
      </c>
    </row>
    <row r="656" spans="1:90" x14ac:dyDescent="0.45">
      <c r="A656" t="s">
        <v>1256</v>
      </c>
      <c r="B656">
        <v>1619389800</v>
      </c>
      <c r="C656" s="23" t="s">
        <v>1211</v>
      </c>
      <c r="D656" t="s">
        <v>65</v>
      </c>
      <c r="E656" t="s">
        <v>66</v>
      </c>
      <c r="F656" t="s">
        <v>79</v>
      </c>
      <c r="G656" t="s">
        <v>68</v>
      </c>
      <c r="H656" t="s">
        <v>108</v>
      </c>
      <c r="I656">
        <f>MROUND(Table1[[#This Row],[ProbH]]*100,2)/100</f>
        <v>0.28000000000000003</v>
      </c>
      <c r="J656">
        <f>1/Table1[[#This Row],[odds_ft_home_team_win]]-Table1[[#This Row],[Margin]]</f>
        <v>0.27019178120169951</v>
      </c>
      <c r="K656">
        <f>1/Table1[[#This Row],[odds_ft_draw]]-Table1[[#This Row],[Margin]]</f>
        <v>0.2659292066066441</v>
      </c>
      <c r="L656">
        <f>1/Table1[[#This Row],[odds_ft_away_team_win]]-Table1[[#This Row],[Margin]]</f>
        <v>0.4638790121916565</v>
      </c>
      <c r="M656">
        <v>16</v>
      </c>
      <c r="N656">
        <v>1.88</v>
      </c>
      <c r="O656">
        <v>1.75</v>
      </c>
      <c r="P656">
        <v>2</v>
      </c>
      <c r="Q656">
        <v>1.63</v>
      </c>
      <c r="R656" t="str" cm="1">
        <f t="array" ref="R6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6">
        <v>3</v>
      </c>
      <c r="T656">
        <v>1</v>
      </c>
      <c r="U656">
        <v>4</v>
      </c>
      <c r="V656">
        <v>2</v>
      </c>
      <c r="W656">
        <v>2</v>
      </c>
      <c r="X656">
        <v>0</v>
      </c>
      <c r="Y656" t="s">
        <v>1212</v>
      </c>
      <c r="Z656">
        <v>51</v>
      </c>
      <c r="AA656">
        <v>4</v>
      </c>
      <c r="AB656">
        <v>4</v>
      </c>
      <c r="AC656">
        <v>2</v>
      </c>
      <c r="AD656">
        <v>0</v>
      </c>
      <c r="AE656">
        <v>2</v>
      </c>
      <c r="AF656">
        <v>0</v>
      </c>
      <c r="AG656">
        <v>2</v>
      </c>
      <c r="AH656">
        <v>0</v>
      </c>
      <c r="AI656">
        <v>1</v>
      </c>
      <c r="AJ656">
        <v>1</v>
      </c>
      <c r="AK656">
        <v>12</v>
      </c>
      <c r="AL656">
        <v>12</v>
      </c>
      <c r="AM656">
        <v>5</v>
      </c>
      <c r="AN656">
        <v>4</v>
      </c>
      <c r="AO656">
        <v>7</v>
      </c>
      <c r="AP656">
        <v>8</v>
      </c>
      <c r="AQ656">
        <v>19</v>
      </c>
      <c r="AR656">
        <v>12</v>
      </c>
      <c r="AS656">
        <v>38</v>
      </c>
      <c r="AT656">
        <v>62</v>
      </c>
      <c r="AU656">
        <v>1.25</v>
      </c>
      <c r="AV656">
        <v>1.33</v>
      </c>
      <c r="AW656">
        <v>2.78</v>
      </c>
      <c r="AX656">
        <v>53</v>
      </c>
      <c r="AY656">
        <v>75</v>
      </c>
      <c r="AZ656">
        <v>47</v>
      </c>
      <c r="BA656">
        <v>32</v>
      </c>
      <c r="BB656">
        <v>22</v>
      </c>
      <c r="BC656">
        <v>29</v>
      </c>
      <c r="BD656">
        <v>66</v>
      </c>
      <c r="BE656">
        <v>44</v>
      </c>
      <c r="BF656">
        <v>88</v>
      </c>
      <c r="BG656">
        <v>10.57</v>
      </c>
      <c r="BH656">
        <v>3.63</v>
      </c>
      <c r="BI656">
        <v>3.4</v>
      </c>
      <c r="BJ656">
        <v>3.45</v>
      </c>
      <c r="BK656">
        <v>2.0499999999999998</v>
      </c>
      <c r="BL656">
        <f>(1/Table1[[#This Row],[odds_ft_home_team_win]]+1/Table1[[#This Row],[odds_ft_draw]]+1/Table1[[#This Row],[odds_ft_away_team_win]]-1)/3</f>
        <v>2.3925865857124046E-2</v>
      </c>
      <c r="BM656">
        <v>1.32</v>
      </c>
      <c r="BN656">
        <v>1.91</v>
      </c>
      <c r="BO656">
        <v>3.15</v>
      </c>
      <c r="BP656">
        <v>6</v>
      </c>
      <c r="BQ656">
        <v>1.8</v>
      </c>
      <c r="BR656">
        <v>1.95</v>
      </c>
      <c r="BS656" t="s">
        <v>140</v>
      </c>
      <c r="BT656">
        <f>VLOOKUP(Table1[[#This Row],[Reference]],metron,8,FALSE)</f>
        <v>1.1529533168233341</v>
      </c>
      <c r="BU656">
        <f>VLOOKUP(Table1[[#This Row],[Reference]],metron,9,FALSE)</f>
        <v>1.5628535554286829</v>
      </c>
      <c r="BV656">
        <f>VLOOKUP(Table1[[#This Row],[Reference]],metron,10,FALSE)</f>
        <v>2.5445607358071678</v>
      </c>
      <c r="BW656">
        <f>VLOOKUP(Table1[[#This Row],[Reference]],metron,11,FALSE)</f>
        <v>1.128766254360926</v>
      </c>
      <c r="BX656">
        <f>VLOOKUP(Table1[[#This Row],[Reference]],metron,12,FALSE)</f>
        <v>1.415794481446242</v>
      </c>
      <c r="BY656" s="6">
        <f>VLOOKUP(Table1[[#This Row],[Reference]],metron,13,FALSE)</f>
        <v>0.49635267998731369</v>
      </c>
      <c r="BZ656" s="6">
        <f>VLOOKUP(Table1[[#This Row],[Reference]],metron,14,FALSE)</f>
        <v>0.61084681255946716</v>
      </c>
      <c r="CA656" s="6">
        <f>VLOOKUP(Table1[[#This Row],[Reference]],metron,15,FALSE)</f>
        <v>11.04442036836403</v>
      </c>
      <c r="CB656" s="6">
        <f>VLOOKUP(Table1[[#This Row],[Reference]],metron,16,FALSE)</f>
        <v>11.38840736728061</v>
      </c>
      <c r="CC656" s="6">
        <f>VLOOKUP(Table1[[#This Row],[Reference]],metron,17,FALSE)</f>
        <v>4.5379574003276897</v>
      </c>
      <c r="CD656" s="6">
        <f>VLOOKUP(Table1[[#This Row],[Reference]],metron,18,FALSE)</f>
        <v>4.8481703986892413</v>
      </c>
      <c r="CE656" s="6">
        <f>VLOOKUP(Table1[[#This Row],[Reference]],metron,19,FALSE)</f>
        <v>6.5064629680363399</v>
      </c>
      <c r="CF656" s="6">
        <f>VLOOKUP(Table1[[#This Row],[Reference]],metron,20,FALSE)</f>
        <v>6.540236968591369</v>
      </c>
      <c r="CG656" s="6">
        <f>VLOOKUP(Table1[[#This Row],[Reference]],metron,21,FALSE)</f>
        <v>13.117582417582421</v>
      </c>
      <c r="CH656" s="6">
        <f>VLOOKUP(Table1[[#This Row],[Reference]],metron,22,FALSE)</f>
        <v>13.28241758241758</v>
      </c>
      <c r="CI656" s="6">
        <f>VLOOKUP(Table1[[#This Row],[Reference]],metron,23,FALSE)</f>
        <v>1.792592592592593</v>
      </c>
      <c r="CJ656" s="6">
        <f>VLOOKUP(Table1[[#This Row],[Reference]],metron,24,FALSE)</f>
        <v>1.806980433632998</v>
      </c>
      <c r="CK656" s="6">
        <f>VLOOKUP(Table1[[#This Row],[Reference]],metron,25,FALSE)</f>
        <v>0.1047065044949762</v>
      </c>
      <c r="CL656" s="6">
        <f>VLOOKUP(Table1[[#This Row],[Reference]],metron,26,FALSE)</f>
        <v>0.1073506081438392</v>
      </c>
    </row>
    <row r="657" spans="1:90" x14ac:dyDescent="0.45">
      <c r="A657" t="s">
        <v>1256</v>
      </c>
      <c r="B657">
        <v>1619397000</v>
      </c>
      <c r="C657" s="23" t="s">
        <v>1213</v>
      </c>
      <c r="D657" t="s">
        <v>65</v>
      </c>
      <c r="E657" t="s">
        <v>66</v>
      </c>
      <c r="F657" t="s">
        <v>67</v>
      </c>
      <c r="G657" t="s">
        <v>78</v>
      </c>
      <c r="H657" t="s">
        <v>122</v>
      </c>
      <c r="I657">
        <f>MROUND(Table1[[#This Row],[ProbH]]*100,2)/100</f>
        <v>0.6</v>
      </c>
      <c r="J657">
        <f>1/Table1[[#This Row],[odds_ft_home_team_win]]-Table1[[#This Row],[Margin]]</f>
        <v>0.59844081486593559</v>
      </c>
      <c r="K657">
        <f>1/Table1[[#This Row],[odds_ft_draw]]-Table1[[#This Row],[Margin]]</f>
        <v>0.22423638269048898</v>
      </c>
      <c r="L657">
        <f>1/Table1[[#This Row],[odds_ft_away_team_win]]-Table1[[#This Row],[Margin]]</f>
        <v>0.1773228024435754</v>
      </c>
      <c r="M657">
        <v>16</v>
      </c>
      <c r="N657">
        <v>1.75</v>
      </c>
      <c r="O657">
        <v>0.63</v>
      </c>
      <c r="P657">
        <v>1.82</v>
      </c>
      <c r="Q657">
        <v>0.59</v>
      </c>
      <c r="R657" t="str" cm="1">
        <f t="array" ref="R6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68</v>
      </c>
      <c r="AA657">
        <v>6</v>
      </c>
      <c r="AB657">
        <v>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13</v>
      </c>
      <c r="AL657">
        <v>16</v>
      </c>
      <c r="AM657">
        <v>6</v>
      </c>
      <c r="AN657">
        <v>6</v>
      </c>
      <c r="AO657">
        <v>7</v>
      </c>
      <c r="AP657">
        <v>10</v>
      </c>
      <c r="AQ657">
        <v>11</v>
      </c>
      <c r="AR657">
        <v>6</v>
      </c>
      <c r="AS657">
        <v>41</v>
      </c>
      <c r="AT657">
        <v>59</v>
      </c>
      <c r="AU657">
        <v>1.54</v>
      </c>
      <c r="AV657">
        <v>1.8</v>
      </c>
      <c r="AW657">
        <v>2.75</v>
      </c>
      <c r="AX657">
        <v>63</v>
      </c>
      <c r="AY657">
        <v>79</v>
      </c>
      <c r="AZ657">
        <v>47</v>
      </c>
      <c r="BA657">
        <v>32</v>
      </c>
      <c r="BB657">
        <v>19</v>
      </c>
      <c r="BC657">
        <v>35</v>
      </c>
      <c r="BD657">
        <v>69</v>
      </c>
      <c r="BE657">
        <v>50</v>
      </c>
      <c r="BF657">
        <v>88</v>
      </c>
      <c r="BG657">
        <v>8.1300000000000008</v>
      </c>
      <c r="BH657">
        <v>4.37</v>
      </c>
      <c r="BI657">
        <v>1.61</v>
      </c>
      <c r="BJ657">
        <v>4.05</v>
      </c>
      <c r="BK657">
        <v>5</v>
      </c>
      <c r="BL657">
        <f>(1/Table1[[#This Row],[odds_ft_home_team_win]]+1/Table1[[#This Row],[odds_ft_draw]]+1/Table1[[#This Row],[odds_ft_away_team_win]]-1)/3</f>
        <v>2.2677197556424611E-2</v>
      </c>
      <c r="BM657">
        <v>1.32</v>
      </c>
      <c r="BN657">
        <v>1.95</v>
      </c>
      <c r="BO657">
        <v>3.25</v>
      </c>
      <c r="BP657">
        <v>6.5</v>
      </c>
      <c r="BQ657">
        <v>2.0499999999999998</v>
      </c>
      <c r="BR657">
        <v>1.74</v>
      </c>
      <c r="BS657" t="s">
        <v>70</v>
      </c>
      <c r="BT657">
        <f>VLOOKUP(Table1[[#This Row],[Reference]],metron,8,FALSE)</f>
        <v>2.0749792289385525</v>
      </c>
      <c r="BU657">
        <f>VLOOKUP(Table1[[#This Row],[Reference]],metron,9,FALSE)</f>
        <v>0.68220664089703831</v>
      </c>
      <c r="BV657">
        <f>VLOOKUP(Table1[[#This Row],[Reference]],metron,10,FALSE)</f>
        <v>2.7310090702947849</v>
      </c>
      <c r="BW657">
        <f>VLOOKUP(Table1[[#This Row],[Reference]],metron,11,FALSE)</f>
        <v>1.841836734693878</v>
      </c>
      <c r="BX657">
        <f>VLOOKUP(Table1[[#This Row],[Reference]],metron,12,FALSE)</f>
        <v>0.88917233560090703</v>
      </c>
      <c r="BY657" s="6">
        <f>VLOOKUP(Table1[[#This Row],[Reference]],metron,13,FALSE)</f>
        <v>0.804822695035461</v>
      </c>
      <c r="BZ657" s="6">
        <f>VLOOKUP(Table1[[#This Row],[Reference]],metron,14,FALSE)</f>
        <v>0.38099290780141842</v>
      </c>
      <c r="CA657" s="6">
        <f>VLOOKUP(Table1[[#This Row],[Reference]],metron,15,FALSE)</f>
        <v>14.25174825174825</v>
      </c>
      <c r="CB657" s="6">
        <f>VLOOKUP(Table1[[#This Row],[Reference]],metron,16,FALSE)</f>
        <v>8.8316683316683324</v>
      </c>
      <c r="CC657" s="6">
        <f>VLOOKUP(Table1[[#This Row],[Reference]],metron,17,FALSE)</f>
        <v>6.2901265822784813</v>
      </c>
      <c r="CD657" s="6">
        <f>VLOOKUP(Table1[[#This Row],[Reference]],metron,18,FALSE)</f>
        <v>3.6162025316455702</v>
      </c>
      <c r="CE657" s="6">
        <f>VLOOKUP(Table1[[#This Row],[Reference]],metron,19,FALSE)</f>
        <v>7.9616216694697686</v>
      </c>
      <c r="CF657" s="6">
        <f>VLOOKUP(Table1[[#This Row],[Reference]],metron,20,FALSE)</f>
        <v>5.2154658000227627</v>
      </c>
      <c r="CG657" s="6">
        <f>VLOOKUP(Table1[[#This Row],[Reference]],metron,21,FALSE)</f>
        <v>12.444895886236671</v>
      </c>
      <c r="CH657" s="6">
        <f>VLOOKUP(Table1[[#This Row],[Reference]],metron,22,FALSE)</f>
        <v>13.620619603859829</v>
      </c>
      <c r="CI657" s="6">
        <f>VLOOKUP(Table1[[#This Row],[Reference]],metron,23,FALSE)</f>
        <v>1.406084017382907</v>
      </c>
      <c r="CJ657" s="6">
        <f>VLOOKUP(Table1[[#This Row],[Reference]],metron,24,FALSE)</f>
        <v>2.070980202800579</v>
      </c>
      <c r="CK657" s="6">
        <f>VLOOKUP(Table1[[#This Row],[Reference]],metron,25,FALSE)</f>
        <v>6.1323032351521013E-2</v>
      </c>
      <c r="CL657" s="6">
        <f>VLOOKUP(Table1[[#This Row],[Reference]],metron,26,FALSE)</f>
        <v>0.1313375181071946</v>
      </c>
    </row>
    <row r="658" spans="1:90" x14ac:dyDescent="0.45">
      <c r="A658" t="s">
        <v>1256</v>
      </c>
      <c r="B658">
        <v>1619488800</v>
      </c>
      <c r="C658" s="23" t="s">
        <v>1214</v>
      </c>
      <c r="D658" t="s">
        <v>65</v>
      </c>
      <c r="E658" t="s">
        <v>66</v>
      </c>
      <c r="F658" t="s">
        <v>84</v>
      </c>
      <c r="G658" t="s">
        <v>73</v>
      </c>
      <c r="H658" t="s">
        <v>114</v>
      </c>
      <c r="I658">
        <f>MROUND(Table1[[#This Row],[ProbH]]*100,2)/100</f>
        <v>0.46</v>
      </c>
      <c r="J658">
        <f>1/Table1[[#This Row],[odds_ft_home_team_win]]-Table1[[#This Row],[Margin]]</f>
        <v>0.45325194754518722</v>
      </c>
      <c r="K658">
        <f>1/Table1[[#This Row],[odds_ft_draw]]-Table1[[#This Row],[Margin]]</f>
        <v>0.27556893404127819</v>
      </c>
      <c r="L658">
        <f>1/Table1[[#This Row],[odds_ft_away_team_win]]-Table1[[#This Row],[Margin]]</f>
        <v>0.27117911841353459</v>
      </c>
      <c r="M658">
        <v>16</v>
      </c>
      <c r="N658">
        <v>1.18</v>
      </c>
      <c r="O658">
        <v>0.88</v>
      </c>
      <c r="P658">
        <v>1.43</v>
      </c>
      <c r="Q658">
        <v>0.8</v>
      </c>
      <c r="R658" t="str" cm="1">
        <f t="array" ref="R6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58</v>
      </c>
      <c r="AA658">
        <v>6</v>
      </c>
      <c r="AB658">
        <v>4</v>
      </c>
      <c r="AC658">
        <v>1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11</v>
      </c>
      <c r="AL658">
        <v>12</v>
      </c>
      <c r="AM658">
        <v>2</v>
      </c>
      <c r="AN658">
        <v>2</v>
      </c>
      <c r="AO658">
        <v>9</v>
      </c>
      <c r="AP658">
        <v>10</v>
      </c>
      <c r="AQ658">
        <v>14</v>
      </c>
      <c r="AR658">
        <v>12</v>
      </c>
      <c r="AS658">
        <v>39</v>
      </c>
      <c r="AT658">
        <v>61</v>
      </c>
      <c r="AU658">
        <v>1.07</v>
      </c>
      <c r="AV658">
        <v>1.28</v>
      </c>
      <c r="AW658">
        <v>2.09</v>
      </c>
      <c r="AX658">
        <v>52</v>
      </c>
      <c r="AY658">
        <v>61</v>
      </c>
      <c r="AZ658">
        <v>30</v>
      </c>
      <c r="BA658">
        <v>16</v>
      </c>
      <c r="BB658">
        <v>3</v>
      </c>
      <c r="BC658">
        <v>22</v>
      </c>
      <c r="BD658">
        <v>73</v>
      </c>
      <c r="BE658">
        <v>28</v>
      </c>
      <c r="BF658">
        <v>67</v>
      </c>
      <c r="BG658">
        <v>10.47</v>
      </c>
      <c r="BH658">
        <v>4.4800000000000004</v>
      </c>
      <c r="BI658">
        <v>2.1</v>
      </c>
      <c r="BJ658">
        <v>3.35</v>
      </c>
      <c r="BK658">
        <v>3.4</v>
      </c>
      <c r="BL658">
        <f>(1/Table1[[#This Row],[odds_ft_home_team_win]]+1/Table1[[#This Row],[odds_ft_draw]]+1/Table1[[#This Row],[odds_ft_away_team_win]]-1)/3</f>
        <v>2.293852864528893E-2</v>
      </c>
      <c r="BM658">
        <v>1.34</v>
      </c>
      <c r="BN658">
        <v>1.95</v>
      </c>
      <c r="BO658">
        <v>3.3</v>
      </c>
      <c r="BP658">
        <v>6.5</v>
      </c>
      <c r="BQ658">
        <v>1.83</v>
      </c>
      <c r="BR658">
        <v>1.95</v>
      </c>
      <c r="BS658" t="s">
        <v>88</v>
      </c>
      <c r="BT658">
        <f>VLOOKUP(Table1[[#This Row],[Reference]],metron,8,FALSE)</f>
        <v>1.6955772349985931</v>
      </c>
      <c r="BU658">
        <f>VLOOKUP(Table1[[#This Row],[Reference]],metron,9,FALSE)</f>
        <v>1.0239029519551039</v>
      </c>
      <c r="BV658">
        <f>VLOOKUP(Table1[[#This Row],[Reference]],metron,10,FALSE)</f>
        <v>2.5405629139072849</v>
      </c>
      <c r="BW658">
        <f>VLOOKUP(Table1[[#This Row],[Reference]],metron,11,FALSE)</f>
        <v>1.4888836329233679</v>
      </c>
      <c r="BX658">
        <f>VLOOKUP(Table1[[#This Row],[Reference]],metron,12,FALSE)</f>
        <v>1.0516792809839171</v>
      </c>
      <c r="BY658" s="6">
        <f>VLOOKUP(Table1[[#This Row],[Reference]],metron,13,FALSE)</f>
        <v>0.64581362346263005</v>
      </c>
      <c r="BZ658" s="6">
        <f>VLOOKUP(Table1[[#This Row],[Reference]],metron,14,FALSE)</f>
        <v>0.45364238410596031</v>
      </c>
      <c r="CA658" s="6">
        <f>VLOOKUP(Table1[[#This Row],[Reference]],metron,15,FALSE)</f>
        <v>12.686892177589851</v>
      </c>
      <c r="CB658" s="6">
        <f>VLOOKUP(Table1[[#This Row],[Reference]],metron,16,FALSE)</f>
        <v>9.8059196617336148</v>
      </c>
      <c r="CC658" s="6">
        <f>VLOOKUP(Table1[[#This Row],[Reference]],metron,17,FALSE)</f>
        <v>5.3198121263877027</v>
      </c>
      <c r="CD658" s="6">
        <f>VLOOKUP(Table1[[#This Row],[Reference]],metron,18,FALSE)</f>
        <v>4.0954312553373189</v>
      </c>
      <c r="CE658" s="6">
        <f>VLOOKUP(Table1[[#This Row],[Reference]],metron,19,FALSE)</f>
        <v>7.3670800512021479</v>
      </c>
      <c r="CF658" s="6">
        <f>VLOOKUP(Table1[[#This Row],[Reference]],metron,20,FALSE)</f>
        <v>5.710488406396296</v>
      </c>
      <c r="CG658" s="6">
        <f>VLOOKUP(Table1[[#This Row],[Reference]],metron,21,FALSE)</f>
        <v>13.0488908033599</v>
      </c>
      <c r="CH658" s="6">
        <f>VLOOKUP(Table1[[#This Row],[Reference]],metron,22,FALSE)</f>
        <v>13.714839543398661</v>
      </c>
      <c r="CI658" s="6">
        <f>VLOOKUP(Table1[[#This Row],[Reference]],metron,23,FALSE)</f>
        <v>1.567523459812322</v>
      </c>
      <c r="CJ658" s="6">
        <f>VLOOKUP(Table1[[#This Row],[Reference]],metron,24,FALSE)</f>
        <v>1.951040391676867</v>
      </c>
      <c r="CK658" s="6">
        <f>VLOOKUP(Table1[[#This Row],[Reference]],metron,25,FALSE)</f>
        <v>8.3027335781313744E-2</v>
      </c>
      <c r="CL658" s="6">
        <f>VLOOKUP(Table1[[#This Row],[Reference]],metron,26,FALSE)</f>
        <v>0.13117095063239501</v>
      </c>
    </row>
    <row r="659" spans="1:90" x14ac:dyDescent="0.45">
      <c r="A659" t="s">
        <v>1256</v>
      </c>
      <c r="B659">
        <v>1619748000</v>
      </c>
      <c r="C659" s="23" t="s">
        <v>1215</v>
      </c>
      <c r="D659" t="s">
        <v>65</v>
      </c>
      <c r="E659" t="s">
        <v>66</v>
      </c>
      <c r="F659" t="s">
        <v>91</v>
      </c>
      <c r="G659" t="s">
        <v>84</v>
      </c>
      <c r="H659" t="s">
        <v>130</v>
      </c>
      <c r="I659">
        <f>MROUND(Table1[[#This Row],[ProbH]]*100,2)/100</f>
        <v>0.26</v>
      </c>
      <c r="J659">
        <f>1/Table1[[#This Row],[odds_ft_home_team_win]]-Table1[[#This Row],[Margin]]</f>
        <v>0.25521821631878561</v>
      </c>
      <c r="K659">
        <f>1/Table1[[#This Row],[odds_ft_draw]]-Table1[[#This Row],[Margin]]</f>
        <v>0.28368121442125238</v>
      </c>
      <c r="L659">
        <f>1/Table1[[#This Row],[odds_ft_away_team_win]]-Table1[[#This Row],[Margin]]</f>
        <v>0.46110056925996207</v>
      </c>
      <c r="M659">
        <v>17</v>
      </c>
      <c r="N659">
        <v>1.06</v>
      </c>
      <c r="O659">
        <v>1.44</v>
      </c>
      <c r="P659">
        <v>1</v>
      </c>
      <c r="Q659">
        <v>1.38</v>
      </c>
      <c r="R659" t="str" cm="1">
        <f t="array" ref="R6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59">
        <v>1</v>
      </c>
      <c r="T659">
        <v>5</v>
      </c>
      <c r="U659">
        <v>6</v>
      </c>
      <c r="V659">
        <v>3</v>
      </c>
      <c r="W659">
        <v>1</v>
      </c>
      <c r="X659">
        <v>2</v>
      </c>
      <c r="Y659">
        <v>26</v>
      </c>
      <c r="Z659" t="s">
        <v>1216</v>
      </c>
      <c r="AA659">
        <v>5</v>
      </c>
      <c r="AB659">
        <v>2</v>
      </c>
      <c r="AC659">
        <v>3</v>
      </c>
      <c r="AD659">
        <v>0</v>
      </c>
      <c r="AE659">
        <v>2</v>
      </c>
      <c r="AF659">
        <v>0</v>
      </c>
      <c r="AG659">
        <v>0</v>
      </c>
      <c r="AH659">
        <v>3</v>
      </c>
      <c r="AI659">
        <v>0</v>
      </c>
      <c r="AJ659">
        <v>2</v>
      </c>
      <c r="AK659">
        <v>16</v>
      </c>
      <c r="AL659">
        <v>10</v>
      </c>
      <c r="AM659">
        <v>5</v>
      </c>
      <c r="AN659">
        <v>7</v>
      </c>
      <c r="AO659">
        <v>11</v>
      </c>
      <c r="AP659">
        <v>3</v>
      </c>
      <c r="AQ659">
        <v>16</v>
      </c>
      <c r="AR659">
        <v>10</v>
      </c>
      <c r="AS659">
        <v>59</v>
      </c>
      <c r="AT659">
        <v>41</v>
      </c>
      <c r="AU659">
        <v>1.68</v>
      </c>
      <c r="AV659">
        <v>1.32</v>
      </c>
      <c r="AW659">
        <v>2.33</v>
      </c>
      <c r="AX659">
        <v>51</v>
      </c>
      <c r="AY659">
        <v>69</v>
      </c>
      <c r="AZ659">
        <v>43</v>
      </c>
      <c r="BA659">
        <v>28</v>
      </c>
      <c r="BB659">
        <v>7</v>
      </c>
      <c r="BC659">
        <v>36</v>
      </c>
      <c r="BD659">
        <v>69</v>
      </c>
      <c r="BE659">
        <v>32</v>
      </c>
      <c r="BF659">
        <v>68</v>
      </c>
      <c r="BG659">
        <v>11</v>
      </c>
      <c r="BH659">
        <v>5.13</v>
      </c>
      <c r="BI659">
        <v>3.4</v>
      </c>
      <c r="BJ659">
        <v>3.1</v>
      </c>
      <c r="BK659">
        <v>2</v>
      </c>
      <c r="BL659">
        <f>(1/Table1[[#This Row],[odds_ft_home_team_win]]+1/Table1[[#This Row],[odds_ft_draw]]+1/Table1[[#This Row],[odds_ft_away_team_win]]-1)/3</f>
        <v>3.8899430740037953E-2</v>
      </c>
      <c r="BM659">
        <v>1.33</v>
      </c>
      <c r="BN659">
        <v>2.0499999999999998</v>
      </c>
      <c r="BO659">
        <v>3.35</v>
      </c>
      <c r="BP659">
        <v>6.75</v>
      </c>
      <c r="BQ659">
        <v>1.87</v>
      </c>
      <c r="BR659">
        <v>1.83</v>
      </c>
      <c r="BS659" t="s">
        <v>144</v>
      </c>
      <c r="BT659">
        <f>VLOOKUP(Table1[[#This Row],[Reference]],metron,8,FALSE)</f>
        <v>1.0905313574236399</v>
      </c>
      <c r="BU659">
        <f>VLOOKUP(Table1[[#This Row],[Reference]],metron,9,FALSE)</f>
        <v>1.6289415604939639</v>
      </c>
      <c r="BV659">
        <f>VLOOKUP(Table1[[#This Row],[Reference]],metron,10,FALSE)</f>
        <v>2.569449507838133</v>
      </c>
      <c r="BW659">
        <f>VLOOKUP(Table1[[#This Row],[Reference]],metron,11,FALSE)</f>
        <v>1.0936930368209989</v>
      </c>
      <c r="BX659">
        <f>VLOOKUP(Table1[[#This Row],[Reference]],metron,12,FALSE)</f>
        <v>1.475756471017134</v>
      </c>
      <c r="BY659" s="6">
        <f>VLOOKUP(Table1[[#This Row],[Reference]],metron,13,FALSE)</f>
        <v>0.50018228217280347</v>
      </c>
      <c r="BZ659" s="6">
        <f>VLOOKUP(Table1[[#This Row],[Reference]],metron,14,FALSE)</f>
        <v>0.65220561429092239</v>
      </c>
      <c r="CA659" s="6">
        <f>VLOOKUP(Table1[[#This Row],[Reference]],metron,15,FALSE)</f>
        <v>10.905576679340941</v>
      </c>
      <c r="CB659" s="6">
        <f>VLOOKUP(Table1[[#This Row],[Reference]],metron,16,FALSE)</f>
        <v>12.06463878326996</v>
      </c>
      <c r="CC659" s="6">
        <f>VLOOKUP(Table1[[#This Row],[Reference]],metron,17,FALSE)</f>
        <v>4.2920127795527154</v>
      </c>
      <c r="CD659" s="6">
        <f>VLOOKUP(Table1[[#This Row],[Reference]],metron,18,FALSE)</f>
        <v>5.0095846645367406</v>
      </c>
      <c r="CE659" s="6">
        <f>VLOOKUP(Table1[[#This Row],[Reference]],metron,19,FALSE)</f>
        <v>6.6135638997882253</v>
      </c>
      <c r="CF659" s="6">
        <f>VLOOKUP(Table1[[#This Row],[Reference]],metron,20,FALSE)</f>
        <v>7.055054118733219</v>
      </c>
      <c r="CG659" s="6">
        <f>VLOOKUP(Table1[[#This Row],[Reference]],metron,21,FALSE)</f>
        <v>12.94865211810013</v>
      </c>
      <c r="CH659" s="6">
        <f>VLOOKUP(Table1[[#This Row],[Reference]],metron,22,FALSE)</f>
        <v>13.189345314505781</v>
      </c>
      <c r="CI659" s="6">
        <f>VLOOKUP(Table1[[#This Row],[Reference]],metron,23,FALSE)</f>
        <v>1.771446078431373</v>
      </c>
      <c r="CJ659" s="6">
        <f>VLOOKUP(Table1[[#This Row],[Reference]],metron,24,FALSE)</f>
        <v>1.809436274509804</v>
      </c>
      <c r="CK659" s="6">
        <f>VLOOKUP(Table1[[#This Row],[Reference]],metron,25,FALSE)</f>
        <v>0.1060049019607843</v>
      </c>
      <c r="CL659" s="6">
        <f>VLOOKUP(Table1[[#This Row],[Reference]],metron,26,FALSE)</f>
        <v>9.6813725490196081E-2</v>
      </c>
    </row>
    <row r="660" spans="1:90" x14ac:dyDescent="0.45">
      <c r="A660" t="s">
        <v>1256</v>
      </c>
      <c r="B660">
        <v>1619829000</v>
      </c>
      <c r="C660" s="23" t="s">
        <v>1217</v>
      </c>
      <c r="D660" t="s">
        <v>65</v>
      </c>
      <c r="E660" t="s">
        <v>66</v>
      </c>
      <c r="F660" t="s">
        <v>72</v>
      </c>
      <c r="G660" t="s">
        <v>97</v>
      </c>
      <c r="H660" t="s">
        <v>122</v>
      </c>
      <c r="I660">
        <f>MROUND(Table1[[#This Row],[ProbH]]*100,2)/100</f>
        <v>0.24</v>
      </c>
      <c r="J660">
        <f>1/Table1[[#This Row],[odds_ft_home_team_win]]-Table1[[#This Row],[Margin]]</f>
        <v>0.239763149281573</v>
      </c>
      <c r="K660">
        <f>1/Table1[[#This Row],[odds_ft_draw]]-Table1[[#This Row],[Margin]]</f>
        <v>0.30570923433593827</v>
      </c>
      <c r="L660">
        <f>1/Table1[[#This Row],[odds_ft_away_team_win]]-Table1[[#This Row],[Margin]]</f>
        <v>0.45452761638248868</v>
      </c>
      <c r="M660">
        <v>17</v>
      </c>
      <c r="N660">
        <v>1.38</v>
      </c>
      <c r="O660">
        <v>1</v>
      </c>
      <c r="P660">
        <v>1.29</v>
      </c>
      <c r="Q660">
        <v>1.06</v>
      </c>
      <c r="R660" t="str" cm="1">
        <f t="array" ref="R6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60">
        <v>1</v>
      </c>
      <c r="T660">
        <v>5</v>
      </c>
      <c r="U660">
        <v>6</v>
      </c>
      <c r="V660">
        <v>3</v>
      </c>
      <c r="W660">
        <v>1</v>
      </c>
      <c r="X660">
        <v>2</v>
      </c>
      <c r="Y660">
        <v>2</v>
      </c>
      <c r="Z660" t="s">
        <v>1218</v>
      </c>
      <c r="AA660">
        <v>4</v>
      </c>
      <c r="AB660">
        <v>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8</v>
      </c>
      <c r="AL660">
        <v>17</v>
      </c>
      <c r="AM660">
        <v>4</v>
      </c>
      <c r="AN660">
        <v>7</v>
      </c>
      <c r="AO660">
        <v>4</v>
      </c>
      <c r="AP660">
        <v>10</v>
      </c>
      <c r="AQ660">
        <v>9</v>
      </c>
      <c r="AR660">
        <v>6</v>
      </c>
      <c r="AS660">
        <v>39</v>
      </c>
      <c r="AT660">
        <v>61</v>
      </c>
      <c r="AU660">
        <v>1.02</v>
      </c>
      <c r="AV660">
        <v>1.85</v>
      </c>
      <c r="AW660">
        <v>1.91</v>
      </c>
      <c r="AX660">
        <v>41</v>
      </c>
      <c r="AY660">
        <v>54</v>
      </c>
      <c r="AZ660">
        <v>28</v>
      </c>
      <c r="BA660">
        <v>16</v>
      </c>
      <c r="BB660">
        <v>10</v>
      </c>
      <c r="BC660">
        <v>28</v>
      </c>
      <c r="BD660">
        <v>60</v>
      </c>
      <c r="BE660">
        <v>25</v>
      </c>
      <c r="BF660">
        <v>63</v>
      </c>
      <c r="BG660">
        <v>9.57</v>
      </c>
      <c r="BH660">
        <v>4.88</v>
      </c>
      <c r="BI660">
        <v>3.96</v>
      </c>
      <c r="BJ660">
        <v>3.14</v>
      </c>
      <c r="BK660">
        <v>2.14</v>
      </c>
      <c r="BL660">
        <f>(1/Table1[[#This Row],[odds_ft_home_team_win]]+1/Table1[[#This Row],[odds_ft_draw]]+1/Table1[[#This Row],[odds_ft_away_team_win]]-1)/3</f>
        <v>1.2762103243679546E-2</v>
      </c>
      <c r="BM660">
        <v>1.41</v>
      </c>
      <c r="BN660">
        <v>2.31</v>
      </c>
      <c r="BO660">
        <v>4.0999999999999996</v>
      </c>
      <c r="BP660">
        <v>7.9</v>
      </c>
      <c r="BQ660">
        <v>1.95</v>
      </c>
      <c r="BR660">
        <v>1.77</v>
      </c>
      <c r="BS660" t="s">
        <v>76</v>
      </c>
      <c r="BT660">
        <f>VLOOKUP(Table1[[#This Row],[Reference]],metron,8,FALSE)</f>
        <v>1.0221684690062811</v>
      </c>
      <c r="BU660">
        <f>VLOOKUP(Table1[[#This Row],[Reference]],metron,9,FALSE)</f>
        <v>1.7036119427882386</v>
      </c>
      <c r="BV660">
        <f>VLOOKUP(Table1[[#This Row],[Reference]],metron,10,FALSE)</f>
        <v>2.6014437689969609</v>
      </c>
      <c r="BW660">
        <f>VLOOKUP(Table1[[#This Row],[Reference]],metron,11,FALSE)</f>
        <v>1.067249240121581</v>
      </c>
      <c r="BX660">
        <f>VLOOKUP(Table1[[#This Row],[Reference]],metron,12,FALSE)</f>
        <v>1.53419452887538</v>
      </c>
      <c r="BY660" s="6">
        <f>VLOOKUP(Table1[[#This Row],[Reference]],metron,13,FALSE)</f>
        <v>0.45589353612167299</v>
      </c>
      <c r="BZ660" s="6">
        <f>VLOOKUP(Table1[[#This Row],[Reference]],metron,14,FALSE)</f>
        <v>0.65133079847908748</v>
      </c>
      <c r="CA660" s="6">
        <f>VLOOKUP(Table1[[#This Row],[Reference]],metron,15,FALSE)</f>
        <v>10.75886524822695</v>
      </c>
      <c r="CB660" s="6">
        <f>VLOOKUP(Table1[[#This Row],[Reference]],metron,16,FALSE)</f>
        <v>12.46679561573179</v>
      </c>
      <c r="CC660" s="6">
        <f>VLOOKUP(Table1[[#This Row],[Reference]],metron,17,FALSE)</f>
        <v>4.1157347204161248</v>
      </c>
      <c r="CD660" s="6">
        <f>VLOOKUP(Table1[[#This Row],[Reference]],metron,18,FALSE)</f>
        <v>5.1072821846553964</v>
      </c>
      <c r="CE660" s="6">
        <f>VLOOKUP(Table1[[#This Row],[Reference]],metron,19,FALSE)</f>
        <v>6.6431305278108255</v>
      </c>
      <c r="CF660" s="6">
        <f>VLOOKUP(Table1[[#This Row],[Reference]],metron,20,FALSE)</f>
        <v>7.3595134310763939</v>
      </c>
      <c r="CG660" s="6">
        <f>VLOOKUP(Table1[[#This Row],[Reference]],metron,21,FALSE)</f>
        <v>13.11140235910878</v>
      </c>
      <c r="CH660" s="6">
        <f>VLOOKUP(Table1[[#This Row],[Reference]],metron,22,FALSE)</f>
        <v>12.93184796854522</v>
      </c>
      <c r="CI660" s="6">
        <f>VLOOKUP(Table1[[#This Row],[Reference]],metron,23,FALSE)</f>
        <v>1.8341677096370459</v>
      </c>
      <c r="CJ660" s="6">
        <f>VLOOKUP(Table1[[#This Row],[Reference]],metron,24,FALSE)</f>
        <v>1.7903629536921151</v>
      </c>
      <c r="CK660" s="6">
        <f>VLOOKUP(Table1[[#This Row],[Reference]],metron,25,FALSE)</f>
        <v>0.1095118898623279</v>
      </c>
      <c r="CL660" s="6">
        <f>VLOOKUP(Table1[[#This Row],[Reference]],metron,26,FALSE)</f>
        <v>9.3241551939924908E-2</v>
      </c>
    </row>
    <row r="661" spans="1:90" x14ac:dyDescent="0.45">
      <c r="A661" t="s">
        <v>1256</v>
      </c>
      <c r="B661">
        <v>1619836200</v>
      </c>
      <c r="C661" s="23" t="s">
        <v>1219</v>
      </c>
      <c r="D661" t="s">
        <v>65</v>
      </c>
      <c r="E661" t="s">
        <v>66</v>
      </c>
      <c r="F661" t="s">
        <v>78</v>
      </c>
      <c r="G661" t="s">
        <v>79</v>
      </c>
      <c r="H661" t="s">
        <v>92</v>
      </c>
      <c r="I661">
        <f>MROUND(Table1[[#This Row],[ProbH]]*100,2)/100</f>
        <v>0.38</v>
      </c>
      <c r="J661">
        <f>1/Table1[[#This Row],[odds_ft_home_team_win]]-Table1[[#This Row],[Margin]]</f>
        <v>0.37476056410454189</v>
      </c>
      <c r="K661">
        <f>1/Table1[[#This Row],[odds_ft_draw]]-Table1[[#This Row],[Margin]]</f>
        <v>0.26494144265751352</v>
      </c>
      <c r="L661">
        <f>1/Table1[[#This Row],[odds_ft_away_team_win]]-Table1[[#This Row],[Margin]]</f>
        <v>0.36029799323794465</v>
      </c>
      <c r="M661">
        <v>17</v>
      </c>
      <c r="N661">
        <v>1.31</v>
      </c>
      <c r="O661">
        <v>0.59</v>
      </c>
      <c r="P661">
        <v>1.41</v>
      </c>
      <c r="Q661">
        <v>0.55000000000000004</v>
      </c>
      <c r="R661" t="str" cm="1">
        <f t="array" ref="R6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60</v>
      </c>
      <c r="AA661">
        <v>3</v>
      </c>
      <c r="AB661">
        <v>0</v>
      </c>
      <c r="AC661">
        <v>5</v>
      </c>
      <c r="AD661">
        <v>0</v>
      </c>
      <c r="AE661">
        <v>1</v>
      </c>
      <c r="AF661">
        <v>0</v>
      </c>
      <c r="AG661">
        <v>2</v>
      </c>
      <c r="AH661">
        <v>3</v>
      </c>
      <c r="AI661">
        <v>1</v>
      </c>
      <c r="AJ661">
        <v>0</v>
      </c>
      <c r="AK661">
        <v>8</v>
      </c>
      <c r="AL661">
        <v>8</v>
      </c>
      <c r="AM661">
        <v>5</v>
      </c>
      <c r="AN661">
        <v>3</v>
      </c>
      <c r="AO661">
        <v>3</v>
      </c>
      <c r="AP661">
        <v>5</v>
      </c>
      <c r="AQ661">
        <v>14</v>
      </c>
      <c r="AR661">
        <v>11</v>
      </c>
      <c r="AS661">
        <v>49</v>
      </c>
      <c r="AT661">
        <v>51</v>
      </c>
      <c r="AU661">
        <v>0</v>
      </c>
      <c r="AV661">
        <v>0</v>
      </c>
      <c r="AW661">
        <v>2.4700000000000002</v>
      </c>
      <c r="AX661">
        <v>60</v>
      </c>
      <c r="AY661">
        <v>63</v>
      </c>
      <c r="AZ661">
        <v>42</v>
      </c>
      <c r="BA661">
        <v>27</v>
      </c>
      <c r="BB661">
        <v>21</v>
      </c>
      <c r="BC661">
        <v>39</v>
      </c>
      <c r="BD661">
        <v>60</v>
      </c>
      <c r="BE661">
        <v>33</v>
      </c>
      <c r="BF661">
        <v>73</v>
      </c>
      <c r="BG661">
        <v>9</v>
      </c>
      <c r="BH661">
        <v>5.38</v>
      </c>
      <c r="BI661">
        <v>2.58</v>
      </c>
      <c r="BJ661">
        <v>3.6</v>
      </c>
      <c r="BK661">
        <v>2.68</v>
      </c>
      <c r="BL661">
        <f>(1/Table1[[#This Row],[odds_ft_home_team_win]]+1/Table1[[#This Row],[odds_ft_draw]]+1/Table1[[#This Row],[odds_ft_away_team_win]]-1)/3</f>
        <v>1.2836335120264275E-2</v>
      </c>
      <c r="BM661">
        <v>1.21</v>
      </c>
      <c r="BN661">
        <v>1.72</v>
      </c>
      <c r="BO661">
        <v>2.64</v>
      </c>
      <c r="BP661">
        <v>4.5999999999999996</v>
      </c>
      <c r="BQ661">
        <v>1.57</v>
      </c>
      <c r="BR661">
        <v>2.25</v>
      </c>
      <c r="BS661" t="s">
        <v>82</v>
      </c>
      <c r="BT661">
        <f>VLOOKUP(Table1[[#This Row],[Reference]],metron,8,FALSE)</f>
        <v>1.464160929441638</v>
      </c>
      <c r="BU661">
        <f>VLOOKUP(Table1[[#This Row],[Reference]],metron,9,FALSE)</f>
        <v>1.2477119808919459</v>
      </c>
      <c r="BV661">
        <f>VLOOKUP(Table1[[#This Row],[Reference]],metron,10,FALSE)</f>
        <v>2.4900895140664963</v>
      </c>
      <c r="BW661">
        <f>VLOOKUP(Table1[[#This Row],[Reference]],metron,11,FALSE)</f>
        <v>1.330562659846547</v>
      </c>
      <c r="BX661">
        <f>VLOOKUP(Table1[[#This Row],[Reference]],metron,12,FALSE)</f>
        <v>1.1595268542199491</v>
      </c>
      <c r="BY661" s="6">
        <f>VLOOKUP(Table1[[#This Row],[Reference]],metron,13,FALSE)</f>
        <v>0.59053607588191415</v>
      </c>
      <c r="BZ661" s="6">
        <f>VLOOKUP(Table1[[#This Row],[Reference]],metron,14,FALSE)</f>
        <v>0.50069274219332838</v>
      </c>
      <c r="CA661" s="6">
        <f>VLOOKUP(Table1[[#This Row],[Reference]],metron,15,FALSE)</f>
        <v>11.79715236686391</v>
      </c>
      <c r="CB661" s="6">
        <f>VLOOKUP(Table1[[#This Row],[Reference]],metron,16,FALSE)</f>
        <v>10.317122781065089</v>
      </c>
      <c r="CC661" s="6">
        <f>VLOOKUP(Table1[[#This Row],[Reference]],metron,17,FALSE)</f>
        <v>5.0637025966747622</v>
      </c>
      <c r="CD661" s="6">
        <f>VLOOKUP(Table1[[#This Row],[Reference]],metron,18,FALSE)</f>
        <v>4.4674014571268454</v>
      </c>
      <c r="CE661" s="6">
        <f>VLOOKUP(Table1[[#This Row],[Reference]],metron,19,FALSE)</f>
        <v>6.7334497701891483</v>
      </c>
      <c r="CF661" s="6">
        <f>VLOOKUP(Table1[[#This Row],[Reference]],metron,20,FALSE)</f>
        <v>5.849721323938244</v>
      </c>
      <c r="CG661" s="6">
        <f>VLOOKUP(Table1[[#This Row],[Reference]],metron,21,FALSE)</f>
        <v>12.89644194756554</v>
      </c>
      <c r="CH661" s="6">
        <f>VLOOKUP(Table1[[#This Row],[Reference]],metron,22,FALSE)</f>
        <v>13.3434456928839</v>
      </c>
      <c r="CI661" s="6">
        <f>VLOOKUP(Table1[[#This Row],[Reference]],metron,23,FALSE)</f>
        <v>1.6144382124117971</v>
      </c>
      <c r="CJ661" s="6">
        <f>VLOOKUP(Table1[[#This Row],[Reference]],metron,24,FALSE)</f>
        <v>1.9032024606477289</v>
      </c>
      <c r="CK661" s="6">
        <f>VLOOKUP(Table1[[#This Row],[Reference]],metron,25,FALSE)</f>
        <v>9.372172969060974E-2</v>
      </c>
      <c r="CL661" s="6">
        <f>VLOOKUP(Table1[[#This Row],[Reference]],metron,26,FALSE)</f>
        <v>0.11669983716301791</v>
      </c>
    </row>
    <row r="662" spans="1:90" x14ac:dyDescent="0.45">
      <c r="A662" t="s">
        <v>1256</v>
      </c>
      <c r="B662">
        <v>1619906400</v>
      </c>
      <c r="C662" s="23" t="s">
        <v>1220</v>
      </c>
      <c r="D662" t="s">
        <v>65</v>
      </c>
      <c r="E662" t="s">
        <v>66</v>
      </c>
      <c r="F662" t="s">
        <v>90</v>
      </c>
      <c r="G662" t="s">
        <v>107</v>
      </c>
      <c r="H662" t="s">
        <v>108</v>
      </c>
      <c r="I662">
        <f>MROUND(Table1[[#This Row],[ProbH]]*100,2)/100</f>
        <v>0.42</v>
      </c>
      <c r="J662">
        <f>1/Table1[[#This Row],[odds_ft_home_team_win]]-Table1[[#This Row],[Margin]]</f>
        <v>0.42079038727897394</v>
      </c>
      <c r="K662">
        <f>1/Table1[[#This Row],[odds_ft_draw]]-Table1[[#This Row],[Margin]]</f>
        <v>0.3211735290414261</v>
      </c>
      <c r="L662">
        <f>1/Table1[[#This Row],[odds_ft_away_team_win]]-Table1[[#This Row],[Margin]]</f>
        <v>0.25803608367959996</v>
      </c>
      <c r="M662">
        <v>17</v>
      </c>
      <c r="N662">
        <v>1.63</v>
      </c>
      <c r="O662">
        <v>1.59</v>
      </c>
      <c r="P662">
        <v>1.6</v>
      </c>
      <c r="Q662">
        <v>1.47</v>
      </c>
      <c r="R662" t="str" cm="1">
        <f t="array" ref="R6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A662">
        <v>5</v>
      </c>
      <c r="AB662">
        <v>4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12</v>
      </c>
      <c r="AL662">
        <v>16</v>
      </c>
      <c r="AM662">
        <v>7</v>
      </c>
      <c r="AN662">
        <v>4</v>
      </c>
      <c r="AO662">
        <v>5</v>
      </c>
      <c r="AP662">
        <v>12</v>
      </c>
      <c r="AQ662">
        <v>13</v>
      </c>
      <c r="AR662">
        <v>7</v>
      </c>
      <c r="AS662">
        <v>49</v>
      </c>
      <c r="AT662">
        <v>51</v>
      </c>
      <c r="AU662">
        <v>1.52</v>
      </c>
      <c r="AV662">
        <v>1.54</v>
      </c>
      <c r="AW662">
        <v>2.25</v>
      </c>
      <c r="AX662">
        <v>50</v>
      </c>
      <c r="AY662">
        <v>73</v>
      </c>
      <c r="AZ662">
        <v>36</v>
      </c>
      <c r="BA662">
        <v>20</v>
      </c>
      <c r="BB662">
        <v>9</v>
      </c>
      <c r="BC662">
        <v>28</v>
      </c>
      <c r="BD662">
        <v>55</v>
      </c>
      <c r="BE662">
        <v>37</v>
      </c>
      <c r="BF662">
        <v>78</v>
      </c>
      <c r="BG662">
        <v>10.11</v>
      </c>
      <c r="BH662">
        <v>3.14</v>
      </c>
      <c r="BI662">
        <v>2.25</v>
      </c>
      <c r="BJ662">
        <v>2.9</v>
      </c>
      <c r="BK662">
        <v>3.55</v>
      </c>
      <c r="BL662">
        <f>(1/Table1[[#This Row],[odds_ft_home_team_win]]+1/Table1[[#This Row],[odds_ft_draw]]+1/Table1[[#This Row],[odds_ft_away_team_win]]-1)/3</f>
        <v>2.3654057165470494E-2</v>
      </c>
      <c r="BM662">
        <v>1.48</v>
      </c>
      <c r="BN662">
        <v>2.25</v>
      </c>
      <c r="BO662">
        <v>3.95</v>
      </c>
      <c r="BP662">
        <v>7.75</v>
      </c>
      <c r="BQ662">
        <v>1.95</v>
      </c>
      <c r="BR662">
        <v>1.8</v>
      </c>
      <c r="BS662" t="s">
        <v>94</v>
      </c>
      <c r="BT662">
        <f>VLOOKUP(Table1[[#This Row],[Reference]],metron,8,FALSE)</f>
        <v>1.5780106027030405</v>
      </c>
      <c r="BU662">
        <f>VLOOKUP(Table1[[#This Row],[Reference]],metron,9,FALSE)</f>
        <v>1.1353025412447635</v>
      </c>
      <c r="BV662">
        <f>VLOOKUP(Table1[[#This Row],[Reference]],metron,10,FALSE)</f>
        <v>2.4884649511978703</v>
      </c>
      <c r="BW662">
        <f>VLOOKUP(Table1[[#This Row],[Reference]],metron,11,FALSE)</f>
        <v>1.396960958296362</v>
      </c>
      <c r="BX662">
        <f>VLOOKUP(Table1[[#This Row],[Reference]],metron,12,FALSE)</f>
        <v>1.091503992901508</v>
      </c>
      <c r="BY662" s="6">
        <f>VLOOKUP(Table1[[#This Row],[Reference]],metron,13,FALSE)</f>
        <v>0.60765391014975045</v>
      </c>
      <c r="BZ662" s="6">
        <f>VLOOKUP(Table1[[#This Row],[Reference]],metron,14,FALSE)</f>
        <v>0.47276760953965608</v>
      </c>
      <c r="CA662" s="6">
        <f>VLOOKUP(Table1[[#This Row],[Reference]],metron,15,FALSE)</f>
        <v>12.29504785684561</v>
      </c>
      <c r="CB662" s="6">
        <f>VLOOKUP(Table1[[#This Row],[Reference]],metron,16,FALSE)</f>
        <v>10.047232625884311</v>
      </c>
      <c r="CC662" s="6">
        <f>VLOOKUP(Table1[[#This Row],[Reference]],metron,17,FALSE)</f>
        <v>5.2917192097519967</v>
      </c>
      <c r="CD662" s="6">
        <f>VLOOKUP(Table1[[#This Row],[Reference]],metron,18,FALSE)</f>
        <v>4.2580916351408158</v>
      </c>
      <c r="CE662" s="6">
        <f>VLOOKUP(Table1[[#This Row],[Reference]],metron,19,FALSE)</f>
        <v>7.0033286470936131</v>
      </c>
      <c r="CF662" s="6">
        <f>VLOOKUP(Table1[[#This Row],[Reference]],metron,20,FALSE)</f>
        <v>5.789140990743495</v>
      </c>
      <c r="CG662" s="6">
        <f>VLOOKUP(Table1[[#This Row],[Reference]],metron,21,FALSE)</f>
        <v>12.77041895895049</v>
      </c>
      <c r="CH662" s="6">
        <f>VLOOKUP(Table1[[#This Row],[Reference]],metron,22,FALSE)</f>
        <v>13.411129919593741</v>
      </c>
      <c r="CI662" s="6">
        <f>VLOOKUP(Table1[[#This Row],[Reference]],metron,23,FALSE)</f>
        <v>1.556141062018646</v>
      </c>
      <c r="CJ662" s="6">
        <f>VLOOKUP(Table1[[#This Row],[Reference]],metron,24,FALSE)</f>
        <v>1.9114308877178761</v>
      </c>
      <c r="CK662" s="6">
        <f>VLOOKUP(Table1[[#This Row],[Reference]],metron,25,FALSE)</f>
        <v>8.4920956627482766E-2</v>
      </c>
      <c r="CL662" s="6">
        <f>VLOOKUP(Table1[[#This Row],[Reference]],metron,26,FALSE)</f>
        <v>0.1323469801378192</v>
      </c>
    </row>
    <row r="663" spans="1:90" x14ac:dyDescent="0.45">
      <c r="A663" t="s">
        <v>1256</v>
      </c>
      <c r="B663">
        <v>1619906400</v>
      </c>
      <c r="C663" s="23" t="s">
        <v>1220</v>
      </c>
      <c r="D663" t="s">
        <v>65</v>
      </c>
      <c r="E663" t="s">
        <v>66</v>
      </c>
      <c r="F663" t="s">
        <v>85</v>
      </c>
      <c r="G663" t="s">
        <v>67</v>
      </c>
      <c r="H663" t="s">
        <v>80</v>
      </c>
      <c r="I663">
        <f>MROUND(Table1[[#This Row],[ProbH]]*100,2)/100</f>
        <v>0.54</v>
      </c>
      <c r="J663">
        <f>1/Table1[[#This Row],[odds_ft_home_team_win]]-Table1[[#This Row],[Margin]]</f>
        <v>0.54022559414602467</v>
      </c>
      <c r="K663">
        <f>1/Table1[[#This Row],[odds_ft_draw]]-Table1[[#This Row],[Margin]]</f>
        <v>0.24922644547332129</v>
      </c>
      <c r="L663">
        <f>1/Table1[[#This Row],[odds_ft_away_team_win]]-Table1[[#This Row],[Margin]]</f>
        <v>0.2105479603806541</v>
      </c>
      <c r="M663">
        <v>17</v>
      </c>
      <c r="N663">
        <v>2.3199999999999998</v>
      </c>
      <c r="O663">
        <v>0.19</v>
      </c>
      <c r="P663">
        <v>2.29</v>
      </c>
      <c r="Q663">
        <v>0.17</v>
      </c>
      <c r="R663" t="str" cm="1">
        <f t="array" ref="R6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3">
        <v>2</v>
      </c>
      <c r="T663">
        <v>1</v>
      </c>
      <c r="U663">
        <v>3</v>
      </c>
      <c r="V663">
        <v>1</v>
      </c>
      <c r="W663">
        <v>1</v>
      </c>
      <c r="X663">
        <v>0</v>
      </c>
      <c r="Y663" t="s">
        <v>1221</v>
      </c>
      <c r="Z663">
        <v>67</v>
      </c>
      <c r="AA663">
        <v>6</v>
      </c>
      <c r="AB663">
        <v>7</v>
      </c>
      <c r="AC663">
        <v>2</v>
      </c>
      <c r="AD663">
        <v>0</v>
      </c>
      <c r="AE663">
        <v>3</v>
      </c>
      <c r="AF663">
        <v>0</v>
      </c>
      <c r="AG663">
        <v>0</v>
      </c>
      <c r="AH663">
        <v>2</v>
      </c>
      <c r="AI663">
        <v>1</v>
      </c>
      <c r="AJ663">
        <v>2</v>
      </c>
      <c r="AK663">
        <v>17</v>
      </c>
      <c r="AL663">
        <v>13</v>
      </c>
      <c r="AM663">
        <v>4</v>
      </c>
      <c r="AN663">
        <v>3</v>
      </c>
      <c r="AO663">
        <v>13</v>
      </c>
      <c r="AP663">
        <v>10</v>
      </c>
      <c r="AQ663">
        <v>10</v>
      </c>
      <c r="AR663">
        <v>7</v>
      </c>
      <c r="AS663">
        <v>60</v>
      </c>
      <c r="AT663">
        <v>40</v>
      </c>
      <c r="AU663">
        <v>1.83</v>
      </c>
      <c r="AV663">
        <v>1.47</v>
      </c>
      <c r="AW663">
        <v>2.74</v>
      </c>
      <c r="AX663">
        <v>61</v>
      </c>
      <c r="AY663">
        <v>77</v>
      </c>
      <c r="AZ663">
        <v>61</v>
      </c>
      <c r="BA663">
        <v>26</v>
      </c>
      <c r="BB663">
        <v>12</v>
      </c>
      <c r="BC663">
        <v>38</v>
      </c>
      <c r="BD663">
        <v>75</v>
      </c>
      <c r="BE663">
        <v>36</v>
      </c>
      <c r="BF663">
        <v>74</v>
      </c>
      <c r="BG663">
        <v>8.4700000000000006</v>
      </c>
      <c r="BH663">
        <v>4.83</v>
      </c>
      <c r="BI663">
        <v>1.77</v>
      </c>
      <c r="BJ663">
        <v>3.65</v>
      </c>
      <c r="BK663">
        <v>4.25</v>
      </c>
      <c r="BL663">
        <f>(1/Table1[[#This Row],[odds_ft_home_team_win]]+1/Table1[[#This Row],[odds_ft_draw]]+1/Table1[[#This Row],[odds_ft_away_team_win]]-1)/3</f>
        <v>2.4746157266404722E-2</v>
      </c>
      <c r="BM663">
        <v>1.26</v>
      </c>
      <c r="BN663">
        <v>1.74</v>
      </c>
      <c r="BO663">
        <v>2.75</v>
      </c>
      <c r="BP663">
        <v>4.8499999999999996</v>
      </c>
      <c r="BQ663">
        <v>1.69</v>
      </c>
      <c r="BR663">
        <v>2.1</v>
      </c>
      <c r="BS663" t="s">
        <v>128</v>
      </c>
      <c r="BT663">
        <f>VLOOKUP(Table1[[#This Row],[Reference]],metron,8,FALSE)</f>
        <v>1.915666026436746</v>
      </c>
      <c r="BU663">
        <f>VLOOKUP(Table1[[#This Row],[Reference]],metron,9,FALSE)</f>
        <v>0.82283834599204153</v>
      </c>
      <c r="BV663">
        <f>VLOOKUP(Table1[[#This Row],[Reference]],metron,10,FALSE)</f>
        <v>2.6359702267612941</v>
      </c>
      <c r="BW663">
        <f>VLOOKUP(Table1[[#This Row],[Reference]],metron,11,FALSE)</f>
        <v>1.684957590444867</v>
      </c>
      <c r="BX663">
        <f>VLOOKUP(Table1[[#This Row],[Reference]],metron,12,FALSE)</f>
        <v>0.95101263631642718</v>
      </c>
      <c r="BY663" s="6">
        <f>VLOOKUP(Table1[[#This Row],[Reference]],metron,13,FALSE)</f>
        <v>0.72650164445213783</v>
      </c>
      <c r="BZ663" s="6">
        <f>VLOOKUP(Table1[[#This Row],[Reference]],metron,14,FALSE)</f>
        <v>0.42097974727367138</v>
      </c>
      <c r="CA663" s="6">
        <f>VLOOKUP(Table1[[#This Row],[Reference]],metron,15,FALSE)</f>
        <v>13.338806970509379</v>
      </c>
      <c r="CB663" s="6">
        <f>VLOOKUP(Table1[[#This Row],[Reference]],metron,16,FALSE)</f>
        <v>9.2530160857908843</v>
      </c>
      <c r="CC663" s="6">
        <f>VLOOKUP(Table1[[#This Row],[Reference]],metron,17,FALSE)</f>
        <v>5.9915081521739131</v>
      </c>
      <c r="CD663" s="6">
        <f>VLOOKUP(Table1[[#This Row],[Reference]],metron,18,FALSE)</f>
        <v>3.9772418478260869</v>
      </c>
      <c r="CE663" s="6">
        <f>VLOOKUP(Table1[[#This Row],[Reference]],metron,19,FALSE)</f>
        <v>7.3472988183354664</v>
      </c>
      <c r="CF663" s="6">
        <f>VLOOKUP(Table1[[#This Row],[Reference]],metron,20,FALSE)</f>
        <v>5.2757742379647974</v>
      </c>
      <c r="CG663" s="6">
        <f>VLOOKUP(Table1[[#This Row],[Reference]],metron,21,FALSE)</f>
        <v>12.59428182437032</v>
      </c>
      <c r="CH663" s="6">
        <f>VLOOKUP(Table1[[#This Row],[Reference]],metron,22,FALSE)</f>
        <v>13.577944179714089</v>
      </c>
      <c r="CI663" s="6">
        <f>VLOOKUP(Table1[[#This Row],[Reference]],metron,23,FALSE)</f>
        <v>1.4276913099870301</v>
      </c>
      <c r="CJ663" s="6">
        <f>VLOOKUP(Table1[[#This Row],[Reference]],metron,24,FALSE)</f>
        <v>1.940985732814527</v>
      </c>
      <c r="CK663" s="6">
        <f>VLOOKUP(Table1[[#This Row],[Reference]],metron,25,FALSE)</f>
        <v>8.0739299610894946E-2</v>
      </c>
      <c r="CL663" s="6">
        <f>VLOOKUP(Table1[[#This Row],[Reference]],metron,26,FALSE)</f>
        <v>0.12743190661478601</v>
      </c>
    </row>
    <row r="664" spans="1:90" x14ac:dyDescent="0.45">
      <c r="A664" t="s">
        <v>1256</v>
      </c>
      <c r="B664">
        <v>1619913600</v>
      </c>
      <c r="C664" s="23" t="s">
        <v>1222</v>
      </c>
      <c r="D664" t="s">
        <v>65</v>
      </c>
      <c r="E664" t="s">
        <v>66</v>
      </c>
      <c r="F664" t="s">
        <v>112</v>
      </c>
      <c r="G664" t="s">
        <v>106</v>
      </c>
      <c r="H664" t="s">
        <v>133</v>
      </c>
      <c r="I664">
        <f>MROUND(Table1[[#This Row],[ProbH]]*100,2)/100</f>
        <v>0.52</v>
      </c>
      <c r="J664">
        <f>1/Table1[[#This Row],[odds_ft_home_team_win]]-Table1[[#This Row],[Margin]]</f>
        <v>0.51126814362108475</v>
      </c>
      <c r="K664">
        <f>1/Table1[[#This Row],[odds_ft_draw]]-Table1[[#This Row],[Margin]]</f>
        <v>0.26222307104660053</v>
      </c>
      <c r="L664">
        <f>1/Table1[[#This Row],[odds_ft_away_team_win]]-Table1[[#This Row],[Margin]]</f>
        <v>0.2265087853323148</v>
      </c>
      <c r="M664">
        <v>17</v>
      </c>
      <c r="N664">
        <v>2.2200000000000002</v>
      </c>
      <c r="O664">
        <v>0.44</v>
      </c>
      <c r="P664">
        <v>2.1800000000000002</v>
      </c>
      <c r="Q664">
        <v>0.47</v>
      </c>
      <c r="R664" t="str" cm="1">
        <f t="array" ref="R6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64">
        <v>1</v>
      </c>
      <c r="T664">
        <v>1</v>
      </c>
      <c r="U664">
        <v>2</v>
      </c>
      <c r="V664">
        <v>1</v>
      </c>
      <c r="W664">
        <v>1</v>
      </c>
      <c r="X664">
        <v>0</v>
      </c>
      <c r="Y664" t="s">
        <v>149</v>
      </c>
      <c r="Z664" t="s">
        <v>329</v>
      </c>
      <c r="AA664">
        <v>6</v>
      </c>
      <c r="AB664">
        <v>4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15</v>
      </c>
      <c r="AL664">
        <v>8</v>
      </c>
      <c r="AM664">
        <v>3</v>
      </c>
      <c r="AN664">
        <v>5</v>
      </c>
      <c r="AO664">
        <v>12</v>
      </c>
      <c r="AP664">
        <v>3</v>
      </c>
      <c r="AQ664">
        <v>4</v>
      </c>
      <c r="AR664">
        <v>12</v>
      </c>
      <c r="AS664">
        <v>48</v>
      </c>
      <c r="AT664">
        <v>52</v>
      </c>
      <c r="AU664">
        <v>1.41</v>
      </c>
      <c r="AV664">
        <v>1.24</v>
      </c>
      <c r="AW664">
        <v>2.5299999999999998</v>
      </c>
      <c r="AX664">
        <v>36</v>
      </c>
      <c r="AY664">
        <v>68</v>
      </c>
      <c r="AZ664">
        <v>44</v>
      </c>
      <c r="BA664">
        <v>29</v>
      </c>
      <c r="BB664">
        <v>17</v>
      </c>
      <c r="BC664">
        <v>32</v>
      </c>
      <c r="BD664">
        <v>75</v>
      </c>
      <c r="BE664">
        <v>36</v>
      </c>
      <c r="BF664">
        <v>70</v>
      </c>
      <c r="BG664">
        <v>9.16</v>
      </c>
      <c r="BH664">
        <v>4.55</v>
      </c>
      <c r="BI664">
        <v>1.87</v>
      </c>
      <c r="BJ664">
        <v>3.5</v>
      </c>
      <c r="BK664">
        <v>4</v>
      </c>
      <c r="BL664">
        <f>(1/Table1[[#This Row],[odds_ft_home_team_win]]+1/Table1[[#This Row],[odds_ft_draw]]+1/Table1[[#This Row],[odds_ft_away_team_win]]-1)/3</f>
        <v>2.3491214667685185E-2</v>
      </c>
      <c r="BM664">
        <v>1.3</v>
      </c>
      <c r="BN664">
        <v>1.83</v>
      </c>
      <c r="BO664">
        <v>3</v>
      </c>
      <c r="BP664">
        <v>5.75</v>
      </c>
      <c r="BQ664">
        <v>1.77</v>
      </c>
      <c r="BR664">
        <v>2</v>
      </c>
      <c r="BS664" t="s">
        <v>116</v>
      </c>
      <c r="BT664">
        <f>VLOOKUP(Table1[[#This Row],[Reference]],metron,8,FALSE)</f>
        <v>1.8614830167843088</v>
      </c>
      <c r="BU664">
        <f>VLOOKUP(Table1[[#This Row],[Reference]],metron,9,FALSE)</f>
        <v>0.87079851622593896</v>
      </c>
      <c r="BV664">
        <f>VLOOKUP(Table1[[#This Row],[Reference]],metron,10,FALSE)</f>
        <v>2.5967403582378576</v>
      </c>
      <c r="BW664">
        <f>VLOOKUP(Table1[[#This Row],[Reference]],metron,11,FALSE)</f>
        <v>1.625948039373891</v>
      </c>
      <c r="BX664">
        <f>VLOOKUP(Table1[[#This Row],[Reference]],metron,12,FALSE)</f>
        <v>0.97079231886396644</v>
      </c>
      <c r="BY664" s="6">
        <f>VLOOKUP(Table1[[#This Row],[Reference]],metron,13,FALSE)</f>
        <v>0.71433182698515174</v>
      </c>
      <c r="BZ664" s="6">
        <f>VLOOKUP(Table1[[#This Row],[Reference]],metron,14,FALSE)</f>
        <v>0.43011620400258233</v>
      </c>
      <c r="CA664" s="6">
        <f>VLOOKUP(Table1[[#This Row],[Reference]],metron,15,FALSE)</f>
        <v>13.39951055368614</v>
      </c>
      <c r="CB664" s="6">
        <f>VLOOKUP(Table1[[#This Row],[Reference]],metron,16,FALSE)</f>
        <v>9.4252064851636579</v>
      </c>
      <c r="CC664" s="6">
        <f>VLOOKUP(Table1[[#This Row],[Reference]],metron,17,FALSE)</f>
        <v>5.7628422023992618</v>
      </c>
      <c r="CD664" s="6">
        <f>VLOOKUP(Table1[[#This Row],[Reference]],metron,18,FALSE)</f>
        <v>3.9375576745616732</v>
      </c>
      <c r="CE664" s="6">
        <f>VLOOKUP(Table1[[#This Row],[Reference]],metron,19,FALSE)</f>
        <v>7.636668351286878</v>
      </c>
      <c r="CF664" s="6">
        <f>VLOOKUP(Table1[[#This Row],[Reference]],metron,20,FALSE)</f>
        <v>5.4876488106019847</v>
      </c>
      <c r="CG664" s="6">
        <f>VLOOKUP(Table1[[#This Row],[Reference]],metron,21,FALSE)</f>
        <v>12.460420531849101</v>
      </c>
      <c r="CH664" s="6">
        <f>VLOOKUP(Table1[[#This Row],[Reference]],metron,22,FALSE)</f>
        <v>13.44897959183673</v>
      </c>
      <c r="CI664" s="6">
        <f>VLOOKUP(Table1[[#This Row],[Reference]],metron,23,FALSE)</f>
        <v>1.462202380952381</v>
      </c>
      <c r="CJ664" s="6">
        <f>VLOOKUP(Table1[[#This Row],[Reference]],metron,24,FALSE)</f>
        <v>2.01547619047619</v>
      </c>
      <c r="CK664" s="6">
        <f>VLOOKUP(Table1[[#This Row],[Reference]],metron,25,FALSE)</f>
        <v>7.7380952380952384E-2</v>
      </c>
      <c r="CL664" s="6">
        <f>VLOOKUP(Table1[[#This Row],[Reference]],metron,26,FALSE)</f>
        <v>0.13754093480202439</v>
      </c>
    </row>
    <row r="665" spans="1:90" x14ac:dyDescent="0.45">
      <c r="A665" t="s">
        <v>1256</v>
      </c>
      <c r="B665">
        <v>1619921160</v>
      </c>
      <c r="C665" s="23" t="s">
        <v>1223</v>
      </c>
      <c r="D665" t="s">
        <v>65</v>
      </c>
      <c r="E665" t="s">
        <v>66</v>
      </c>
      <c r="F665" t="s">
        <v>101</v>
      </c>
      <c r="G665" t="s">
        <v>113</v>
      </c>
      <c r="H665" t="s">
        <v>103</v>
      </c>
      <c r="I665">
        <f>MROUND(Table1[[#This Row],[ProbH]]*100,2)/100</f>
        <v>0.7</v>
      </c>
      <c r="J665">
        <f>1/Table1[[#This Row],[odds_ft_home_team_win]]-Table1[[#This Row],[Margin]]</f>
        <v>0.7073769616739618</v>
      </c>
      <c r="K665">
        <f>1/Table1[[#This Row],[odds_ft_draw]]-Table1[[#This Row],[Margin]]</f>
        <v>0.18260915981637668</v>
      </c>
      <c r="L665">
        <f>1/Table1[[#This Row],[odds_ft_away_team_win]]-Table1[[#This Row],[Margin]]</f>
        <v>0.11001387850966161</v>
      </c>
      <c r="M665">
        <v>17</v>
      </c>
      <c r="N665">
        <v>1.76</v>
      </c>
      <c r="O665">
        <v>0.69</v>
      </c>
      <c r="P665">
        <v>1.79</v>
      </c>
      <c r="Q665">
        <v>0.65</v>
      </c>
      <c r="R665" t="str" cm="1">
        <f t="array" ref="R6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16</v>
      </c>
      <c r="AA665">
        <v>5</v>
      </c>
      <c r="AB665">
        <v>5</v>
      </c>
      <c r="AC665">
        <v>1</v>
      </c>
      <c r="AD665">
        <v>0</v>
      </c>
      <c r="AE665">
        <v>3</v>
      </c>
      <c r="AF665">
        <v>1</v>
      </c>
      <c r="AG665">
        <v>1</v>
      </c>
      <c r="AH665">
        <v>0</v>
      </c>
      <c r="AI665">
        <v>1</v>
      </c>
      <c r="AJ665">
        <v>3</v>
      </c>
      <c r="AK665">
        <v>18</v>
      </c>
      <c r="AL665">
        <v>7</v>
      </c>
      <c r="AM665">
        <v>7</v>
      </c>
      <c r="AN665">
        <v>3</v>
      </c>
      <c r="AO665">
        <v>11</v>
      </c>
      <c r="AP665">
        <v>4</v>
      </c>
      <c r="AQ665">
        <v>12</v>
      </c>
      <c r="AR665">
        <v>8</v>
      </c>
      <c r="AS665">
        <v>58</v>
      </c>
      <c r="AT665">
        <v>42</v>
      </c>
      <c r="AU665">
        <v>2.09</v>
      </c>
      <c r="AV665">
        <v>0.83</v>
      </c>
      <c r="AW665">
        <v>2.86</v>
      </c>
      <c r="AX665">
        <v>64</v>
      </c>
      <c r="AY665">
        <v>79</v>
      </c>
      <c r="AZ665">
        <v>55</v>
      </c>
      <c r="BA665">
        <v>34</v>
      </c>
      <c r="BB665">
        <v>13</v>
      </c>
      <c r="BC665">
        <v>31</v>
      </c>
      <c r="BD665">
        <v>64</v>
      </c>
      <c r="BE665">
        <v>61</v>
      </c>
      <c r="BF665">
        <v>82</v>
      </c>
      <c r="BG665">
        <v>8.6</v>
      </c>
      <c r="BH665">
        <v>4.97</v>
      </c>
      <c r="BI665">
        <v>1.36</v>
      </c>
      <c r="BJ665">
        <v>4.75</v>
      </c>
      <c r="BK665">
        <v>7.25</v>
      </c>
      <c r="BL665">
        <f>(1/Table1[[#This Row],[odds_ft_home_team_win]]+1/Table1[[#This Row],[odds_ft_draw]]+1/Table1[[#This Row],[odds_ft_away_team_win]]-1)/3</f>
        <v>2.7917155973097001E-2</v>
      </c>
      <c r="BM665">
        <v>1.24</v>
      </c>
      <c r="BN665">
        <v>1.62</v>
      </c>
      <c r="BO665">
        <v>2.5499999999999998</v>
      </c>
      <c r="BP665">
        <v>4.75</v>
      </c>
      <c r="BQ665">
        <v>1.91</v>
      </c>
      <c r="BR665">
        <v>1.87</v>
      </c>
      <c r="BS665" t="s">
        <v>713</v>
      </c>
      <c r="BT665">
        <f>VLOOKUP(Table1[[#This Row],[Reference]],metron,8,FALSE)</f>
        <v>2.3288743096422602</v>
      </c>
      <c r="BU665">
        <f>VLOOKUP(Table1[[#This Row],[Reference]],metron,9,FALSE)</f>
        <v>0.47695922076506025</v>
      </c>
      <c r="BV665">
        <f>VLOOKUP(Table1[[#This Row],[Reference]],metron,10,FALSE)</f>
        <v>2.9925826028320968</v>
      </c>
      <c r="BW665">
        <f>VLOOKUP(Table1[[#This Row],[Reference]],metron,11,FALSE)</f>
        <v>2.224544841537424</v>
      </c>
      <c r="BX665">
        <f>VLOOKUP(Table1[[#This Row],[Reference]],metron,12,FALSE)</f>
        <v>0.76803776129467294</v>
      </c>
      <c r="BY665" s="6">
        <f>VLOOKUP(Table1[[#This Row],[Reference]],metron,13,FALSE)</f>
        <v>0.96561024949426832</v>
      </c>
      <c r="BZ665" s="6">
        <f>VLOOKUP(Table1[[#This Row],[Reference]],metron,14,FALSE)</f>
        <v>0.34187457855697911</v>
      </c>
      <c r="CA665" s="6">
        <f>VLOOKUP(Table1[[#This Row],[Reference]],metron,15,FALSE)</f>
        <v>16.100000000000001</v>
      </c>
      <c r="CB665" s="6">
        <f>VLOOKUP(Table1[[#This Row],[Reference]],metron,16,FALSE)</f>
        <v>8.3493506493506491</v>
      </c>
      <c r="CC665" s="6">
        <f>VLOOKUP(Table1[[#This Row],[Reference]],metron,17,FALSE)</f>
        <v>7.2678100263852254</v>
      </c>
      <c r="CD665" s="6">
        <f>VLOOKUP(Table1[[#This Row],[Reference]],metron,18,FALSE)</f>
        <v>3.2770448548812658</v>
      </c>
      <c r="CE665" s="6">
        <f>VLOOKUP(Table1[[#This Row],[Reference]],metron,19,FALSE)</f>
        <v>8.832189973614776</v>
      </c>
      <c r="CF665" s="6">
        <f>VLOOKUP(Table1[[#This Row],[Reference]],metron,20,FALSE)</f>
        <v>5.0723057944693828</v>
      </c>
      <c r="CG665" s="6">
        <f>VLOOKUP(Table1[[#This Row],[Reference]],metron,21,FALSE)</f>
        <v>11.95872170439414</v>
      </c>
      <c r="CH665" s="6">
        <f>VLOOKUP(Table1[[#This Row],[Reference]],metron,22,FALSE)</f>
        <v>13.450066577896139</v>
      </c>
      <c r="CI665" s="6">
        <f>VLOOKUP(Table1[[#This Row],[Reference]],metron,23,FALSE)</f>
        <v>1.301526717557252</v>
      </c>
      <c r="CJ665" s="6">
        <f>VLOOKUP(Table1[[#This Row],[Reference]],metron,24,FALSE)</f>
        <v>1.9796437659033079</v>
      </c>
      <c r="CK665" s="6">
        <f>VLOOKUP(Table1[[#This Row],[Reference]],metron,25,FALSE)</f>
        <v>5.3435114503816793E-2</v>
      </c>
      <c r="CL665" s="6">
        <f>VLOOKUP(Table1[[#This Row],[Reference]],metron,26,FALSE)</f>
        <v>0.1183206106870229</v>
      </c>
    </row>
    <row r="666" spans="1:90" x14ac:dyDescent="0.45">
      <c r="A666" t="s">
        <v>1256</v>
      </c>
      <c r="B666">
        <v>1620000360</v>
      </c>
      <c r="C666" s="23" t="s">
        <v>1224</v>
      </c>
      <c r="D666" t="s">
        <v>65</v>
      </c>
      <c r="E666" t="s">
        <v>66</v>
      </c>
      <c r="F666" t="s">
        <v>73</v>
      </c>
      <c r="G666" t="s">
        <v>102</v>
      </c>
      <c r="H666" t="s">
        <v>215</v>
      </c>
      <c r="I666">
        <f>MROUND(Table1[[#This Row],[ProbH]]*100,2)/100</f>
        <v>0.5</v>
      </c>
      <c r="J666">
        <f>1/Table1[[#This Row],[odds_ft_home_team_win]]-Table1[[#This Row],[Margin]]</f>
        <v>0.50100092392978135</v>
      </c>
      <c r="K666">
        <f>1/Table1[[#This Row],[odds_ft_draw]]-Table1[[#This Row],[Margin]]</f>
        <v>0.27155836156452112</v>
      </c>
      <c r="L666">
        <f>1/Table1[[#This Row],[odds_ft_away_team_win]]-Table1[[#This Row],[Margin]]</f>
        <v>0.22744071450569758</v>
      </c>
      <c r="M666">
        <v>17</v>
      </c>
      <c r="N666">
        <v>2.12</v>
      </c>
      <c r="O666">
        <v>1.5</v>
      </c>
      <c r="P666">
        <v>2.09</v>
      </c>
      <c r="Q666">
        <v>1.33</v>
      </c>
      <c r="R666" t="str" cm="1">
        <f t="array" ref="R6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AA666">
        <v>6</v>
      </c>
      <c r="AB666">
        <v>5</v>
      </c>
      <c r="AC666">
        <v>1</v>
      </c>
      <c r="AD666">
        <v>0</v>
      </c>
      <c r="AE666">
        <v>4</v>
      </c>
      <c r="AF666">
        <v>1</v>
      </c>
      <c r="AG666">
        <v>1</v>
      </c>
      <c r="AH666">
        <v>0</v>
      </c>
      <c r="AI666">
        <v>2</v>
      </c>
      <c r="AJ666">
        <v>3</v>
      </c>
      <c r="AK666">
        <v>20</v>
      </c>
      <c r="AL666">
        <v>12</v>
      </c>
      <c r="AM666">
        <v>4</v>
      </c>
      <c r="AN666">
        <v>5</v>
      </c>
      <c r="AO666">
        <v>16</v>
      </c>
      <c r="AP666">
        <v>7</v>
      </c>
      <c r="AQ666">
        <v>13</v>
      </c>
      <c r="AR666">
        <v>14</v>
      </c>
      <c r="AS666">
        <v>61</v>
      </c>
      <c r="AT666">
        <v>39</v>
      </c>
      <c r="AU666">
        <v>2.04</v>
      </c>
      <c r="AV666">
        <v>1.42</v>
      </c>
      <c r="AW666">
        <v>2.74</v>
      </c>
      <c r="AX666">
        <v>55</v>
      </c>
      <c r="AY666">
        <v>72</v>
      </c>
      <c r="AZ666">
        <v>52</v>
      </c>
      <c r="BA666">
        <v>32</v>
      </c>
      <c r="BB666">
        <v>14</v>
      </c>
      <c r="BC666">
        <v>35</v>
      </c>
      <c r="BD666">
        <v>77</v>
      </c>
      <c r="BE666">
        <v>46</v>
      </c>
      <c r="BF666">
        <v>75</v>
      </c>
      <c r="BG666">
        <v>10.81</v>
      </c>
      <c r="BH666">
        <v>3.57</v>
      </c>
      <c r="BI666">
        <v>1.91</v>
      </c>
      <c r="BJ666">
        <v>3.4</v>
      </c>
      <c r="BK666">
        <v>4</v>
      </c>
      <c r="BL666">
        <f>(1/Table1[[#This Row],[odds_ft_home_team_win]]+1/Table1[[#This Row],[odds_ft_draw]]+1/Table1[[#This Row],[odds_ft_away_team_win]]-1)/3</f>
        <v>2.2559285494302417E-2</v>
      </c>
      <c r="BM666">
        <v>1.33</v>
      </c>
      <c r="BN666">
        <v>2</v>
      </c>
      <c r="BO666">
        <v>3.35</v>
      </c>
      <c r="BP666">
        <v>6.75</v>
      </c>
      <c r="BQ666">
        <v>1.87</v>
      </c>
      <c r="BR666">
        <v>1.87</v>
      </c>
      <c r="BS666" t="s">
        <v>142</v>
      </c>
      <c r="BT666">
        <f>VLOOKUP(Table1[[#This Row],[Reference]],metron,8,FALSE)</f>
        <v>1.8001937313313046</v>
      </c>
      <c r="BU666">
        <f>VLOOKUP(Table1[[#This Row],[Reference]],metron,9,FALSE)</f>
        <v>0.9268512077832276</v>
      </c>
      <c r="BV666">
        <f>VLOOKUP(Table1[[#This Row],[Reference]],metron,10,FALSE)</f>
        <v>2.5202079886551649</v>
      </c>
      <c r="BW666">
        <f>VLOOKUP(Table1[[#This Row],[Reference]],metron,11,FALSE)</f>
        <v>1.5342708579532029</v>
      </c>
      <c r="BX666">
        <f>VLOOKUP(Table1[[#This Row],[Reference]],metron,12,FALSE)</f>
        <v>0.98593713070196176</v>
      </c>
      <c r="BY666" s="6">
        <f>VLOOKUP(Table1[[#This Row],[Reference]],metron,13,FALSE)</f>
        <v>0.67513590167809023</v>
      </c>
      <c r="BZ666" s="6">
        <f>VLOOKUP(Table1[[#This Row],[Reference]],metron,14,FALSE)</f>
        <v>0.4286727337194185</v>
      </c>
      <c r="CA666" s="6">
        <f>VLOOKUP(Table1[[#This Row],[Reference]],metron,15,FALSE)</f>
        <v>12.98669114272602</v>
      </c>
      <c r="CB666" s="6">
        <f>VLOOKUP(Table1[[#This Row],[Reference]],metron,16,FALSE)</f>
        <v>9.4167049105094076</v>
      </c>
      <c r="CC666" s="6">
        <f>VLOOKUP(Table1[[#This Row],[Reference]],metron,17,FALSE)</f>
        <v>5.6645716945996272</v>
      </c>
      <c r="CD666" s="6">
        <f>VLOOKUP(Table1[[#This Row],[Reference]],metron,18,FALSE)</f>
        <v>4.0242085661080074</v>
      </c>
      <c r="CE666" s="6">
        <f>VLOOKUP(Table1[[#This Row],[Reference]],metron,19,FALSE)</f>
        <v>7.3221194481263927</v>
      </c>
      <c r="CF666" s="6">
        <f>VLOOKUP(Table1[[#This Row],[Reference]],metron,20,FALSE)</f>
        <v>5.3924963444014002</v>
      </c>
      <c r="CG666" s="6">
        <f>VLOOKUP(Table1[[#This Row],[Reference]],metron,21,FALSE)</f>
        <v>12.508162313432839</v>
      </c>
      <c r="CH666" s="6">
        <f>VLOOKUP(Table1[[#This Row],[Reference]],metron,22,FALSE)</f>
        <v>13.36963619402985</v>
      </c>
      <c r="CI666" s="6">
        <f>VLOOKUP(Table1[[#This Row],[Reference]],metron,23,FALSE)</f>
        <v>1.4438014689517029</v>
      </c>
      <c r="CJ666" s="6">
        <f>VLOOKUP(Table1[[#This Row],[Reference]],metron,24,FALSE)</f>
        <v>1.9410193634542621</v>
      </c>
      <c r="CK666" s="6">
        <f>VLOOKUP(Table1[[#This Row],[Reference]],metron,25,FALSE)</f>
        <v>8.4130870242599604E-2</v>
      </c>
      <c r="CL666" s="6">
        <f>VLOOKUP(Table1[[#This Row],[Reference]],metron,26,FALSE)</f>
        <v>0.1275317160026708</v>
      </c>
    </row>
    <row r="667" spans="1:90" x14ac:dyDescent="0.45">
      <c r="A667" t="s">
        <v>1256</v>
      </c>
      <c r="B667">
        <v>1620007500</v>
      </c>
      <c r="C667" s="23" t="s">
        <v>1225</v>
      </c>
      <c r="D667" t="s">
        <v>65</v>
      </c>
      <c r="E667" t="s">
        <v>66</v>
      </c>
      <c r="F667" t="s">
        <v>96</v>
      </c>
      <c r="G667" t="s">
        <v>68</v>
      </c>
      <c r="H667" t="s">
        <v>158</v>
      </c>
      <c r="I667">
        <f>MROUND(Table1[[#This Row],[ProbH]]*100,2)/100</f>
        <v>0.3</v>
      </c>
      <c r="J667">
        <f>1/Table1[[#This Row],[odds_ft_home_team_win]]-Table1[[#This Row],[Margin]]</f>
        <v>0.29593267882187935</v>
      </c>
      <c r="K667">
        <f>1/Table1[[#This Row],[odds_ft_draw]]-Table1[[#This Row],[Margin]]</f>
        <v>0.29593267882187935</v>
      </c>
      <c r="L667">
        <f>1/Table1[[#This Row],[odds_ft_away_team_win]]-Table1[[#This Row],[Margin]]</f>
        <v>0.40813464235624125</v>
      </c>
      <c r="M667">
        <v>17</v>
      </c>
      <c r="N667">
        <v>1.74</v>
      </c>
      <c r="O667">
        <v>1.65</v>
      </c>
      <c r="P667">
        <v>1.65</v>
      </c>
      <c r="Q667">
        <v>1.63</v>
      </c>
      <c r="R667" s="9" t="str" cm="1">
        <f t="array" ref="R6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Z667">
        <v>83</v>
      </c>
      <c r="AA667">
        <v>6</v>
      </c>
      <c r="AB667">
        <v>10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18</v>
      </c>
      <c r="AL667">
        <v>15</v>
      </c>
      <c r="AM667">
        <v>6</v>
      </c>
      <c r="AN667">
        <v>4</v>
      </c>
      <c r="AO667">
        <v>12</v>
      </c>
      <c r="AP667">
        <v>11</v>
      </c>
      <c r="AQ667">
        <v>11</v>
      </c>
      <c r="AR667">
        <v>9</v>
      </c>
      <c r="AS667">
        <v>52</v>
      </c>
      <c r="AT667">
        <v>48</v>
      </c>
      <c r="AU667">
        <v>1.85</v>
      </c>
      <c r="AV667">
        <v>1.48</v>
      </c>
      <c r="AW667">
        <v>2.46</v>
      </c>
      <c r="AX667">
        <v>51</v>
      </c>
      <c r="AY667">
        <v>70</v>
      </c>
      <c r="AZ667">
        <v>45</v>
      </c>
      <c r="BA667">
        <v>28</v>
      </c>
      <c r="BB667">
        <v>15</v>
      </c>
      <c r="BC667">
        <v>20</v>
      </c>
      <c r="BD667">
        <v>62</v>
      </c>
      <c r="BE667">
        <v>42</v>
      </c>
      <c r="BF667">
        <v>86</v>
      </c>
      <c r="BG667">
        <v>10.95</v>
      </c>
      <c r="BH667">
        <v>4.18</v>
      </c>
      <c r="BI667">
        <v>3.1</v>
      </c>
      <c r="BJ667">
        <v>3.1</v>
      </c>
      <c r="BK667">
        <v>2.2999999999999998</v>
      </c>
      <c r="BL667">
        <f>(1/Table1[[#This Row],[odds_ft_home_team_win]]+1/Table1[[#This Row],[odds_ft_draw]]+1/Table1[[#This Row],[odds_ft_away_team_win]]-1)/3</f>
        <v>2.6647966339410949E-2</v>
      </c>
      <c r="BM667">
        <v>1.36</v>
      </c>
      <c r="BN667">
        <v>2.1</v>
      </c>
      <c r="BO667">
        <v>3.65</v>
      </c>
      <c r="BP667">
        <v>7.25</v>
      </c>
      <c r="BQ667">
        <v>1.83</v>
      </c>
      <c r="BR667">
        <v>1.91</v>
      </c>
      <c r="BS667" t="s">
        <v>99</v>
      </c>
      <c r="BT667">
        <f>VLOOKUP(Table1[[#This Row],[Reference]],metron,8,FALSE)</f>
        <v>1.2142445227270171</v>
      </c>
      <c r="BU667">
        <f>VLOOKUP(Table1[[#This Row],[Reference]],metron,9,FALSE)</f>
        <v>1.4993969533036628</v>
      </c>
      <c r="BV667">
        <f>VLOOKUP(Table1[[#This Row],[Reference]],metron,10,FALSE)</f>
        <v>2.5726407816919519</v>
      </c>
      <c r="BW667">
        <f>VLOOKUP(Table1[[#This Row],[Reference]],metron,11,FALSE)</f>
        <v>1.1805091283106199</v>
      </c>
      <c r="BX667">
        <f>VLOOKUP(Table1[[#This Row],[Reference]],metron,12,FALSE)</f>
        <v>1.3921316533813319</v>
      </c>
      <c r="BY667" s="6">
        <f>VLOOKUP(Table1[[#This Row],[Reference]],metron,13,FALSE)</f>
        <v>0.5209673269873939</v>
      </c>
      <c r="BZ667" s="6">
        <f>VLOOKUP(Table1[[#This Row],[Reference]],metron,14,FALSE)</f>
        <v>0.61847182917417032</v>
      </c>
      <c r="CA667" s="6">
        <f>VLOOKUP(Table1[[#This Row],[Reference]],metron,15,FALSE)</f>
        <v>11.149200710479571</v>
      </c>
      <c r="CB667" s="6">
        <f>VLOOKUP(Table1[[#This Row],[Reference]],metron,16,FALSE)</f>
        <v>11.444049733570161</v>
      </c>
      <c r="CC667" s="6">
        <f>VLOOKUP(Table1[[#This Row],[Reference]],metron,17,FALSE)</f>
        <v>4.5257270693512304</v>
      </c>
      <c r="CD667" s="6">
        <f>VLOOKUP(Table1[[#This Row],[Reference]],metron,18,FALSE)</f>
        <v>4.8465324384787474</v>
      </c>
      <c r="CE667" s="6">
        <f>VLOOKUP(Table1[[#This Row],[Reference]],metron,19,FALSE)</f>
        <v>6.6234736411283404</v>
      </c>
      <c r="CF667" s="6">
        <f>VLOOKUP(Table1[[#This Row],[Reference]],metron,20,FALSE)</f>
        <v>6.5975172950914134</v>
      </c>
      <c r="CG667" s="6">
        <f>VLOOKUP(Table1[[#This Row],[Reference]],metron,21,FALSE)</f>
        <v>12.90081154192967</v>
      </c>
      <c r="CH667" s="6">
        <f>VLOOKUP(Table1[[#This Row],[Reference]],metron,22,FALSE)</f>
        <v>13.00360685302074</v>
      </c>
      <c r="CI667" s="6">
        <f>VLOOKUP(Table1[[#This Row],[Reference]],metron,23,FALSE)</f>
        <v>1.7502145922746779</v>
      </c>
      <c r="CJ667" s="6">
        <f>VLOOKUP(Table1[[#This Row],[Reference]],metron,24,FALSE)</f>
        <v>1.831402831402831</v>
      </c>
      <c r="CK667" s="6">
        <f>VLOOKUP(Table1[[#This Row],[Reference]],metron,25,FALSE)</f>
        <v>9.6525096525096526E-2</v>
      </c>
      <c r="CL667" s="6">
        <f>VLOOKUP(Table1[[#This Row],[Reference]],metron,26,FALSE)</f>
        <v>0.1244101244101244</v>
      </c>
    </row>
    <row r="668" spans="1:90" hidden="1" x14ac:dyDescent="0.45">
      <c r="A668" t="s">
        <v>1256</v>
      </c>
      <c r="B668">
        <v>1620518400</v>
      </c>
      <c r="C668" s="1" t="s">
        <v>1226</v>
      </c>
      <c r="D668" t="s">
        <v>65</v>
      </c>
      <c r="E668" t="s">
        <v>66</v>
      </c>
      <c r="F668" t="s">
        <v>97</v>
      </c>
      <c r="G668" t="s">
        <v>107</v>
      </c>
      <c r="H668" t="s">
        <v>158</v>
      </c>
      <c r="I668">
        <f>MROUND(Table1[[#This Row],[ProbH]]*100,2)/100</f>
        <v>0.44</v>
      </c>
      <c r="J668">
        <f>1/Table1[[#This Row],[odds_ft_home_team_win]]-Table1[[#This Row],[Margin]]</f>
        <v>0.43984170255356692</v>
      </c>
      <c r="K668">
        <f>1/Table1[[#This Row],[odds_ft_draw]]-Table1[[#This Row],[Margin]]</f>
        <v>0.2980555226317938</v>
      </c>
      <c r="L668">
        <f>1/Table1[[#This Row],[odds_ft_away_team_win]]-Table1[[#This Row],[Margin]]</f>
        <v>0.26210277481463923</v>
      </c>
      <c r="M668" t="s">
        <v>66</v>
      </c>
      <c r="N668">
        <v>1.06</v>
      </c>
      <c r="O668">
        <v>1.54</v>
      </c>
      <c r="P668">
        <v>1.1399999999999999</v>
      </c>
      <c r="Q668">
        <v>1.5</v>
      </c>
      <c r="R668" s="9" t="str" cm="1">
        <f t="array" ref="R6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80</v>
      </c>
      <c r="AA668">
        <v>6</v>
      </c>
      <c r="AB668">
        <v>7</v>
      </c>
      <c r="AC668">
        <v>2</v>
      </c>
      <c r="AD668">
        <v>0</v>
      </c>
      <c r="AE668">
        <v>1</v>
      </c>
      <c r="AF668">
        <v>0</v>
      </c>
      <c r="AG668">
        <v>0</v>
      </c>
      <c r="AH668">
        <v>2</v>
      </c>
      <c r="AI668">
        <v>0</v>
      </c>
      <c r="AJ668">
        <v>1</v>
      </c>
      <c r="AK668">
        <v>19</v>
      </c>
      <c r="AL668">
        <v>15</v>
      </c>
      <c r="AM668">
        <v>5</v>
      </c>
      <c r="AN668">
        <v>7</v>
      </c>
      <c r="AO668">
        <v>14</v>
      </c>
      <c r="AP668">
        <v>8</v>
      </c>
      <c r="AQ668">
        <v>14</v>
      </c>
      <c r="AR668">
        <v>12</v>
      </c>
      <c r="AS668">
        <v>51</v>
      </c>
      <c r="AT668">
        <v>49</v>
      </c>
      <c r="AU668">
        <v>1.87</v>
      </c>
      <c r="AV668">
        <v>1.68</v>
      </c>
      <c r="AW668">
        <v>2.2000000000000002</v>
      </c>
      <c r="AX668">
        <v>48</v>
      </c>
      <c r="AY668">
        <v>67</v>
      </c>
      <c r="AZ668">
        <v>34</v>
      </c>
      <c r="BA668">
        <v>20</v>
      </c>
      <c r="BB668">
        <v>9</v>
      </c>
      <c r="BC668">
        <v>25</v>
      </c>
      <c r="BD668">
        <v>60</v>
      </c>
      <c r="BE668">
        <v>36</v>
      </c>
      <c r="BF668">
        <v>76</v>
      </c>
      <c r="BG668">
        <v>10.02</v>
      </c>
      <c r="BH668">
        <v>4.49</v>
      </c>
      <c r="BI668">
        <v>2.08</v>
      </c>
      <c r="BJ668">
        <v>2.95</v>
      </c>
      <c r="BK668">
        <v>3.3</v>
      </c>
      <c r="BL668">
        <f>(1/Table1[[#This Row],[odds_ft_home_team_win]]+1/Table1[[#This Row],[odds_ft_draw]]+1/Table1[[#This Row],[odds_ft_away_team_win]]-1)/3</f>
        <v>4.0927528215663811E-2</v>
      </c>
      <c r="BM668">
        <v>1.42</v>
      </c>
      <c r="BN668">
        <v>2.2999999999999998</v>
      </c>
      <c r="BO668">
        <v>4.05</v>
      </c>
      <c r="BP668">
        <v>8.25</v>
      </c>
      <c r="BQ668">
        <v>1.95</v>
      </c>
      <c r="BR668">
        <v>1.74</v>
      </c>
      <c r="BS668" t="s">
        <v>136</v>
      </c>
      <c r="BT668">
        <f>VLOOKUP(Table1[[#This Row],[Reference]],metron,8,FALSE)</f>
        <v>1.6395459745305552</v>
      </c>
      <c r="BU668">
        <f>VLOOKUP(Table1[[#This Row],[Reference]],metron,9,FALSE)</f>
        <v>1.0758429359324786</v>
      </c>
      <c r="BV668">
        <f>VLOOKUP(Table1[[#This Row],[Reference]],metron,10,FALSE)</f>
        <v>2.4807646356033461</v>
      </c>
      <c r="BW668">
        <f>VLOOKUP(Table1[[#This Row],[Reference]],metron,11,FALSE)</f>
        <v>1.4140979689366791</v>
      </c>
      <c r="BX668">
        <f>VLOOKUP(Table1[[#This Row],[Reference]],metron,12,FALSE)</f>
        <v>1.0666666666666671</v>
      </c>
      <c r="BY668" s="6">
        <f>VLOOKUP(Table1[[#This Row],[Reference]],metron,13,FALSE)</f>
        <v>0.62712066905615294</v>
      </c>
      <c r="BZ668" s="6">
        <f>VLOOKUP(Table1[[#This Row],[Reference]],metron,14,FALSE)</f>
        <v>0.46009557945041818</v>
      </c>
      <c r="CA668" s="6">
        <f>VLOOKUP(Table1[[#This Row],[Reference]],metron,15,FALSE)</f>
        <v>12.56969280146722</v>
      </c>
      <c r="CB668" s="6">
        <f>VLOOKUP(Table1[[#This Row],[Reference]],metron,16,FALSE)</f>
        <v>9.8695552498853729</v>
      </c>
      <c r="CC668" s="6">
        <f>VLOOKUP(Table1[[#This Row],[Reference]],metron,17,FALSE)</f>
        <v>5.2754256787850897</v>
      </c>
      <c r="CD668" s="6">
        <f>VLOOKUP(Table1[[#This Row],[Reference]],metron,18,FALSE)</f>
        <v>4.1279337321675103</v>
      </c>
      <c r="CE668" s="6">
        <f>VLOOKUP(Table1[[#This Row],[Reference]],metron,19,FALSE)</f>
        <v>7.2942671226821298</v>
      </c>
      <c r="CF668" s="6">
        <f>VLOOKUP(Table1[[#This Row],[Reference]],metron,20,FALSE)</f>
        <v>5.7416215177178627</v>
      </c>
      <c r="CG668" s="6">
        <f>VLOOKUP(Table1[[#This Row],[Reference]],metron,21,FALSE)</f>
        <v>12.897246007868549</v>
      </c>
      <c r="CH668" s="6">
        <f>VLOOKUP(Table1[[#This Row],[Reference]],metron,22,FALSE)</f>
        <v>13.507058551261281</v>
      </c>
      <c r="CI668" s="6">
        <f>VLOOKUP(Table1[[#This Row],[Reference]],metron,23,FALSE)</f>
        <v>1.576522702104098</v>
      </c>
      <c r="CJ668" s="6">
        <f>VLOOKUP(Table1[[#This Row],[Reference]],metron,24,FALSE)</f>
        <v>1.917165005537099</v>
      </c>
      <c r="CK668" s="6">
        <f>VLOOKUP(Table1[[#This Row],[Reference]],metron,25,FALSE)</f>
        <v>8.4385382059800659E-2</v>
      </c>
      <c r="CL668" s="6">
        <f>VLOOKUP(Table1[[#This Row],[Reference]],metron,26,FALSE)</f>
        <v>0.1233665559246955</v>
      </c>
    </row>
    <row r="669" spans="1:90" hidden="1" x14ac:dyDescent="0.45">
      <c r="A669" t="s">
        <v>1256</v>
      </c>
      <c r="B669">
        <v>1620526500</v>
      </c>
      <c r="C669" s="1" t="s">
        <v>1227</v>
      </c>
      <c r="D669" t="s">
        <v>65</v>
      </c>
      <c r="E669" t="s">
        <v>66</v>
      </c>
      <c r="F669" t="s">
        <v>73</v>
      </c>
      <c r="G669" t="s">
        <v>67</v>
      </c>
      <c r="H669" t="s">
        <v>130</v>
      </c>
      <c r="I669">
        <f>MROUND(Table1[[#This Row],[ProbH]]*100,2)/100</f>
        <v>0.57999999999999996</v>
      </c>
      <c r="J669">
        <f>1/Table1[[#This Row],[odds_ft_home_team_win]]-Table1[[#This Row],[Margin]]</f>
        <v>0.57577384147432453</v>
      </c>
      <c r="K669">
        <f>1/Table1[[#This Row],[odds_ft_draw]]-Table1[[#This Row],[Margin]]</f>
        <v>0.24834496332080871</v>
      </c>
      <c r="L669">
        <f>1/Table1[[#This Row],[odds_ft_away_team_win]]-Table1[[#This Row],[Margin]]</f>
        <v>0.1758811952048667</v>
      </c>
      <c r="M669" t="s">
        <v>66</v>
      </c>
      <c r="N669">
        <v>1.46</v>
      </c>
      <c r="O669">
        <v>1</v>
      </c>
      <c r="P669">
        <v>1.48</v>
      </c>
      <c r="Q669">
        <v>0.97</v>
      </c>
      <c r="R669" t="str" cm="1">
        <f t="array" ref="R6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9">
        <v>5</v>
      </c>
      <c r="T669">
        <v>0</v>
      </c>
      <c r="U669">
        <v>5</v>
      </c>
      <c r="V669">
        <v>2</v>
      </c>
      <c r="W669">
        <v>2</v>
      </c>
      <c r="X669">
        <v>0</v>
      </c>
      <c r="Y669" t="s">
        <v>1228</v>
      </c>
      <c r="AA669">
        <v>9</v>
      </c>
      <c r="AB669">
        <v>5</v>
      </c>
      <c r="AC669">
        <v>3</v>
      </c>
      <c r="AD669">
        <v>0</v>
      </c>
      <c r="AE669">
        <v>3</v>
      </c>
      <c r="AF669">
        <v>0</v>
      </c>
      <c r="AG669">
        <v>1</v>
      </c>
      <c r="AH669">
        <v>2</v>
      </c>
      <c r="AI669">
        <v>2</v>
      </c>
      <c r="AJ669">
        <v>1</v>
      </c>
      <c r="AK669">
        <v>15</v>
      </c>
      <c r="AL669">
        <v>13</v>
      </c>
      <c r="AM669">
        <v>9</v>
      </c>
      <c r="AN669">
        <v>4</v>
      </c>
      <c r="AO669">
        <v>6</v>
      </c>
      <c r="AP669">
        <v>9</v>
      </c>
      <c r="AQ669">
        <v>12</v>
      </c>
      <c r="AR669">
        <v>13</v>
      </c>
      <c r="AS669">
        <v>64</v>
      </c>
      <c r="AT669">
        <v>36</v>
      </c>
      <c r="AU669">
        <v>1.98</v>
      </c>
      <c r="AV669">
        <v>1.29</v>
      </c>
      <c r="AW669">
        <v>2.5099999999999998</v>
      </c>
      <c r="AX669">
        <v>56</v>
      </c>
      <c r="AY669">
        <v>71</v>
      </c>
      <c r="AZ669">
        <v>50</v>
      </c>
      <c r="BA669">
        <v>25</v>
      </c>
      <c r="BB669">
        <v>11</v>
      </c>
      <c r="BC669">
        <v>34</v>
      </c>
      <c r="BD669">
        <v>73</v>
      </c>
      <c r="BE669">
        <v>38</v>
      </c>
      <c r="BF669">
        <v>74</v>
      </c>
      <c r="BG669">
        <v>10.39</v>
      </c>
      <c r="BH669">
        <v>3.86</v>
      </c>
      <c r="BI669">
        <v>1.62</v>
      </c>
      <c r="BJ669">
        <v>3.45</v>
      </c>
      <c r="BK669">
        <v>4.5999999999999996</v>
      </c>
      <c r="BL669">
        <f>(1/Table1[[#This Row],[odds_ft_home_team_win]]+1/Table1[[#This Row],[odds_ft_draw]]+1/Table1[[#This Row],[odds_ft_away_team_win]]-1)/3</f>
        <v>4.1510109142959419E-2</v>
      </c>
      <c r="BM669">
        <v>1.3</v>
      </c>
      <c r="BN669">
        <v>1.88</v>
      </c>
      <c r="BO669">
        <v>3.2</v>
      </c>
      <c r="BP669">
        <v>6</v>
      </c>
      <c r="BQ669">
        <v>1.87</v>
      </c>
      <c r="BR669">
        <v>1.87</v>
      </c>
      <c r="BS669" t="s">
        <v>142</v>
      </c>
      <c r="BT669">
        <f>VLOOKUP(Table1[[#This Row],[Reference]],metron,8,FALSE)</f>
        <v>2.0230889143600308</v>
      </c>
      <c r="BU669">
        <f>VLOOKUP(Table1[[#This Row],[Reference]],metron,9,FALSE)</f>
        <v>0.72731480520165426</v>
      </c>
      <c r="BV669">
        <f>VLOOKUP(Table1[[#This Row],[Reference]],metron,10,FALSE)</f>
        <v>2.6362999299229148</v>
      </c>
      <c r="BW669">
        <f>VLOOKUP(Table1[[#This Row],[Reference]],metron,11,FALSE)</f>
        <v>1.7619715019855171</v>
      </c>
      <c r="BX669">
        <f>VLOOKUP(Table1[[#This Row],[Reference]],metron,12,FALSE)</f>
        <v>0.87432842793739785</v>
      </c>
      <c r="BY669" s="6">
        <f>VLOOKUP(Table1[[#This Row],[Reference]],metron,13,FALSE)</f>
        <v>0.78411214953271025</v>
      </c>
      <c r="BZ669" s="6">
        <f>VLOOKUP(Table1[[#This Row],[Reference]],metron,14,FALSE)</f>
        <v>0.38060747663551397</v>
      </c>
      <c r="CA669" s="6">
        <f>VLOOKUP(Table1[[#This Row],[Reference]],metron,15,FALSE)</f>
        <v>14.215499378367181</v>
      </c>
      <c r="CB669" s="6">
        <f>VLOOKUP(Table1[[#This Row],[Reference]],metron,16,FALSE)</f>
        <v>8.9523612261806136</v>
      </c>
      <c r="CC669" s="6">
        <f>VLOOKUP(Table1[[#This Row],[Reference]],metron,17,FALSE)</f>
        <v>6.3083121289228163</v>
      </c>
      <c r="CD669" s="6">
        <f>VLOOKUP(Table1[[#This Row],[Reference]],metron,18,FALSE)</f>
        <v>3.7757524374735061</v>
      </c>
      <c r="CE669" s="6">
        <f>VLOOKUP(Table1[[#This Row],[Reference]],metron,19,FALSE)</f>
        <v>7.9071872494443642</v>
      </c>
      <c r="CF669" s="6">
        <f>VLOOKUP(Table1[[#This Row],[Reference]],metron,20,FALSE)</f>
        <v>5.1766087887071075</v>
      </c>
      <c r="CG669" s="6">
        <f>VLOOKUP(Table1[[#This Row],[Reference]],metron,21,FALSE)</f>
        <v>12.634239592183521</v>
      </c>
      <c r="CH669" s="6">
        <f>VLOOKUP(Table1[[#This Row],[Reference]],metron,22,FALSE)</f>
        <v>13.597706032285471</v>
      </c>
      <c r="CI669" s="6">
        <f>VLOOKUP(Table1[[#This Row],[Reference]],metron,23,FALSE)</f>
        <v>1.365400161681487</v>
      </c>
      <c r="CJ669" s="6">
        <f>VLOOKUP(Table1[[#This Row],[Reference]],metron,24,FALSE)</f>
        <v>1.963621665319321</v>
      </c>
      <c r="CK669" s="6">
        <f>VLOOKUP(Table1[[#This Row],[Reference]],metron,25,FALSE)</f>
        <v>7.1544058205335492E-2</v>
      </c>
      <c r="CL669" s="6">
        <f>VLOOKUP(Table1[[#This Row],[Reference]],metron,26,FALSE)</f>
        <v>0.1216653193209378</v>
      </c>
    </row>
    <row r="670" spans="1:90" hidden="1" x14ac:dyDescent="0.45">
      <c r="A670" t="s">
        <v>1256</v>
      </c>
      <c r="B670">
        <v>1620604800</v>
      </c>
      <c r="C670" s="1" t="s">
        <v>1229</v>
      </c>
      <c r="D670" t="s">
        <v>65</v>
      </c>
      <c r="E670" t="s">
        <v>66</v>
      </c>
      <c r="F670" t="s">
        <v>85</v>
      </c>
      <c r="G670" t="s">
        <v>79</v>
      </c>
      <c r="H670" t="s">
        <v>98</v>
      </c>
      <c r="I670">
        <f>MROUND(Table1[[#This Row],[ProbH]]*100,2)/100</f>
        <v>0.6</v>
      </c>
      <c r="J670">
        <f>1/Table1[[#This Row],[odds_ft_home_team_win]]-Table1[[#This Row],[Margin]]</f>
        <v>0.59389038634321656</v>
      </c>
      <c r="K670">
        <f>1/Table1[[#This Row],[odds_ft_draw]]-Table1[[#This Row],[Margin]]</f>
        <v>0.25067385444743934</v>
      </c>
      <c r="L670">
        <f>1/Table1[[#This Row],[odds_ft_away_team_win]]-Table1[[#This Row],[Margin]]</f>
        <v>0.15543575920934413</v>
      </c>
      <c r="M670" t="s">
        <v>66</v>
      </c>
      <c r="N670">
        <v>1.93</v>
      </c>
      <c r="O670">
        <v>1.23</v>
      </c>
      <c r="P670">
        <v>1.9</v>
      </c>
      <c r="Q670">
        <v>1.24</v>
      </c>
      <c r="R670" t="str" cm="1">
        <f t="array" ref="R6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70">
        <v>2</v>
      </c>
      <c r="T670">
        <v>2</v>
      </c>
      <c r="U670">
        <v>4</v>
      </c>
      <c r="V670">
        <v>2</v>
      </c>
      <c r="W670">
        <v>1</v>
      </c>
      <c r="X670">
        <v>1</v>
      </c>
      <c r="Y670" t="s">
        <v>1230</v>
      </c>
      <c r="Z670" t="s">
        <v>1231</v>
      </c>
      <c r="AA670">
        <v>4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17</v>
      </c>
      <c r="AL670">
        <v>8</v>
      </c>
      <c r="AM670">
        <v>8</v>
      </c>
      <c r="AN670">
        <v>4</v>
      </c>
      <c r="AO670">
        <v>9</v>
      </c>
      <c r="AP670">
        <v>4</v>
      </c>
      <c r="AQ670">
        <v>8</v>
      </c>
      <c r="AR670">
        <v>9</v>
      </c>
      <c r="AS670">
        <v>59</v>
      </c>
      <c r="AT670">
        <v>41</v>
      </c>
      <c r="AU670">
        <v>2.0099999999999998</v>
      </c>
      <c r="AV670">
        <v>1.05</v>
      </c>
      <c r="AW670">
        <v>2.75</v>
      </c>
      <c r="AX670">
        <v>61</v>
      </c>
      <c r="AY670">
        <v>77</v>
      </c>
      <c r="AZ670">
        <v>53</v>
      </c>
      <c r="BA670">
        <v>30</v>
      </c>
      <c r="BB670">
        <v>17</v>
      </c>
      <c r="BC670">
        <v>40</v>
      </c>
      <c r="BD670">
        <v>70</v>
      </c>
      <c r="BE670">
        <v>42</v>
      </c>
      <c r="BF670">
        <v>82</v>
      </c>
      <c r="BG670">
        <v>8.86</v>
      </c>
      <c r="BH670">
        <v>4.58</v>
      </c>
      <c r="BI670">
        <v>1.59</v>
      </c>
      <c r="BJ670">
        <v>3.5</v>
      </c>
      <c r="BK670">
        <v>5.25</v>
      </c>
      <c r="BL670">
        <f>(1/Table1[[#This Row],[odds_ft_home_team_win]]+1/Table1[[#This Row],[odds_ft_draw]]+1/Table1[[#This Row],[odds_ft_away_team_win]]-1)/3</f>
        <v>3.5040431266846341E-2</v>
      </c>
      <c r="BM670">
        <v>1.24</v>
      </c>
      <c r="BN670">
        <v>1.6</v>
      </c>
      <c r="BO670">
        <v>2.65</v>
      </c>
      <c r="BP670">
        <v>4.75</v>
      </c>
      <c r="BQ670">
        <v>1.67</v>
      </c>
      <c r="BR670">
        <v>2.1</v>
      </c>
      <c r="BS670" t="s">
        <v>128</v>
      </c>
      <c r="BT670">
        <f>VLOOKUP(Table1[[#This Row],[Reference]],metron,8,FALSE)</f>
        <v>2.0749792289385525</v>
      </c>
      <c r="BU670">
        <f>VLOOKUP(Table1[[#This Row],[Reference]],metron,9,FALSE)</f>
        <v>0.68220664089703831</v>
      </c>
      <c r="BV670">
        <f>VLOOKUP(Table1[[#This Row],[Reference]],metron,10,FALSE)</f>
        <v>2.7310090702947849</v>
      </c>
      <c r="BW670">
        <f>VLOOKUP(Table1[[#This Row],[Reference]],metron,11,FALSE)</f>
        <v>1.841836734693878</v>
      </c>
      <c r="BX670">
        <f>VLOOKUP(Table1[[#This Row],[Reference]],metron,12,FALSE)</f>
        <v>0.88917233560090703</v>
      </c>
      <c r="BY670" s="6">
        <f>VLOOKUP(Table1[[#This Row],[Reference]],metron,13,FALSE)</f>
        <v>0.804822695035461</v>
      </c>
      <c r="BZ670" s="6">
        <f>VLOOKUP(Table1[[#This Row],[Reference]],metron,14,FALSE)</f>
        <v>0.38099290780141842</v>
      </c>
      <c r="CA670" s="6">
        <f>VLOOKUP(Table1[[#This Row],[Reference]],metron,15,FALSE)</f>
        <v>14.25174825174825</v>
      </c>
      <c r="CB670" s="6">
        <f>VLOOKUP(Table1[[#This Row],[Reference]],metron,16,FALSE)</f>
        <v>8.8316683316683324</v>
      </c>
      <c r="CC670" s="6">
        <f>VLOOKUP(Table1[[#This Row],[Reference]],metron,17,FALSE)</f>
        <v>6.2901265822784813</v>
      </c>
      <c r="CD670" s="6">
        <f>VLOOKUP(Table1[[#This Row],[Reference]],metron,18,FALSE)</f>
        <v>3.6162025316455702</v>
      </c>
      <c r="CE670" s="6">
        <f>VLOOKUP(Table1[[#This Row],[Reference]],metron,19,FALSE)</f>
        <v>7.9616216694697686</v>
      </c>
      <c r="CF670" s="6">
        <f>VLOOKUP(Table1[[#This Row],[Reference]],metron,20,FALSE)</f>
        <v>5.2154658000227627</v>
      </c>
      <c r="CG670" s="6">
        <f>VLOOKUP(Table1[[#This Row],[Reference]],metron,21,FALSE)</f>
        <v>12.444895886236671</v>
      </c>
      <c r="CH670" s="6">
        <f>VLOOKUP(Table1[[#This Row],[Reference]],metron,22,FALSE)</f>
        <v>13.620619603859829</v>
      </c>
      <c r="CI670" s="6">
        <f>VLOOKUP(Table1[[#This Row],[Reference]],metron,23,FALSE)</f>
        <v>1.406084017382907</v>
      </c>
      <c r="CJ670" s="6">
        <f>VLOOKUP(Table1[[#This Row],[Reference]],metron,24,FALSE)</f>
        <v>2.070980202800579</v>
      </c>
      <c r="CK670" s="6">
        <f>VLOOKUP(Table1[[#This Row],[Reference]],metron,25,FALSE)</f>
        <v>6.1323032351521013E-2</v>
      </c>
      <c r="CL670" s="6">
        <f>VLOOKUP(Table1[[#This Row],[Reference]],metron,26,FALSE)</f>
        <v>0.1313375181071946</v>
      </c>
    </row>
    <row r="671" spans="1:90" hidden="1" x14ac:dyDescent="0.45">
      <c r="A671" t="s">
        <v>1256</v>
      </c>
      <c r="B671">
        <v>1620612900</v>
      </c>
      <c r="C671" s="1" t="s">
        <v>1232</v>
      </c>
      <c r="D671" t="s">
        <v>65</v>
      </c>
      <c r="E671" t="s">
        <v>66</v>
      </c>
      <c r="F671" t="s">
        <v>84</v>
      </c>
      <c r="G671" t="s">
        <v>90</v>
      </c>
      <c r="H671" t="s">
        <v>69</v>
      </c>
      <c r="I671">
        <f>MROUND(Table1[[#This Row],[ProbH]]*100,2)/100</f>
        <v>0.44</v>
      </c>
      <c r="J671">
        <f>1/Table1[[#This Row],[odds_ft_home_team_win]]-Table1[[#This Row],[Margin]]</f>
        <v>0.44080687830687831</v>
      </c>
      <c r="K671">
        <f>1/Table1[[#This Row],[odds_ft_draw]]-Table1[[#This Row],[Margin]]</f>
        <v>0.28207671957671959</v>
      </c>
      <c r="L671">
        <f>1/Table1[[#This Row],[odds_ft_away_team_win]]-Table1[[#This Row],[Margin]]</f>
        <v>0.27711640211640215</v>
      </c>
      <c r="M671" t="s">
        <v>66</v>
      </c>
      <c r="N671">
        <v>1.41</v>
      </c>
      <c r="O671">
        <v>1.51</v>
      </c>
      <c r="P671">
        <v>1.4</v>
      </c>
      <c r="Q671">
        <v>1.48</v>
      </c>
      <c r="R671" t="str" cm="1">
        <f t="array" ref="R6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1">
        <v>4</v>
      </c>
      <c r="T671">
        <v>2</v>
      </c>
      <c r="U671">
        <v>6</v>
      </c>
      <c r="V671">
        <v>1</v>
      </c>
      <c r="W671">
        <v>0</v>
      </c>
      <c r="X671">
        <v>1</v>
      </c>
      <c r="Y671" t="s">
        <v>1233</v>
      </c>
      <c r="Z671" t="s">
        <v>1234</v>
      </c>
      <c r="AA671">
        <v>10</v>
      </c>
      <c r="AB671">
        <v>4</v>
      </c>
      <c r="AC671">
        <v>1</v>
      </c>
      <c r="AD671">
        <v>0</v>
      </c>
      <c r="AE671">
        <v>3</v>
      </c>
      <c r="AF671">
        <v>0</v>
      </c>
      <c r="AG671">
        <v>1</v>
      </c>
      <c r="AH671">
        <v>0</v>
      </c>
      <c r="AI671">
        <v>1</v>
      </c>
      <c r="AJ671">
        <v>2</v>
      </c>
      <c r="AK671">
        <v>24</v>
      </c>
      <c r="AL671">
        <v>15</v>
      </c>
      <c r="AM671">
        <v>8</v>
      </c>
      <c r="AN671">
        <v>7</v>
      </c>
      <c r="AO671">
        <v>16</v>
      </c>
      <c r="AP671">
        <v>8</v>
      </c>
      <c r="AQ671">
        <v>8</v>
      </c>
      <c r="AR671">
        <v>10</v>
      </c>
      <c r="AS671">
        <v>45</v>
      </c>
      <c r="AT671">
        <v>55</v>
      </c>
      <c r="AU671">
        <v>2.4300000000000002</v>
      </c>
      <c r="AV671">
        <v>1.78</v>
      </c>
      <c r="AW671">
        <v>2.13</v>
      </c>
      <c r="AX671">
        <v>50</v>
      </c>
      <c r="AY671">
        <v>62</v>
      </c>
      <c r="AZ671">
        <v>34</v>
      </c>
      <c r="BA671">
        <v>20</v>
      </c>
      <c r="BB671">
        <v>4</v>
      </c>
      <c r="BC671">
        <v>26</v>
      </c>
      <c r="BD671">
        <v>61</v>
      </c>
      <c r="BE671">
        <v>33</v>
      </c>
      <c r="BF671">
        <v>71</v>
      </c>
      <c r="BG671">
        <v>10.050000000000001</v>
      </c>
      <c r="BH671">
        <v>3.91</v>
      </c>
      <c r="BI671">
        <v>2.1</v>
      </c>
      <c r="BJ671">
        <v>3.15</v>
      </c>
      <c r="BK671">
        <v>3.2</v>
      </c>
      <c r="BL671">
        <f>(1/Table1[[#This Row],[odds_ft_home_team_win]]+1/Table1[[#This Row],[odds_ft_draw]]+1/Table1[[#This Row],[odds_ft_away_team_win]]-1)/3</f>
        <v>3.538359788359783E-2</v>
      </c>
      <c r="BM671">
        <v>1.36</v>
      </c>
      <c r="BN671">
        <v>2.1</v>
      </c>
      <c r="BO671">
        <v>3.65</v>
      </c>
      <c r="BP671">
        <v>7.5</v>
      </c>
      <c r="BQ671">
        <v>1.95</v>
      </c>
      <c r="BR671">
        <v>1.77</v>
      </c>
      <c r="BS671" t="s">
        <v>88</v>
      </c>
      <c r="BT671">
        <f>VLOOKUP(Table1[[#This Row],[Reference]],metron,8,FALSE)</f>
        <v>1.6395459745305552</v>
      </c>
      <c r="BU671">
        <f>VLOOKUP(Table1[[#This Row],[Reference]],metron,9,FALSE)</f>
        <v>1.0758429359324786</v>
      </c>
      <c r="BV671">
        <f>VLOOKUP(Table1[[#This Row],[Reference]],metron,10,FALSE)</f>
        <v>2.4807646356033461</v>
      </c>
      <c r="BW671">
        <f>VLOOKUP(Table1[[#This Row],[Reference]],metron,11,FALSE)</f>
        <v>1.4140979689366791</v>
      </c>
      <c r="BX671">
        <f>VLOOKUP(Table1[[#This Row],[Reference]],metron,12,FALSE)</f>
        <v>1.0666666666666671</v>
      </c>
      <c r="BY671" s="6">
        <f>VLOOKUP(Table1[[#This Row],[Reference]],metron,13,FALSE)</f>
        <v>0.62712066905615294</v>
      </c>
      <c r="BZ671" s="6">
        <f>VLOOKUP(Table1[[#This Row],[Reference]],metron,14,FALSE)</f>
        <v>0.46009557945041818</v>
      </c>
      <c r="CA671" s="6">
        <f>VLOOKUP(Table1[[#This Row],[Reference]],metron,15,FALSE)</f>
        <v>12.56969280146722</v>
      </c>
      <c r="CB671" s="6">
        <f>VLOOKUP(Table1[[#This Row],[Reference]],metron,16,FALSE)</f>
        <v>9.8695552498853729</v>
      </c>
      <c r="CC671" s="6">
        <f>VLOOKUP(Table1[[#This Row],[Reference]],metron,17,FALSE)</f>
        <v>5.2754256787850897</v>
      </c>
      <c r="CD671" s="6">
        <f>VLOOKUP(Table1[[#This Row],[Reference]],metron,18,FALSE)</f>
        <v>4.1279337321675103</v>
      </c>
      <c r="CE671" s="6">
        <f>VLOOKUP(Table1[[#This Row],[Reference]],metron,19,FALSE)</f>
        <v>7.2942671226821298</v>
      </c>
      <c r="CF671" s="6">
        <f>VLOOKUP(Table1[[#This Row],[Reference]],metron,20,FALSE)</f>
        <v>5.7416215177178627</v>
      </c>
      <c r="CG671" s="6">
        <f>VLOOKUP(Table1[[#This Row],[Reference]],metron,21,FALSE)</f>
        <v>12.897246007868549</v>
      </c>
      <c r="CH671" s="6">
        <f>VLOOKUP(Table1[[#This Row],[Reference]],metron,22,FALSE)</f>
        <v>13.507058551261281</v>
      </c>
      <c r="CI671" s="6">
        <f>VLOOKUP(Table1[[#This Row],[Reference]],metron,23,FALSE)</f>
        <v>1.576522702104098</v>
      </c>
      <c r="CJ671" s="6">
        <f>VLOOKUP(Table1[[#This Row],[Reference]],metron,24,FALSE)</f>
        <v>1.917165005537099</v>
      </c>
      <c r="CK671" s="6">
        <f>VLOOKUP(Table1[[#This Row],[Reference]],metron,25,FALSE)</f>
        <v>8.4385382059800659E-2</v>
      </c>
      <c r="CL671" s="6">
        <f>VLOOKUP(Table1[[#This Row],[Reference]],metron,26,FALSE)</f>
        <v>0.1233665559246955</v>
      </c>
    </row>
    <row r="672" spans="1:90" hidden="1" x14ac:dyDescent="0.45">
      <c r="A672" t="s">
        <v>1256</v>
      </c>
      <c r="B672">
        <v>1620864000</v>
      </c>
      <c r="C672" s="1" t="s">
        <v>1235</v>
      </c>
      <c r="D672" t="s">
        <v>65</v>
      </c>
      <c r="E672" t="s">
        <v>66</v>
      </c>
      <c r="F672" t="s">
        <v>79</v>
      </c>
      <c r="G672" t="s">
        <v>112</v>
      </c>
      <c r="H672" t="s">
        <v>69</v>
      </c>
      <c r="I672">
        <f>MROUND(Table1[[#This Row],[ProbH]]*100,2)/100</f>
        <v>0.3</v>
      </c>
      <c r="J672">
        <f>1/Table1[[#This Row],[odds_ft_home_team_win]]-Table1[[#This Row],[Margin]]</f>
        <v>0.29161230702326596</v>
      </c>
      <c r="K672">
        <f>1/Table1[[#This Row],[odds_ft_draw]]-Table1[[#This Row],[Margin]]</f>
        <v>0.25308490976299197</v>
      </c>
      <c r="L672">
        <f>1/Table1[[#This Row],[odds_ft_away_team_win]]-Table1[[#This Row],[Margin]]</f>
        <v>0.45530278321374212</v>
      </c>
      <c r="M672" t="s">
        <v>66</v>
      </c>
      <c r="N672">
        <v>1.22</v>
      </c>
      <c r="O672">
        <v>2</v>
      </c>
      <c r="P672">
        <v>1.24</v>
      </c>
      <c r="Q672">
        <v>1.98</v>
      </c>
      <c r="R672" t="str" cm="1">
        <f t="array" ref="R6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2">
        <v>2</v>
      </c>
      <c r="T672">
        <v>1</v>
      </c>
      <c r="U672">
        <v>3</v>
      </c>
      <c r="V672">
        <v>2</v>
      </c>
      <c r="W672">
        <v>1</v>
      </c>
      <c r="X672">
        <v>1</v>
      </c>
      <c r="Y672" t="s">
        <v>1236</v>
      </c>
      <c r="Z672">
        <v>34</v>
      </c>
      <c r="AA672">
        <v>2</v>
      </c>
      <c r="AB672">
        <v>5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8</v>
      </c>
      <c r="AL672">
        <v>15</v>
      </c>
      <c r="AM672">
        <v>4</v>
      </c>
      <c r="AN672">
        <v>6</v>
      </c>
      <c r="AO672">
        <v>4</v>
      </c>
      <c r="AP672">
        <v>9</v>
      </c>
      <c r="AQ672">
        <v>15</v>
      </c>
      <c r="AR672">
        <v>10</v>
      </c>
      <c r="AS672">
        <v>52</v>
      </c>
      <c r="AT672">
        <v>48</v>
      </c>
      <c r="AU672">
        <v>1.1100000000000001</v>
      </c>
      <c r="AV672">
        <v>1.84</v>
      </c>
      <c r="AW672">
        <v>2.67</v>
      </c>
      <c r="AX672">
        <v>49</v>
      </c>
      <c r="AY672">
        <v>68</v>
      </c>
      <c r="AZ672">
        <v>46</v>
      </c>
      <c r="BA672">
        <v>34</v>
      </c>
      <c r="BB672">
        <v>21</v>
      </c>
      <c r="BC672">
        <v>41</v>
      </c>
      <c r="BD672">
        <v>65</v>
      </c>
      <c r="BE672">
        <v>35</v>
      </c>
      <c r="BF672">
        <v>84</v>
      </c>
      <c r="BG672">
        <v>10.36</v>
      </c>
      <c r="BH672">
        <v>4.0199999999999996</v>
      </c>
      <c r="BI672">
        <v>3.2</v>
      </c>
      <c r="BJ672">
        <v>3.65</v>
      </c>
      <c r="BK672">
        <v>2.1</v>
      </c>
      <c r="BL672">
        <f>(1/Table1[[#This Row],[odds_ft_home_team_win]]+1/Table1[[#This Row],[odds_ft_draw]]+1/Table1[[#This Row],[odds_ft_away_team_win]]-1)/3</f>
        <v>2.0887692976734023E-2</v>
      </c>
      <c r="BM672">
        <v>1.3</v>
      </c>
      <c r="BN672">
        <v>1.98</v>
      </c>
      <c r="BO672">
        <v>3.6</v>
      </c>
      <c r="BP672">
        <v>7.5</v>
      </c>
      <c r="BQ672">
        <v>1.83</v>
      </c>
      <c r="BR672">
        <v>1.98</v>
      </c>
      <c r="BS672" t="s">
        <v>140</v>
      </c>
      <c r="BT672">
        <f>VLOOKUP(Table1[[#This Row],[Reference]],metron,8,FALSE)</f>
        <v>1.2142445227270171</v>
      </c>
      <c r="BU672">
        <f>VLOOKUP(Table1[[#This Row],[Reference]],metron,9,FALSE)</f>
        <v>1.4993969533036628</v>
      </c>
      <c r="BV672">
        <f>VLOOKUP(Table1[[#This Row],[Reference]],metron,10,FALSE)</f>
        <v>2.5726407816919519</v>
      </c>
      <c r="BW672">
        <f>VLOOKUP(Table1[[#This Row],[Reference]],metron,11,FALSE)</f>
        <v>1.1805091283106199</v>
      </c>
      <c r="BX672">
        <f>VLOOKUP(Table1[[#This Row],[Reference]],metron,12,FALSE)</f>
        <v>1.3921316533813319</v>
      </c>
      <c r="BY672" s="6">
        <f>VLOOKUP(Table1[[#This Row],[Reference]],metron,13,FALSE)</f>
        <v>0.5209673269873939</v>
      </c>
      <c r="BZ672" s="6">
        <f>VLOOKUP(Table1[[#This Row],[Reference]],metron,14,FALSE)</f>
        <v>0.61847182917417032</v>
      </c>
      <c r="CA672" s="6">
        <f>VLOOKUP(Table1[[#This Row],[Reference]],metron,15,FALSE)</f>
        <v>11.149200710479571</v>
      </c>
      <c r="CB672" s="6">
        <f>VLOOKUP(Table1[[#This Row],[Reference]],metron,16,FALSE)</f>
        <v>11.444049733570161</v>
      </c>
      <c r="CC672" s="6">
        <f>VLOOKUP(Table1[[#This Row],[Reference]],metron,17,FALSE)</f>
        <v>4.5257270693512304</v>
      </c>
      <c r="CD672" s="6">
        <f>VLOOKUP(Table1[[#This Row],[Reference]],metron,18,FALSE)</f>
        <v>4.8465324384787474</v>
      </c>
      <c r="CE672" s="6">
        <f>VLOOKUP(Table1[[#This Row],[Reference]],metron,19,FALSE)</f>
        <v>6.6234736411283404</v>
      </c>
      <c r="CF672" s="6">
        <f>VLOOKUP(Table1[[#This Row],[Reference]],metron,20,FALSE)</f>
        <v>6.5975172950914134</v>
      </c>
      <c r="CG672" s="6">
        <f>VLOOKUP(Table1[[#This Row],[Reference]],metron,21,FALSE)</f>
        <v>12.90081154192967</v>
      </c>
      <c r="CH672" s="6">
        <f>VLOOKUP(Table1[[#This Row],[Reference]],metron,22,FALSE)</f>
        <v>13.00360685302074</v>
      </c>
      <c r="CI672" s="6">
        <f>VLOOKUP(Table1[[#This Row],[Reference]],metron,23,FALSE)</f>
        <v>1.7502145922746779</v>
      </c>
      <c r="CJ672" s="6">
        <f>VLOOKUP(Table1[[#This Row],[Reference]],metron,24,FALSE)</f>
        <v>1.831402831402831</v>
      </c>
      <c r="CK672" s="6">
        <f>VLOOKUP(Table1[[#This Row],[Reference]],metron,25,FALSE)</f>
        <v>9.6525096525096526E-2</v>
      </c>
      <c r="CL672" s="6">
        <f>VLOOKUP(Table1[[#This Row],[Reference]],metron,26,FALSE)</f>
        <v>0.1244101244101244</v>
      </c>
    </row>
    <row r="673" spans="1:90" hidden="1" x14ac:dyDescent="0.45">
      <c r="A673" t="s">
        <v>1256</v>
      </c>
      <c r="B673">
        <v>1620871500</v>
      </c>
      <c r="C673" s="1" t="s">
        <v>1237</v>
      </c>
      <c r="D673" t="s">
        <v>65</v>
      </c>
      <c r="E673" t="s">
        <v>66</v>
      </c>
      <c r="F673" t="s">
        <v>97</v>
      </c>
      <c r="G673" t="s">
        <v>102</v>
      </c>
      <c r="H673" t="s">
        <v>98</v>
      </c>
      <c r="I673">
        <f>MROUND(Table1[[#This Row],[ProbH]]*100,2)/100</f>
        <v>0.54</v>
      </c>
      <c r="J673">
        <f>1/Table1[[#This Row],[odds_ft_home_team_win]]-Table1[[#This Row],[Margin]]</f>
        <v>0.5357142857142857</v>
      </c>
      <c r="K673">
        <f>1/Table1[[#This Row],[odds_ft_draw]]-Table1[[#This Row],[Margin]]</f>
        <v>0.24999999999999997</v>
      </c>
      <c r="L673">
        <f>1/Table1[[#This Row],[odds_ft_away_team_win]]-Table1[[#This Row],[Margin]]</f>
        <v>0.21428571428571427</v>
      </c>
      <c r="M673" t="s">
        <v>66</v>
      </c>
      <c r="N673">
        <v>1.1100000000000001</v>
      </c>
      <c r="O673">
        <v>1.41</v>
      </c>
      <c r="P673">
        <v>1.1399999999999999</v>
      </c>
      <c r="Q673">
        <v>1.41</v>
      </c>
      <c r="R673" t="str" cm="1">
        <f t="array" ref="R6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59</v>
      </c>
      <c r="AA673">
        <v>3</v>
      </c>
      <c r="AB673">
        <v>3</v>
      </c>
      <c r="AC673">
        <v>1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14</v>
      </c>
      <c r="AL673">
        <v>5</v>
      </c>
      <c r="AM673">
        <v>3</v>
      </c>
      <c r="AN673">
        <v>2</v>
      </c>
      <c r="AO673">
        <v>11</v>
      </c>
      <c r="AP673">
        <v>3</v>
      </c>
      <c r="AQ673">
        <v>10</v>
      </c>
      <c r="AR673">
        <v>17</v>
      </c>
      <c r="AS673">
        <v>46</v>
      </c>
      <c r="AT673">
        <v>54</v>
      </c>
      <c r="AU673">
        <v>1.41</v>
      </c>
      <c r="AV673">
        <v>0.69</v>
      </c>
      <c r="AW673">
        <v>2.2599999999999998</v>
      </c>
      <c r="AX673">
        <v>46</v>
      </c>
      <c r="AY673">
        <v>55</v>
      </c>
      <c r="AZ673">
        <v>35</v>
      </c>
      <c r="BA673">
        <v>25</v>
      </c>
      <c r="BB673">
        <v>14</v>
      </c>
      <c r="BC673">
        <v>31</v>
      </c>
      <c r="BD673">
        <v>65</v>
      </c>
      <c r="BE673">
        <v>35</v>
      </c>
      <c r="BF673">
        <v>64</v>
      </c>
      <c r="BG673">
        <v>9.99</v>
      </c>
      <c r="BH673">
        <v>4.57</v>
      </c>
      <c r="BI673">
        <v>1.75</v>
      </c>
      <c r="BJ673">
        <v>3.5</v>
      </c>
      <c r="BK673">
        <v>4</v>
      </c>
      <c r="BL673">
        <f>(1/Table1[[#This Row],[odds_ft_home_team_win]]+1/Table1[[#This Row],[odds_ft_draw]]+1/Table1[[#This Row],[odds_ft_away_team_win]]-1)/3</f>
        <v>3.5714285714285733E-2</v>
      </c>
      <c r="BM673">
        <v>1.5</v>
      </c>
      <c r="BN673">
        <v>1.81</v>
      </c>
      <c r="BO673">
        <v>3.2</v>
      </c>
      <c r="BP673">
        <v>9.25</v>
      </c>
      <c r="BQ673">
        <v>2.2999999999999998</v>
      </c>
      <c r="BR673">
        <v>1.57</v>
      </c>
      <c r="BS673" t="s">
        <v>136</v>
      </c>
      <c r="BT673">
        <f>VLOOKUP(Table1[[#This Row],[Reference]],metron,8,FALSE)</f>
        <v>1.915666026436746</v>
      </c>
      <c r="BU673">
        <f>VLOOKUP(Table1[[#This Row],[Reference]],metron,9,FALSE)</f>
        <v>0.82283834599204153</v>
      </c>
      <c r="BV673">
        <f>VLOOKUP(Table1[[#This Row],[Reference]],metron,10,FALSE)</f>
        <v>2.6359702267612941</v>
      </c>
      <c r="BW673">
        <f>VLOOKUP(Table1[[#This Row],[Reference]],metron,11,FALSE)</f>
        <v>1.684957590444867</v>
      </c>
      <c r="BX673">
        <f>VLOOKUP(Table1[[#This Row],[Reference]],metron,12,FALSE)</f>
        <v>0.95101263631642718</v>
      </c>
      <c r="BY673" s="6">
        <f>VLOOKUP(Table1[[#This Row],[Reference]],metron,13,FALSE)</f>
        <v>0.72650164445213783</v>
      </c>
      <c r="BZ673" s="6">
        <f>VLOOKUP(Table1[[#This Row],[Reference]],metron,14,FALSE)</f>
        <v>0.42097974727367138</v>
      </c>
      <c r="CA673" s="6">
        <f>VLOOKUP(Table1[[#This Row],[Reference]],metron,15,FALSE)</f>
        <v>13.338806970509379</v>
      </c>
      <c r="CB673" s="6">
        <f>VLOOKUP(Table1[[#This Row],[Reference]],metron,16,FALSE)</f>
        <v>9.2530160857908843</v>
      </c>
      <c r="CC673" s="6">
        <f>VLOOKUP(Table1[[#This Row],[Reference]],metron,17,FALSE)</f>
        <v>5.9915081521739131</v>
      </c>
      <c r="CD673" s="6">
        <f>VLOOKUP(Table1[[#This Row],[Reference]],metron,18,FALSE)</f>
        <v>3.9772418478260869</v>
      </c>
      <c r="CE673" s="6">
        <f>VLOOKUP(Table1[[#This Row],[Reference]],metron,19,FALSE)</f>
        <v>7.3472988183354664</v>
      </c>
      <c r="CF673" s="6">
        <f>VLOOKUP(Table1[[#This Row],[Reference]],metron,20,FALSE)</f>
        <v>5.2757742379647974</v>
      </c>
      <c r="CG673" s="6">
        <f>VLOOKUP(Table1[[#This Row],[Reference]],metron,21,FALSE)</f>
        <v>12.59428182437032</v>
      </c>
      <c r="CH673" s="6">
        <f>VLOOKUP(Table1[[#This Row],[Reference]],metron,22,FALSE)</f>
        <v>13.577944179714089</v>
      </c>
      <c r="CI673" s="6">
        <f>VLOOKUP(Table1[[#This Row],[Reference]],metron,23,FALSE)</f>
        <v>1.4276913099870301</v>
      </c>
      <c r="CJ673" s="6">
        <f>VLOOKUP(Table1[[#This Row],[Reference]],metron,24,FALSE)</f>
        <v>1.940985732814527</v>
      </c>
      <c r="CK673" s="6">
        <f>VLOOKUP(Table1[[#This Row],[Reference]],metron,25,FALSE)</f>
        <v>8.0739299610894946E-2</v>
      </c>
      <c r="CL673" s="6">
        <f>VLOOKUP(Table1[[#This Row],[Reference]],metron,26,FALSE)</f>
        <v>0.12743190661478601</v>
      </c>
    </row>
    <row r="674" spans="1:90" hidden="1" x14ac:dyDescent="0.45">
      <c r="A674" t="s">
        <v>1256</v>
      </c>
      <c r="B674">
        <v>1620950400</v>
      </c>
      <c r="C674" s="1" t="s">
        <v>1238</v>
      </c>
      <c r="D674" t="s">
        <v>65</v>
      </c>
      <c r="E674" t="s">
        <v>66</v>
      </c>
      <c r="F674" t="s">
        <v>84</v>
      </c>
      <c r="G674" t="s">
        <v>68</v>
      </c>
      <c r="H674" t="s">
        <v>92</v>
      </c>
      <c r="I674">
        <f>MROUND(Table1[[#This Row],[ProbH]]*100,2)/100</f>
        <v>0.38</v>
      </c>
      <c r="J674">
        <f>1/Table1[[#This Row],[odds_ft_home_team_win]]-Table1[[#This Row],[Margin]]</f>
        <v>0.37722082985240885</v>
      </c>
      <c r="K674">
        <f>1/Table1[[#This Row],[odds_ft_draw]]-Table1[[#This Row],[Margin]]</f>
        <v>0.29468114731272627</v>
      </c>
      <c r="L674">
        <f>1/Table1[[#This Row],[odds_ft_away_team_win]]-Table1[[#This Row],[Margin]]</f>
        <v>0.32809802283486494</v>
      </c>
      <c r="M674" t="s">
        <v>66</v>
      </c>
      <c r="N674">
        <v>1.45</v>
      </c>
      <c r="O674">
        <v>2.0299999999999998</v>
      </c>
      <c r="P674">
        <v>1.4</v>
      </c>
      <c r="Q674">
        <v>2</v>
      </c>
      <c r="R674" t="str" cm="1">
        <f t="array" ref="R6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4">
        <v>3</v>
      </c>
      <c r="T674">
        <v>1</v>
      </c>
      <c r="U674">
        <v>4</v>
      </c>
      <c r="V674">
        <v>2</v>
      </c>
      <c r="W674">
        <v>1</v>
      </c>
      <c r="X674">
        <v>1</v>
      </c>
      <c r="Y674" t="s">
        <v>1239</v>
      </c>
      <c r="Z674" t="s">
        <v>639</v>
      </c>
      <c r="AA674">
        <v>3</v>
      </c>
      <c r="AB674">
        <v>5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16</v>
      </c>
      <c r="AL674">
        <v>13</v>
      </c>
      <c r="AM674">
        <v>4</v>
      </c>
      <c r="AN674">
        <v>5</v>
      </c>
      <c r="AO674">
        <v>12</v>
      </c>
      <c r="AP674">
        <v>8</v>
      </c>
      <c r="AQ674">
        <v>8</v>
      </c>
      <c r="AR674">
        <v>12</v>
      </c>
      <c r="AS674">
        <v>42</v>
      </c>
      <c r="AT674">
        <v>58</v>
      </c>
      <c r="AU674">
        <v>1.55</v>
      </c>
      <c r="AV674">
        <v>1.45</v>
      </c>
      <c r="AW674">
        <v>2.4</v>
      </c>
      <c r="AX674">
        <v>53</v>
      </c>
      <c r="AY674">
        <v>67</v>
      </c>
      <c r="AZ674">
        <v>41</v>
      </c>
      <c r="BA674">
        <v>26</v>
      </c>
      <c r="BB674">
        <v>8</v>
      </c>
      <c r="BC674">
        <v>29</v>
      </c>
      <c r="BD674">
        <v>67</v>
      </c>
      <c r="BE674">
        <v>36</v>
      </c>
      <c r="BF674">
        <v>77</v>
      </c>
      <c r="BG674">
        <v>10.47</v>
      </c>
      <c r="BH674">
        <v>3.74</v>
      </c>
      <c r="BI674">
        <v>2.5</v>
      </c>
      <c r="BJ674">
        <v>3.15</v>
      </c>
      <c r="BK674">
        <v>2.85</v>
      </c>
      <c r="BL674">
        <f>(1/Table1[[#This Row],[odds_ft_home_team_win]]+1/Table1[[#This Row],[odds_ft_draw]]+1/Table1[[#This Row],[odds_ft_away_team_win]]-1)/3</f>
        <v>2.2779170147591159E-2</v>
      </c>
      <c r="BM674">
        <v>1.48</v>
      </c>
      <c r="BN674">
        <v>2.2999999999999998</v>
      </c>
      <c r="BO674">
        <v>4.1500000000000004</v>
      </c>
      <c r="BP674">
        <v>8.5</v>
      </c>
      <c r="BQ674">
        <v>2.0499999999999998</v>
      </c>
      <c r="BR674">
        <v>1.71</v>
      </c>
      <c r="BS674" t="s">
        <v>88</v>
      </c>
      <c r="BT674">
        <f>VLOOKUP(Table1[[#This Row],[Reference]],metron,8,FALSE)</f>
        <v>1.464160929441638</v>
      </c>
      <c r="BU674">
        <f>VLOOKUP(Table1[[#This Row],[Reference]],metron,9,FALSE)</f>
        <v>1.2477119808919459</v>
      </c>
      <c r="BV674">
        <f>VLOOKUP(Table1[[#This Row],[Reference]],metron,10,FALSE)</f>
        <v>2.4900895140664963</v>
      </c>
      <c r="BW674">
        <f>VLOOKUP(Table1[[#This Row],[Reference]],metron,11,FALSE)</f>
        <v>1.330562659846547</v>
      </c>
      <c r="BX674">
        <f>VLOOKUP(Table1[[#This Row],[Reference]],metron,12,FALSE)</f>
        <v>1.1595268542199491</v>
      </c>
      <c r="BY674" s="6">
        <f>VLOOKUP(Table1[[#This Row],[Reference]],metron,13,FALSE)</f>
        <v>0.59053607588191415</v>
      </c>
      <c r="BZ674" s="6">
        <f>VLOOKUP(Table1[[#This Row],[Reference]],metron,14,FALSE)</f>
        <v>0.50069274219332838</v>
      </c>
      <c r="CA674" s="6">
        <f>VLOOKUP(Table1[[#This Row],[Reference]],metron,15,FALSE)</f>
        <v>11.79715236686391</v>
      </c>
      <c r="CB674" s="6">
        <f>VLOOKUP(Table1[[#This Row],[Reference]],metron,16,FALSE)</f>
        <v>10.317122781065089</v>
      </c>
      <c r="CC674" s="6">
        <f>VLOOKUP(Table1[[#This Row],[Reference]],metron,17,FALSE)</f>
        <v>5.0637025966747622</v>
      </c>
      <c r="CD674" s="6">
        <f>VLOOKUP(Table1[[#This Row],[Reference]],metron,18,FALSE)</f>
        <v>4.4674014571268454</v>
      </c>
      <c r="CE674" s="6">
        <f>VLOOKUP(Table1[[#This Row],[Reference]],metron,19,FALSE)</f>
        <v>6.7334497701891483</v>
      </c>
      <c r="CF674" s="6">
        <f>VLOOKUP(Table1[[#This Row],[Reference]],metron,20,FALSE)</f>
        <v>5.849721323938244</v>
      </c>
      <c r="CG674" s="6">
        <f>VLOOKUP(Table1[[#This Row],[Reference]],metron,21,FALSE)</f>
        <v>12.89644194756554</v>
      </c>
      <c r="CH674" s="6">
        <f>VLOOKUP(Table1[[#This Row],[Reference]],metron,22,FALSE)</f>
        <v>13.3434456928839</v>
      </c>
      <c r="CI674" s="6">
        <f>VLOOKUP(Table1[[#This Row],[Reference]],metron,23,FALSE)</f>
        <v>1.6144382124117971</v>
      </c>
      <c r="CJ674" s="6">
        <f>VLOOKUP(Table1[[#This Row],[Reference]],metron,24,FALSE)</f>
        <v>1.9032024606477289</v>
      </c>
      <c r="CK674" s="6">
        <f>VLOOKUP(Table1[[#This Row],[Reference]],metron,25,FALSE)</f>
        <v>9.372172969060974E-2</v>
      </c>
      <c r="CL674" s="6">
        <f>VLOOKUP(Table1[[#This Row],[Reference]],metron,26,FALSE)</f>
        <v>0.11669983716301791</v>
      </c>
    </row>
    <row r="675" spans="1:90" hidden="1" x14ac:dyDescent="0.45">
      <c r="A675" t="s">
        <v>1256</v>
      </c>
      <c r="B675">
        <v>1620957900</v>
      </c>
      <c r="C675" s="1" t="s">
        <v>1240</v>
      </c>
      <c r="D675" t="s">
        <v>65</v>
      </c>
      <c r="E675" t="s">
        <v>66</v>
      </c>
      <c r="F675" t="s">
        <v>73</v>
      </c>
      <c r="G675" t="s">
        <v>101</v>
      </c>
      <c r="H675" t="s">
        <v>80</v>
      </c>
      <c r="I675">
        <f>MROUND(Table1[[#This Row],[ProbH]]*100,2)/100</f>
        <v>0.32</v>
      </c>
      <c r="J675">
        <f>1/Table1[[#This Row],[odds_ft_home_team_win]]-Table1[[#This Row],[Margin]]</f>
        <v>0.32973678964014175</v>
      </c>
      <c r="K675">
        <f>1/Table1[[#This Row],[odds_ft_draw]]-Table1[[#This Row],[Margin]]</f>
        <v>0.30382468350415504</v>
      </c>
      <c r="L675">
        <f>1/Table1[[#This Row],[odds_ft_away_team_win]]-Table1[[#This Row],[Margin]]</f>
        <v>0.36643852685570333</v>
      </c>
      <c r="M675" t="s">
        <v>66</v>
      </c>
      <c r="N675">
        <v>1.5</v>
      </c>
      <c r="O675">
        <v>1.66</v>
      </c>
      <c r="P675">
        <v>1.48</v>
      </c>
      <c r="Q675">
        <v>1.59</v>
      </c>
      <c r="R675" t="str" cm="1">
        <f t="array" ref="R6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5">
        <v>2</v>
      </c>
      <c r="T675">
        <v>1</v>
      </c>
      <c r="U675">
        <v>3</v>
      </c>
      <c r="V675">
        <v>1</v>
      </c>
      <c r="W675">
        <v>0</v>
      </c>
      <c r="X675">
        <v>1</v>
      </c>
      <c r="Y675" t="s">
        <v>1241</v>
      </c>
      <c r="Z675">
        <v>19</v>
      </c>
      <c r="AA675">
        <v>10</v>
      </c>
      <c r="AB675">
        <v>5</v>
      </c>
      <c r="AC675">
        <v>2</v>
      </c>
      <c r="AD675">
        <v>0</v>
      </c>
      <c r="AE675">
        <v>3</v>
      </c>
      <c r="AF675">
        <v>0</v>
      </c>
      <c r="AG675">
        <v>1</v>
      </c>
      <c r="AH675">
        <v>1</v>
      </c>
      <c r="AI675">
        <v>2</v>
      </c>
      <c r="AJ675">
        <v>1</v>
      </c>
      <c r="AK675">
        <v>17</v>
      </c>
      <c r="AL675">
        <v>8</v>
      </c>
      <c r="AM675">
        <v>6</v>
      </c>
      <c r="AN675">
        <v>2</v>
      </c>
      <c r="AO675">
        <v>11</v>
      </c>
      <c r="AP675">
        <v>6</v>
      </c>
      <c r="AQ675">
        <v>3</v>
      </c>
      <c r="AR675">
        <v>9</v>
      </c>
      <c r="AS675">
        <v>50</v>
      </c>
      <c r="AT675">
        <v>50</v>
      </c>
      <c r="AU675">
        <v>0</v>
      </c>
      <c r="AV675">
        <v>0</v>
      </c>
      <c r="AW675">
        <v>2.39</v>
      </c>
      <c r="AX675">
        <v>57</v>
      </c>
      <c r="AY675">
        <v>73</v>
      </c>
      <c r="AZ675">
        <v>44</v>
      </c>
      <c r="BA675">
        <v>20</v>
      </c>
      <c r="BB675">
        <v>5</v>
      </c>
      <c r="BC675">
        <v>31</v>
      </c>
      <c r="BD675">
        <v>72</v>
      </c>
      <c r="BE675">
        <v>38</v>
      </c>
      <c r="BF675">
        <v>76</v>
      </c>
      <c r="BG675">
        <v>11.29</v>
      </c>
      <c r="BH675">
        <v>3.95</v>
      </c>
      <c r="BI675">
        <v>2.68</v>
      </c>
      <c r="BJ675">
        <v>2.88</v>
      </c>
      <c r="BK675">
        <v>2.44</v>
      </c>
      <c r="BL675">
        <f>(1/Table1[[#This Row],[odds_ft_home_team_win]]+1/Table1[[#This Row],[odds_ft_draw]]+1/Table1[[#This Row],[odds_ft_away_team_win]]-1)/3</f>
        <v>4.3397538718067175E-2</v>
      </c>
      <c r="BM675">
        <v>1.4</v>
      </c>
      <c r="BN675">
        <v>2.17</v>
      </c>
      <c r="BO675">
        <v>3.6</v>
      </c>
      <c r="BP675">
        <v>7.25</v>
      </c>
      <c r="BQ675">
        <v>1.87</v>
      </c>
      <c r="BR675">
        <v>1.91</v>
      </c>
      <c r="BS675" t="s">
        <v>142</v>
      </c>
      <c r="BT675">
        <f>VLOOKUP(Table1[[#This Row],[Reference]],metron,8,FALSE)</f>
        <v>1.274681051426811</v>
      </c>
      <c r="BU675">
        <f>VLOOKUP(Table1[[#This Row],[Reference]],metron,9,FALSE)</f>
        <v>1.4392482240810365</v>
      </c>
      <c r="BV675">
        <f>VLOOKUP(Table1[[#This Row],[Reference]],metron,10,FALSE)</f>
        <v>2.5313454284174597</v>
      </c>
      <c r="BW675">
        <f>VLOOKUP(Table1[[#This Row],[Reference]],metron,11,FALSE)</f>
        <v>1.210167055864918</v>
      </c>
      <c r="BX675">
        <f>VLOOKUP(Table1[[#This Row],[Reference]],metron,12,FALSE)</f>
        <v>1.3211783725525419</v>
      </c>
      <c r="BY675" s="6">
        <f>VLOOKUP(Table1[[#This Row],[Reference]],metron,13,FALSE)</f>
        <v>0.53135669362084459</v>
      </c>
      <c r="BZ675" s="6">
        <f>VLOOKUP(Table1[[#This Row],[Reference]],metron,14,FALSE)</f>
        <v>0.55633423180592989</v>
      </c>
      <c r="CA675" s="6">
        <f>VLOOKUP(Table1[[#This Row],[Reference]],metron,15,FALSE)</f>
        <v>11.21109010712035</v>
      </c>
      <c r="CB675" s="6">
        <f>VLOOKUP(Table1[[#This Row],[Reference]],metron,16,FALSE)</f>
        <v>11.01700787401575</v>
      </c>
      <c r="CC675" s="6">
        <f>VLOOKUP(Table1[[#This Row],[Reference]],metron,17,FALSE)</f>
        <v>4.6792332268370611</v>
      </c>
      <c r="CD675" s="6">
        <f>VLOOKUP(Table1[[#This Row],[Reference]],metron,18,FALSE)</f>
        <v>4.7080804854679013</v>
      </c>
      <c r="CE675" s="6">
        <f>VLOOKUP(Table1[[#This Row],[Reference]],metron,19,FALSE)</f>
        <v>6.5318568802832893</v>
      </c>
      <c r="CF675" s="6">
        <f>VLOOKUP(Table1[[#This Row],[Reference]],metron,20,FALSE)</f>
        <v>6.3089273885478487</v>
      </c>
      <c r="CG675" s="6">
        <f>VLOOKUP(Table1[[#This Row],[Reference]],metron,21,FALSE)</f>
        <v>12.72547770700637</v>
      </c>
      <c r="CH675" s="6">
        <f>VLOOKUP(Table1[[#This Row],[Reference]],metron,22,FALSE)</f>
        <v>13.06847133757962</v>
      </c>
      <c r="CI675" s="6">
        <f>VLOOKUP(Table1[[#This Row],[Reference]],metron,23,FALSE)</f>
        <v>1.6902356902356901</v>
      </c>
      <c r="CJ675" s="6">
        <f>VLOOKUP(Table1[[#This Row],[Reference]],metron,24,FALSE)</f>
        <v>1.8050198959289869</v>
      </c>
      <c r="CK675" s="6">
        <f>VLOOKUP(Table1[[#This Row],[Reference]],metron,25,FALSE)</f>
        <v>0.105907560453015</v>
      </c>
      <c r="CL675" s="6">
        <f>VLOOKUP(Table1[[#This Row],[Reference]],metron,26,FALSE)</f>
        <v>0.1141720232629324</v>
      </c>
    </row>
    <row r="676" spans="1:90" hidden="1" x14ac:dyDescent="0.45">
      <c r="A676" t="s">
        <v>1256</v>
      </c>
      <c r="B676">
        <v>1621119600</v>
      </c>
      <c r="C676" s="1" t="s">
        <v>1242</v>
      </c>
      <c r="D676" t="s">
        <v>65</v>
      </c>
      <c r="E676" t="s">
        <v>66</v>
      </c>
      <c r="F676" t="s">
        <v>102</v>
      </c>
      <c r="G676" t="s">
        <v>97</v>
      </c>
      <c r="H676" t="s">
        <v>114</v>
      </c>
      <c r="I676">
        <f>MROUND(Table1[[#This Row],[ProbH]]*100,2)/100</f>
        <v>0.34</v>
      </c>
      <c r="J676">
        <f>1/Table1[[#This Row],[odds_ft_home_team_win]]-Table1[[#This Row],[Margin]]</f>
        <v>0.34176742797432452</v>
      </c>
      <c r="K676">
        <f>1/Table1[[#This Row],[odds_ft_draw]]-Table1[[#This Row],[Margin]]</f>
        <v>0.32295865054485745</v>
      </c>
      <c r="L676">
        <f>1/Table1[[#This Row],[odds_ft_away_team_win]]-Table1[[#This Row],[Margin]]</f>
        <v>0.33527392148081803</v>
      </c>
      <c r="M676" t="s">
        <v>66</v>
      </c>
      <c r="N676">
        <v>1.37</v>
      </c>
      <c r="O676">
        <v>1.17</v>
      </c>
      <c r="P676">
        <v>1.41</v>
      </c>
      <c r="Q676">
        <v>1.1399999999999999</v>
      </c>
      <c r="R676" t="str" cm="1">
        <f t="array" ref="R6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70</v>
      </c>
      <c r="AA676">
        <v>3</v>
      </c>
      <c r="AB676">
        <v>5</v>
      </c>
      <c r="AC676">
        <v>2</v>
      </c>
      <c r="AD676">
        <v>0</v>
      </c>
      <c r="AE676">
        <v>3</v>
      </c>
      <c r="AF676">
        <v>0</v>
      </c>
      <c r="AG676">
        <v>0</v>
      </c>
      <c r="AH676">
        <v>2</v>
      </c>
      <c r="AI676">
        <v>1</v>
      </c>
      <c r="AJ676">
        <v>2</v>
      </c>
      <c r="AK676">
        <v>16</v>
      </c>
      <c r="AL676">
        <v>15</v>
      </c>
      <c r="AM676">
        <v>3</v>
      </c>
      <c r="AN676">
        <v>5</v>
      </c>
      <c r="AO676">
        <v>13</v>
      </c>
      <c r="AP676">
        <v>10</v>
      </c>
      <c r="AQ676">
        <v>17</v>
      </c>
      <c r="AR676">
        <v>15</v>
      </c>
      <c r="AS676">
        <v>58</v>
      </c>
      <c r="AT676">
        <v>42</v>
      </c>
      <c r="AU676">
        <v>1.67</v>
      </c>
      <c r="AV676">
        <v>1.57</v>
      </c>
      <c r="AW676">
        <v>2.23</v>
      </c>
      <c r="AX676">
        <v>45</v>
      </c>
      <c r="AY676">
        <v>54</v>
      </c>
      <c r="AZ676">
        <v>34</v>
      </c>
      <c r="BA676">
        <v>25</v>
      </c>
      <c r="BB676">
        <v>13</v>
      </c>
      <c r="BC676">
        <v>30</v>
      </c>
      <c r="BD676">
        <v>63</v>
      </c>
      <c r="BE676">
        <v>34</v>
      </c>
      <c r="BF676">
        <v>65</v>
      </c>
      <c r="BG676">
        <v>9.8699999999999992</v>
      </c>
      <c r="BH676">
        <v>4.5</v>
      </c>
      <c r="BI676">
        <v>2.75</v>
      </c>
      <c r="BJ676">
        <v>2.9</v>
      </c>
      <c r="BK676">
        <v>2.8</v>
      </c>
      <c r="BL676">
        <f>(1/Table1[[#This Row],[odds_ft_home_team_win]]+1/Table1[[#This Row],[odds_ft_draw]]+1/Table1[[#This Row],[odds_ft_away_team_win]]-1)/3</f>
        <v>2.1868935662039107E-2</v>
      </c>
      <c r="BM676">
        <v>1.57</v>
      </c>
      <c r="BN676">
        <v>2.5</v>
      </c>
      <c r="BO676">
        <v>4.6500000000000004</v>
      </c>
      <c r="BP676">
        <v>9.75</v>
      </c>
      <c r="BQ676">
        <v>2.15</v>
      </c>
      <c r="BR676">
        <v>1.65</v>
      </c>
      <c r="BS676" t="s">
        <v>124</v>
      </c>
      <c r="BT676">
        <f>VLOOKUP(Table1[[#This Row],[Reference]],metron,8,FALSE)</f>
        <v>1.3382439854569812</v>
      </c>
      <c r="BU676">
        <f>VLOOKUP(Table1[[#This Row],[Reference]],metron,9,FALSE)</f>
        <v>1.3740319615582339</v>
      </c>
      <c r="BV676">
        <f>VLOOKUP(Table1[[#This Row],[Reference]],metron,10,FALSE)</f>
        <v>2.5229727551184897</v>
      </c>
      <c r="BW676">
        <f>VLOOKUP(Table1[[#This Row],[Reference]],metron,11,FALSE)</f>
        <v>1.228921489601805</v>
      </c>
      <c r="BX676">
        <f>VLOOKUP(Table1[[#This Row],[Reference]],metron,12,FALSE)</f>
        <v>1.2940512655166849</v>
      </c>
      <c r="BY676" s="6">
        <f>VLOOKUP(Table1[[#This Row],[Reference]],metron,13,FALSE)</f>
        <v>0.53240890035472432</v>
      </c>
      <c r="BZ676" s="6">
        <f>VLOOKUP(Table1[[#This Row],[Reference]],metron,14,FALSE)</f>
        <v>0.56514027732989358</v>
      </c>
      <c r="CA676" s="6">
        <f>VLOOKUP(Table1[[#This Row],[Reference]],metron,15,FALSE)</f>
        <v>11.417888124439131</v>
      </c>
      <c r="CB676" s="6">
        <f>VLOOKUP(Table1[[#This Row],[Reference]],metron,16,FALSE)</f>
        <v>10.76308704756207</v>
      </c>
      <c r="CC676" s="6">
        <f>VLOOKUP(Table1[[#This Row],[Reference]],metron,17,FALSE)</f>
        <v>4.8317672021824798</v>
      </c>
      <c r="CD676" s="6">
        <f>VLOOKUP(Table1[[#This Row],[Reference]],metron,18,FALSE)</f>
        <v>4.6698999696877843</v>
      </c>
      <c r="CE676" s="6">
        <f>VLOOKUP(Table1[[#This Row],[Reference]],metron,19,FALSE)</f>
        <v>6.5861209222566508</v>
      </c>
      <c r="CF676" s="6">
        <f>VLOOKUP(Table1[[#This Row],[Reference]],metron,20,FALSE)</f>
        <v>6.093187077874286</v>
      </c>
      <c r="CG676" s="6">
        <f>VLOOKUP(Table1[[#This Row],[Reference]],metron,21,FALSE)</f>
        <v>12.685679611650491</v>
      </c>
      <c r="CH676" s="6">
        <f>VLOOKUP(Table1[[#This Row],[Reference]],metron,22,FALSE)</f>
        <v>13.02639563106796</v>
      </c>
      <c r="CI676" s="6">
        <f>VLOOKUP(Table1[[#This Row],[Reference]],metron,23,FALSE)</f>
        <v>1.6481211768132831</v>
      </c>
      <c r="CJ676" s="6">
        <f>VLOOKUP(Table1[[#This Row],[Reference]],metron,24,FALSE)</f>
        <v>1.8572676958928049</v>
      </c>
      <c r="CK676" s="6">
        <f>VLOOKUP(Table1[[#This Row],[Reference]],metron,25,FALSE)</f>
        <v>9.641712787649287E-2</v>
      </c>
      <c r="CL676" s="6">
        <f>VLOOKUP(Table1[[#This Row],[Reference]],metron,26,FALSE)</f>
        <v>0.11302068161957469</v>
      </c>
    </row>
    <row r="677" spans="1:90" hidden="1" x14ac:dyDescent="0.45">
      <c r="A677" t="s">
        <v>1256</v>
      </c>
      <c r="B677">
        <v>1621127100</v>
      </c>
      <c r="C677" s="1" t="s">
        <v>1243</v>
      </c>
      <c r="D677" t="s">
        <v>65</v>
      </c>
      <c r="E677" t="s">
        <v>66</v>
      </c>
      <c r="F677" t="s">
        <v>112</v>
      </c>
      <c r="G677" t="s">
        <v>79</v>
      </c>
      <c r="H677" t="s">
        <v>130</v>
      </c>
      <c r="I677">
        <f>MROUND(Table1[[#This Row],[ProbH]]*100,2)/100</f>
        <v>0.7</v>
      </c>
      <c r="J677">
        <f>1/Table1[[#This Row],[odds_ft_home_team_win]]-Table1[[#This Row],[Margin]]</f>
        <v>0.70464093075427447</v>
      </c>
      <c r="K677">
        <f>1/Table1[[#This Row],[odds_ft_draw]]-Table1[[#This Row],[Margin]]</f>
        <v>0.1994330245785999</v>
      </c>
      <c r="L677">
        <f>1/Table1[[#This Row],[odds_ft_away_team_win]]-Table1[[#This Row],[Margin]]</f>
        <v>9.5926044667125621E-2</v>
      </c>
      <c r="M677" t="s">
        <v>66</v>
      </c>
      <c r="N677">
        <v>1.95</v>
      </c>
      <c r="O677">
        <v>1.27</v>
      </c>
      <c r="P677">
        <v>1.98</v>
      </c>
      <c r="Q677">
        <v>1.24</v>
      </c>
      <c r="R677" t="str" cm="1">
        <f t="array" ref="R6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7">
        <v>3</v>
      </c>
      <c r="T677">
        <v>1</v>
      </c>
      <c r="U677">
        <v>4</v>
      </c>
      <c r="V677">
        <v>2</v>
      </c>
      <c r="W677">
        <v>1</v>
      </c>
      <c r="X677">
        <v>1</v>
      </c>
      <c r="Y677" t="s">
        <v>1244</v>
      </c>
      <c r="Z677">
        <v>14</v>
      </c>
      <c r="AA677">
        <v>5</v>
      </c>
      <c r="AB677">
        <v>4</v>
      </c>
      <c r="AC677">
        <v>1</v>
      </c>
      <c r="AD677">
        <v>0</v>
      </c>
      <c r="AE677">
        <v>2</v>
      </c>
      <c r="AF677">
        <v>0</v>
      </c>
      <c r="AG677">
        <v>0</v>
      </c>
      <c r="AH677">
        <v>1</v>
      </c>
      <c r="AI677">
        <v>2</v>
      </c>
      <c r="AJ677">
        <v>0</v>
      </c>
      <c r="AK677">
        <v>20</v>
      </c>
      <c r="AL677">
        <v>12</v>
      </c>
      <c r="AM677">
        <v>7</v>
      </c>
      <c r="AN677">
        <v>3</v>
      </c>
      <c r="AO677">
        <v>13</v>
      </c>
      <c r="AP677">
        <v>9</v>
      </c>
      <c r="AQ677">
        <v>8</v>
      </c>
      <c r="AR677">
        <v>6</v>
      </c>
      <c r="AS677">
        <v>57</v>
      </c>
      <c r="AT677">
        <v>43</v>
      </c>
      <c r="AU677">
        <v>2.2799999999999998</v>
      </c>
      <c r="AV677">
        <v>1.25</v>
      </c>
      <c r="AW677">
        <v>2.68</v>
      </c>
      <c r="AX677">
        <v>51</v>
      </c>
      <c r="AY677">
        <v>69</v>
      </c>
      <c r="AZ677">
        <v>48</v>
      </c>
      <c r="BA677">
        <v>34</v>
      </c>
      <c r="BB677">
        <v>20</v>
      </c>
      <c r="BC677">
        <v>43</v>
      </c>
      <c r="BD677">
        <v>66</v>
      </c>
      <c r="BE677">
        <v>35</v>
      </c>
      <c r="BF677">
        <v>84</v>
      </c>
      <c r="BG677">
        <v>10.27</v>
      </c>
      <c r="BH677">
        <v>3.99</v>
      </c>
      <c r="BI677">
        <v>1.37</v>
      </c>
      <c r="BJ677">
        <v>4.45</v>
      </c>
      <c r="BK677">
        <v>8.25</v>
      </c>
      <c r="BL677">
        <f>(1/Table1[[#This Row],[odds_ft_home_team_win]]+1/Table1[[#This Row],[odds_ft_draw]]+1/Table1[[#This Row],[odds_ft_away_team_win]]-1)/3</f>
        <v>2.5286076544995595E-2</v>
      </c>
      <c r="BM677">
        <v>1.26</v>
      </c>
      <c r="BN677">
        <v>1.71</v>
      </c>
      <c r="BO677">
        <v>2.8</v>
      </c>
      <c r="BP677">
        <v>5.25</v>
      </c>
      <c r="BQ677">
        <v>2</v>
      </c>
      <c r="BR677">
        <v>1.77</v>
      </c>
      <c r="BS677" t="s">
        <v>116</v>
      </c>
      <c r="BT677">
        <f>VLOOKUP(Table1[[#This Row],[Reference]],metron,8,FALSE)</f>
        <v>2.3288743096422602</v>
      </c>
      <c r="BU677">
        <f>VLOOKUP(Table1[[#This Row],[Reference]],metron,9,FALSE)</f>
        <v>0.47695922076506025</v>
      </c>
      <c r="BV677">
        <f>VLOOKUP(Table1[[#This Row],[Reference]],metron,10,FALSE)</f>
        <v>2.9925826028320968</v>
      </c>
      <c r="BW677">
        <f>VLOOKUP(Table1[[#This Row],[Reference]],metron,11,FALSE)</f>
        <v>2.224544841537424</v>
      </c>
      <c r="BX677">
        <f>VLOOKUP(Table1[[#This Row],[Reference]],metron,12,FALSE)</f>
        <v>0.76803776129467294</v>
      </c>
      <c r="BY677" s="6">
        <f>VLOOKUP(Table1[[#This Row],[Reference]],metron,13,FALSE)</f>
        <v>0.96561024949426832</v>
      </c>
      <c r="BZ677" s="6">
        <f>VLOOKUP(Table1[[#This Row],[Reference]],metron,14,FALSE)</f>
        <v>0.34187457855697911</v>
      </c>
      <c r="CA677" s="6">
        <f>VLOOKUP(Table1[[#This Row],[Reference]],metron,15,FALSE)</f>
        <v>16.100000000000001</v>
      </c>
      <c r="CB677" s="6">
        <f>VLOOKUP(Table1[[#This Row],[Reference]],metron,16,FALSE)</f>
        <v>8.3493506493506491</v>
      </c>
      <c r="CC677" s="6">
        <f>VLOOKUP(Table1[[#This Row],[Reference]],metron,17,FALSE)</f>
        <v>7.2678100263852254</v>
      </c>
      <c r="CD677" s="6">
        <f>VLOOKUP(Table1[[#This Row],[Reference]],metron,18,FALSE)</f>
        <v>3.2770448548812658</v>
      </c>
      <c r="CE677" s="6">
        <f>VLOOKUP(Table1[[#This Row],[Reference]],metron,19,FALSE)</f>
        <v>8.832189973614776</v>
      </c>
      <c r="CF677" s="6">
        <f>VLOOKUP(Table1[[#This Row],[Reference]],metron,20,FALSE)</f>
        <v>5.0723057944693828</v>
      </c>
      <c r="CG677" s="6">
        <f>VLOOKUP(Table1[[#This Row],[Reference]],metron,21,FALSE)</f>
        <v>11.95872170439414</v>
      </c>
      <c r="CH677" s="6">
        <f>VLOOKUP(Table1[[#This Row],[Reference]],metron,22,FALSE)</f>
        <v>13.450066577896139</v>
      </c>
      <c r="CI677" s="6">
        <f>VLOOKUP(Table1[[#This Row],[Reference]],metron,23,FALSE)</f>
        <v>1.301526717557252</v>
      </c>
      <c r="CJ677" s="6">
        <f>VLOOKUP(Table1[[#This Row],[Reference]],metron,24,FALSE)</f>
        <v>1.9796437659033079</v>
      </c>
      <c r="CK677" s="6">
        <f>VLOOKUP(Table1[[#This Row],[Reference]],metron,25,FALSE)</f>
        <v>5.3435114503816793E-2</v>
      </c>
      <c r="CL677" s="6">
        <f>VLOOKUP(Table1[[#This Row],[Reference]],metron,26,FALSE)</f>
        <v>0.1183206106870229</v>
      </c>
    </row>
    <row r="678" spans="1:90" hidden="1" x14ac:dyDescent="0.45">
      <c r="A678" t="s">
        <v>1256</v>
      </c>
      <c r="B678">
        <v>1621206000</v>
      </c>
      <c r="C678" s="1" t="s">
        <v>1245</v>
      </c>
      <c r="D678" t="s">
        <v>65</v>
      </c>
      <c r="E678" t="s">
        <v>66</v>
      </c>
      <c r="F678" t="s">
        <v>101</v>
      </c>
      <c r="G678" t="s">
        <v>73</v>
      </c>
      <c r="H678" t="s">
        <v>158</v>
      </c>
      <c r="I678">
        <f>MROUND(Table1[[#This Row],[ProbH]]*100,2)/100</f>
        <v>0.6</v>
      </c>
      <c r="J678">
        <f>1/Table1[[#This Row],[odds_ft_home_team_win]]-Table1[[#This Row],[Margin]]</f>
        <v>0.59953175913550161</v>
      </c>
      <c r="K678">
        <f>1/Table1[[#This Row],[odds_ft_draw]]-Table1[[#This Row],[Margin]]</f>
        <v>0.23157830367516666</v>
      </c>
      <c r="L678">
        <f>1/Table1[[#This Row],[odds_ft_away_team_win]]-Table1[[#This Row],[Margin]]</f>
        <v>0.16888993718933185</v>
      </c>
      <c r="M678" t="s">
        <v>66</v>
      </c>
      <c r="N678">
        <v>1.61</v>
      </c>
      <c r="O678">
        <v>1.54</v>
      </c>
      <c r="P678">
        <v>1.59</v>
      </c>
      <c r="Q678">
        <v>1.48</v>
      </c>
      <c r="R678" s="9" t="str" cm="1">
        <f t="array" ref="R6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78">
        <v>1</v>
      </c>
      <c r="T678">
        <v>1</v>
      </c>
      <c r="U678">
        <v>2</v>
      </c>
      <c r="V678">
        <v>1</v>
      </c>
      <c r="W678">
        <v>1</v>
      </c>
      <c r="X678">
        <v>0</v>
      </c>
      <c r="Y678">
        <v>30</v>
      </c>
      <c r="Z678" t="s">
        <v>193</v>
      </c>
      <c r="AA678">
        <v>9</v>
      </c>
      <c r="AB678">
        <v>5</v>
      </c>
      <c r="AC678">
        <v>4</v>
      </c>
      <c r="AD678">
        <v>0</v>
      </c>
      <c r="AE678">
        <v>2</v>
      </c>
      <c r="AF678">
        <v>0</v>
      </c>
      <c r="AG678">
        <v>1</v>
      </c>
      <c r="AH678">
        <v>3</v>
      </c>
      <c r="AI678">
        <v>0</v>
      </c>
      <c r="AJ678">
        <v>2</v>
      </c>
      <c r="AK678">
        <v>18</v>
      </c>
      <c r="AL678">
        <v>8</v>
      </c>
      <c r="AM678">
        <v>7</v>
      </c>
      <c r="AN678">
        <v>2</v>
      </c>
      <c r="AO678">
        <v>11</v>
      </c>
      <c r="AP678">
        <v>6</v>
      </c>
      <c r="AQ678">
        <v>16</v>
      </c>
      <c r="AR678">
        <v>9</v>
      </c>
      <c r="AS678">
        <v>43</v>
      </c>
      <c r="AT678">
        <v>57</v>
      </c>
      <c r="AU678">
        <v>2.0299999999999998</v>
      </c>
      <c r="AV678">
        <v>1.19</v>
      </c>
      <c r="AW678">
        <v>2.4</v>
      </c>
      <c r="AX678">
        <v>58</v>
      </c>
      <c r="AY678">
        <v>74</v>
      </c>
      <c r="AZ678">
        <v>45</v>
      </c>
      <c r="BA678">
        <v>19</v>
      </c>
      <c r="BB678">
        <v>4</v>
      </c>
      <c r="BC678">
        <v>31</v>
      </c>
      <c r="BD678">
        <v>73</v>
      </c>
      <c r="BE678">
        <v>40</v>
      </c>
      <c r="BF678">
        <v>77</v>
      </c>
      <c r="BG678">
        <v>11.39</v>
      </c>
      <c r="BH678">
        <v>3.98</v>
      </c>
      <c r="BI678">
        <v>1.61</v>
      </c>
      <c r="BJ678">
        <v>3.95</v>
      </c>
      <c r="BK678">
        <v>5.25</v>
      </c>
      <c r="BL678">
        <f>(1/Table1[[#This Row],[odds_ft_home_team_win]]+1/Table1[[#This Row],[odds_ft_draw]]+1/Table1[[#This Row],[odds_ft_away_team_win]]-1)/3</f>
        <v>2.158625328685863E-2</v>
      </c>
      <c r="BM678">
        <v>1.29</v>
      </c>
      <c r="BN678">
        <v>1.87</v>
      </c>
      <c r="BO678">
        <v>3.1</v>
      </c>
      <c r="BP678">
        <v>6</v>
      </c>
      <c r="BQ678">
        <v>1.91</v>
      </c>
      <c r="BR678">
        <v>1.83</v>
      </c>
      <c r="BS678" t="s">
        <v>713</v>
      </c>
      <c r="BT678">
        <f>VLOOKUP(Table1[[#This Row],[Reference]],metron,8,FALSE)</f>
        <v>2.0749792289385525</v>
      </c>
      <c r="BU678">
        <f>VLOOKUP(Table1[[#This Row],[Reference]],metron,9,FALSE)</f>
        <v>0.68220664089703831</v>
      </c>
      <c r="BV678">
        <f>VLOOKUP(Table1[[#This Row],[Reference]],metron,10,FALSE)</f>
        <v>2.7310090702947849</v>
      </c>
      <c r="BW678">
        <f>VLOOKUP(Table1[[#This Row],[Reference]],metron,11,FALSE)</f>
        <v>1.841836734693878</v>
      </c>
      <c r="BX678">
        <f>VLOOKUP(Table1[[#This Row],[Reference]],metron,12,FALSE)</f>
        <v>0.88917233560090703</v>
      </c>
      <c r="BY678" s="6">
        <f>VLOOKUP(Table1[[#This Row],[Reference]],metron,13,FALSE)</f>
        <v>0.804822695035461</v>
      </c>
      <c r="BZ678" s="6">
        <f>VLOOKUP(Table1[[#This Row],[Reference]],metron,14,FALSE)</f>
        <v>0.38099290780141842</v>
      </c>
      <c r="CA678" s="6">
        <f>VLOOKUP(Table1[[#This Row],[Reference]],metron,15,FALSE)</f>
        <v>14.25174825174825</v>
      </c>
      <c r="CB678" s="6">
        <f>VLOOKUP(Table1[[#This Row],[Reference]],metron,16,FALSE)</f>
        <v>8.8316683316683324</v>
      </c>
      <c r="CC678" s="6">
        <f>VLOOKUP(Table1[[#This Row],[Reference]],metron,17,FALSE)</f>
        <v>6.2901265822784813</v>
      </c>
      <c r="CD678" s="6">
        <f>VLOOKUP(Table1[[#This Row],[Reference]],metron,18,FALSE)</f>
        <v>3.6162025316455702</v>
      </c>
      <c r="CE678" s="6">
        <f>VLOOKUP(Table1[[#This Row],[Reference]],metron,19,FALSE)</f>
        <v>7.9616216694697686</v>
      </c>
      <c r="CF678" s="6">
        <f>VLOOKUP(Table1[[#This Row],[Reference]],metron,20,FALSE)</f>
        <v>5.2154658000227627</v>
      </c>
      <c r="CG678" s="6">
        <f>VLOOKUP(Table1[[#This Row],[Reference]],metron,21,FALSE)</f>
        <v>12.444895886236671</v>
      </c>
      <c r="CH678" s="6">
        <f>VLOOKUP(Table1[[#This Row],[Reference]],metron,22,FALSE)</f>
        <v>13.620619603859829</v>
      </c>
      <c r="CI678" s="6">
        <f>VLOOKUP(Table1[[#This Row],[Reference]],metron,23,FALSE)</f>
        <v>1.406084017382907</v>
      </c>
      <c r="CJ678" s="6">
        <f>VLOOKUP(Table1[[#This Row],[Reference]],metron,24,FALSE)</f>
        <v>2.070980202800579</v>
      </c>
      <c r="CK678" s="6">
        <f>VLOOKUP(Table1[[#This Row],[Reference]],metron,25,FALSE)</f>
        <v>6.1323032351521013E-2</v>
      </c>
      <c r="CL678" s="6">
        <f>VLOOKUP(Table1[[#This Row],[Reference]],metron,26,FALSE)</f>
        <v>0.1313375181071946</v>
      </c>
    </row>
    <row r="679" spans="1:90" hidden="1" x14ac:dyDescent="0.45">
      <c r="A679" t="s">
        <v>1256</v>
      </c>
      <c r="B679">
        <v>1621213500</v>
      </c>
      <c r="C679" s="1" t="s">
        <v>1246</v>
      </c>
      <c r="D679" t="s">
        <v>65</v>
      </c>
      <c r="E679" t="s">
        <v>66</v>
      </c>
      <c r="F679" t="s">
        <v>68</v>
      </c>
      <c r="G679" t="s">
        <v>84</v>
      </c>
      <c r="H679" t="s">
        <v>122</v>
      </c>
      <c r="I679">
        <f>MROUND(Table1[[#This Row],[ProbH]]*100,2)/100</f>
        <v>0.5</v>
      </c>
      <c r="J679">
        <f>1/Table1[[#This Row],[odds_ft_home_team_win]]-Table1[[#This Row],[Margin]]</f>
        <v>0.50274719205728546</v>
      </c>
      <c r="K679">
        <f>1/Table1[[#This Row],[odds_ft_draw]]-Table1[[#This Row],[Margin]]</f>
        <v>0.26490126834748745</v>
      </c>
      <c r="L679">
        <f>1/Table1[[#This Row],[odds_ft_away_team_win]]-Table1[[#This Row],[Margin]]</f>
        <v>0.232351539595227</v>
      </c>
      <c r="M679" t="s">
        <v>66</v>
      </c>
      <c r="N679">
        <v>1.97</v>
      </c>
      <c r="O679">
        <v>1.49</v>
      </c>
      <c r="P679">
        <v>2</v>
      </c>
      <c r="Q679">
        <v>1.4</v>
      </c>
      <c r="R679" t="str" cm="1">
        <f t="array" ref="R6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9">
        <v>4</v>
      </c>
      <c r="T679">
        <v>2</v>
      </c>
      <c r="U679">
        <v>6</v>
      </c>
      <c r="V679">
        <v>3</v>
      </c>
      <c r="W679">
        <v>2</v>
      </c>
      <c r="X679">
        <v>1</v>
      </c>
      <c r="Y679" t="s">
        <v>1247</v>
      </c>
      <c r="Z679" t="s">
        <v>481</v>
      </c>
      <c r="AA679">
        <v>8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17</v>
      </c>
      <c r="AL679">
        <v>11</v>
      </c>
      <c r="AM679">
        <v>10</v>
      </c>
      <c r="AN679">
        <v>5</v>
      </c>
      <c r="AO679">
        <v>7</v>
      </c>
      <c r="AP679">
        <v>6</v>
      </c>
      <c r="AQ679">
        <v>8</v>
      </c>
      <c r="AR679">
        <v>10</v>
      </c>
      <c r="AS679">
        <v>62</v>
      </c>
      <c r="AT679">
        <v>38</v>
      </c>
      <c r="AU679">
        <v>2.08</v>
      </c>
      <c r="AV679">
        <v>1.25</v>
      </c>
      <c r="AW679">
        <v>2.44</v>
      </c>
      <c r="AX679">
        <v>54</v>
      </c>
      <c r="AY679">
        <v>67</v>
      </c>
      <c r="AZ679">
        <v>43</v>
      </c>
      <c r="BA679">
        <v>28</v>
      </c>
      <c r="BB679">
        <v>8</v>
      </c>
      <c r="BC679">
        <v>31</v>
      </c>
      <c r="BD679">
        <v>68</v>
      </c>
      <c r="BE679">
        <v>37</v>
      </c>
      <c r="BF679">
        <v>78</v>
      </c>
      <c r="BG679">
        <v>10.41</v>
      </c>
      <c r="BH679">
        <v>3.72</v>
      </c>
      <c r="BI679">
        <v>1.91</v>
      </c>
      <c r="BJ679">
        <v>3.5</v>
      </c>
      <c r="BK679">
        <v>3.95</v>
      </c>
      <c r="BL679">
        <f>(1/Table1[[#This Row],[odds_ft_home_team_win]]+1/Table1[[#This Row],[odds_ft_draw]]+1/Table1[[#This Row],[odds_ft_away_team_win]]-1)/3</f>
        <v>2.0813017366798265E-2</v>
      </c>
      <c r="BM679">
        <v>1.34</v>
      </c>
      <c r="BN679">
        <v>2</v>
      </c>
      <c r="BO679">
        <v>3.35</v>
      </c>
      <c r="BP679">
        <v>6.5</v>
      </c>
      <c r="BQ679">
        <v>1.91</v>
      </c>
      <c r="BR679">
        <v>1.83</v>
      </c>
      <c r="BS679" t="s">
        <v>116</v>
      </c>
      <c r="BT679">
        <f>VLOOKUP(Table1[[#This Row],[Reference]],metron,8,FALSE)</f>
        <v>1.8001937313313046</v>
      </c>
      <c r="BU679">
        <f>VLOOKUP(Table1[[#This Row],[Reference]],metron,9,FALSE)</f>
        <v>0.9268512077832276</v>
      </c>
      <c r="BV679">
        <f>VLOOKUP(Table1[[#This Row],[Reference]],metron,10,FALSE)</f>
        <v>2.5202079886551649</v>
      </c>
      <c r="BW679">
        <f>VLOOKUP(Table1[[#This Row],[Reference]],metron,11,FALSE)</f>
        <v>1.5342708579532029</v>
      </c>
      <c r="BX679">
        <f>VLOOKUP(Table1[[#This Row],[Reference]],metron,12,FALSE)</f>
        <v>0.98593713070196176</v>
      </c>
      <c r="BY679" s="6">
        <f>VLOOKUP(Table1[[#This Row],[Reference]],metron,13,FALSE)</f>
        <v>0.67513590167809023</v>
      </c>
      <c r="BZ679" s="6">
        <f>VLOOKUP(Table1[[#This Row],[Reference]],metron,14,FALSE)</f>
        <v>0.4286727337194185</v>
      </c>
      <c r="CA679" s="6">
        <f>VLOOKUP(Table1[[#This Row],[Reference]],metron,15,FALSE)</f>
        <v>12.98669114272602</v>
      </c>
      <c r="CB679" s="6">
        <f>VLOOKUP(Table1[[#This Row],[Reference]],metron,16,FALSE)</f>
        <v>9.4167049105094076</v>
      </c>
      <c r="CC679" s="6">
        <f>VLOOKUP(Table1[[#This Row],[Reference]],metron,17,FALSE)</f>
        <v>5.6645716945996272</v>
      </c>
      <c r="CD679" s="6">
        <f>VLOOKUP(Table1[[#This Row],[Reference]],metron,18,FALSE)</f>
        <v>4.0242085661080074</v>
      </c>
      <c r="CE679" s="6">
        <f>VLOOKUP(Table1[[#This Row],[Reference]],metron,19,FALSE)</f>
        <v>7.3221194481263927</v>
      </c>
      <c r="CF679" s="6">
        <f>VLOOKUP(Table1[[#This Row],[Reference]],metron,20,FALSE)</f>
        <v>5.3924963444014002</v>
      </c>
      <c r="CG679" s="6">
        <f>VLOOKUP(Table1[[#This Row],[Reference]],metron,21,FALSE)</f>
        <v>12.508162313432839</v>
      </c>
      <c r="CH679" s="6">
        <f>VLOOKUP(Table1[[#This Row],[Reference]],metron,22,FALSE)</f>
        <v>13.36963619402985</v>
      </c>
      <c r="CI679" s="6">
        <f>VLOOKUP(Table1[[#This Row],[Reference]],metron,23,FALSE)</f>
        <v>1.4438014689517029</v>
      </c>
      <c r="CJ679" s="6">
        <f>VLOOKUP(Table1[[#This Row],[Reference]],metron,24,FALSE)</f>
        <v>1.9410193634542621</v>
      </c>
      <c r="CK679" s="6">
        <f>VLOOKUP(Table1[[#This Row],[Reference]],metron,25,FALSE)</f>
        <v>8.4130870242599604E-2</v>
      </c>
      <c r="CL679" s="6">
        <f>VLOOKUP(Table1[[#This Row],[Reference]],metron,26,FALSE)</f>
        <v>0.1275317160026708</v>
      </c>
    </row>
    <row r="680" spans="1:90" hidden="1" x14ac:dyDescent="0.45">
      <c r="A680" t="s">
        <v>1256</v>
      </c>
      <c r="B680">
        <v>1621474200</v>
      </c>
      <c r="C680" s="1" t="s">
        <v>1248</v>
      </c>
      <c r="D680" t="s">
        <v>65</v>
      </c>
      <c r="E680" t="s">
        <v>66</v>
      </c>
      <c r="F680" t="s">
        <v>84</v>
      </c>
      <c r="G680" t="s">
        <v>112</v>
      </c>
      <c r="H680" t="s">
        <v>98</v>
      </c>
      <c r="I680">
        <f>MROUND(Table1[[#This Row],[ProbH]]*100,2)/100</f>
        <v>0.34</v>
      </c>
      <c r="J680">
        <f>1/Table1[[#This Row],[odds_ft_home_team_win]]-Table1[[#This Row],[Margin]]</f>
        <v>0.34451490365468856</v>
      </c>
      <c r="K680">
        <f>1/Table1[[#This Row],[odds_ft_draw]]-Table1[[#This Row],[Margin]]</f>
        <v>0.29672517844560853</v>
      </c>
      <c r="L680">
        <f>1/Table1[[#This Row],[odds_ft_away_team_win]]-Table1[[#This Row],[Margin]]</f>
        <v>0.3587599178997028</v>
      </c>
      <c r="M680" t="s">
        <v>66</v>
      </c>
      <c r="N680">
        <v>1.45</v>
      </c>
      <c r="O680">
        <v>1.98</v>
      </c>
      <c r="P680">
        <v>1.4</v>
      </c>
      <c r="Q680">
        <v>1.98</v>
      </c>
      <c r="R680" t="str" cm="1">
        <f t="array" ref="R6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AA680">
        <v>7</v>
      </c>
      <c r="AB680">
        <v>4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13</v>
      </c>
      <c r="AL680">
        <v>10</v>
      </c>
      <c r="AM680">
        <v>5</v>
      </c>
      <c r="AN680">
        <v>4</v>
      </c>
      <c r="AO680">
        <v>8</v>
      </c>
      <c r="AP680">
        <v>6</v>
      </c>
      <c r="AQ680">
        <v>6</v>
      </c>
      <c r="AR680">
        <v>9</v>
      </c>
      <c r="AS680">
        <v>56</v>
      </c>
      <c r="AT680">
        <v>44</v>
      </c>
      <c r="AU680">
        <v>1.52</v>
      </c>
      <c r="AV680">
        <v>1.1599999999999999</v>
      </c>
      <c r="AW680">
        <v>2.34</v>
      </c>
      <c r="AX680">
        <v>43</v>
      </c>
      <c r="AY680">
        <v>61</v>
      </c>
      <c r="AZ680">
        <v>36</v>
      </c>
      <c r="BA680">
        <v>27</v>
      </c>
      <c r="BB680">
        <v>13</v>
      </c>
      <c r="BC680">
        <v>29</v>
      </c>
      <c r="BD680">
        <v>62</v>
      </c>
      <c r="BE680">
        <v>32</v>
      </c>
      <c r="BF680">
        <v>79</v>
      </c>
      <c r="BG680">
        <v>11.16</v>
      </c>
      <c r="BH680">
        <v>3.68</v>
      </c>
      <c r="BI680">
        <v>2.7</v>
      </c>
      <c r="BJ680">
        <v>3.1</v>
      </c>
      <c r="BK680">
        <v>2.6</v>
      </c>
      <c r="BL680">
        <f>(1/Table1[[#This Row],[odds_ft_home_team_win]]+1/Table1[[#This Row],[odds_ft_draw]]+1/Table1[[#This Row],[odds_ft_away_team_win]]-1)/3</f>
        <v>2.5855466715681768E-2</v>
      </c>
      <c r="BM680">
        <v>1.48</v>
      </c>
      <c r="BN680">
        <v>2.25</v>
      </c>
      <c r="BO680">
        <v>4.0999999999999996</v>
      </c>
      <c r="BP680">
        <v>8</v>
      </c>
      <c r="BQ680">
        <v>2.0499999999999998</v>
      </c>
      <c r="BR680">
        <v>1.74</v>
      </c>
      <c r="BS680" t="s">
        <v>88</v>
      </c>
      <c r="BT680">
        <f>VLOOKUP(Table1[[#This Row],[Reference]],metron,8,FALSE)</f>
        <v>1.3382439854569812</v>
      </c>
      <c r="BU680">
        <f>VLOOKUP(Table1[[#This Row],[Reference]],metron,9,FALSE)</f>
        <v>1.3740319615582339</v>
      </c>
      <c r="BV680">
        <f>VLOOKUP(Table1[[#This Row],[Reference]],metron,10,FALSE)</f>
        <v>2.5229727551184897</v>
      </c>
      <c r="BW680">
        <f>VLOOKUP(Table1[[#This Row],[Reference]],metron,11,FALSE)</f>
        <v>1.228921489601805</v>
      </c>
      <c r="BX680">
        <f>VLOOKUP(Table1[[#This Row],[Reference]],metron,12,FALSE)</f>
        <v>1.2940512655166849</v>
      </c>
      <c r="BY680" s="6">
        <f>VLOOKUP(Table1[[#This Row],[Reference]],metron,13,FALSE)</f>
        <v>0.53240890035472432</v>
      </c>
      <c r="BZ680" s="6">
        <f>VLOOKUP(Table1[[#This Row],[Reference]],metron,14,FALSE)</f>
        <v>0.56514027732989358</v>
      </c>
      <c r="CA680" s="6">
        <f>VLOOKUP(Table1[[#This Row],[Reference]],metron,15,FALSE)</f>
        <v>11.417888124439131</v>
      </c>
      <c r="CB680" s="6">
        <f>VLOOKUP(Table1[[#This Row],[Reference]],metron,16,FALSE)</f>
        <v>10.76308704756207</v>
      </c>
      <c r="CC680" s="6">
        <f>VLOOKUP(Table1[[#This Row],[Reference]],metron,17,FALSE)</f>
        <v>4.8317672021824798</v>
      </c>
      <c r="CD680" s="6">
        <f>VLOOKUP(Table1[[#This Row],[Reference]],metron,18,FALSE)</f>
        <v>4.6698999696877843</v>
      </c>
      <c r="CE680" s="6">
        <f>VLOOKUP(Table1[[#This Row],[Reference]],metron,19,FALSE)</f>
        <v>6.5861209222566508</v>
      </c>
      <c r="CF680" s="6">
        <f>VLOOKUP(Table1[[#This Row],[Reference]],metron,20,FALSE)</f>
        <v>6.093187077874286</v>
      </c>
      <c r="CG680" s="6">
        <f>VLOOKUP(Table1[[#This Row],[Reference]],metron,21,FALSE)</f>
        <v>12.685679611650491</v>
      </c>
      <c r="CH680" s="6">
        <f>VLOOKUP(Table1[[#This Row],[Reference]],metron,22,FALSE)</f>
        <v>13.02639563106796</v>
      </c>
      <c r="CI680" s="6">
        <f>VLOOKUP(Table1[[#This Row],[Reference]],metron,23,FALSE)</f>
        <v>1.6481211768132831</v>
      </c>
      <c r="CJ680" s="6">
        <f>VLOOKUP(Table1[[#This Row],[Reference]],metron,24,FALSE)</f>
        <v>1.8572676958928049</v>
      </c>
      <c r="CK680" s="6">
        <f>VLOOKUP(Table1[[#This Row],[Reference]],metron,25,FALSE)</f>
        <v>9.641712787649287E-2</v>
      </c>
      <c r="CL680" s="6">
        <f>VLOOKUP(Table1[[#This Row],[Reference]],metron,26,FALSE)</f>
        <v>0.11302068161957469</v>
      </c>
    </row>
    <row r="681" spans="1:90" hidden="1" x14ac:dyDescent="0.45">
      <c r="A681" t="s">
        <v>1256</v>
      </c>
      <c r="B681">
        <v>1621562400</v>
      </c>
      <c r="C681" s="1" t="s">
        <v>1249</v>
      </c>
      <c r="D681" t="s">
        <v>65</v>
      </c>
      <c r="E681" t="s">
        <v>66</v>
      </c>
      <c r="F681" t="s">
        <v>73</v>
      </c>
      <c r="G681" t="s">
        <v>102</v>
      </c>
      <c r="H681" t="s">
        <v>69</v>
      </c>
      <c r="I681">
        <f>MROUND(Table1[[#This Row],[ProbH]]*100,2)/100</f>
        <v>0.57999999999999996</v>
      </c>
      <c r="J681">
        <f>1/Table1[[#This Row],[odds_ft_home_team_win]]-Table1[[#This Row],[Margin]]</f>
        <v>0.57645027405506455</v>
      </c>
      <c r="K681">
        <f>1/Table1[[#This Row],[odds_ft_draw]]-Table1[[#This Row],[Margin]]</f>
        <v>0.25542565662326144</v>
      </c>
      <c r="L681">
        <f>1/Table1[[#This Row],[odds_ft_away_team_win]]-Table1[[#This Row],[Margin]]</f>
        <v>0.16812406932167412</v>
      </c>
      <c r="M681" t="s">
        <v>66</v>
      </c>
      <c r="N681">
        <v>1.53</v>
      </c>
      <c r="O681">
        <v>1.41</v>
      </c>
      <c r="P681">
        <v>1.48</v>
      </c>
      <c r="Q681">
        <v>1.41</v>
      </c>
      <c r="R681" t="str" cm="1">
        <f t="array" ref="R6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81">
        <v>3</v>
      </c>
      <c r="T681">
        <v>0</v>
      </c>
      <c r="U681">
        <v>3</v>
      </c>
      <c r="V681">
        <v>2</v>
      </c>
      <c r="W681">
        <v>2</v>
      </c>
      <c r="X681">
        <v>0</v>
      </c>
      <c r="Y681" t="s">
        <v>1250</v>
      </c>
      <c r="AA681">
        <v>8</v>
      </c>
      <c r="AB681">
        <v>5</v>
      </c>
      <c r="AC681">
        <v>1</v>
      </c>
      <c r="AD681">
        <v>0</v>
      </c>
      <c r="AE681">
        <v>5</v>
      </c>
      <c r="AF681">
        <v>0</v>
      </c>
      <c r="AG681">
        <v>1</v>
      </c>
      <c r="AH681">
        <v>0</v>
      </c>
      <c r="AI681">
        <v>2</v>
      </c>
      <c r="AJ681">
        <v>3</v>
      </c>
      <c r="AK681">
        <v>22</v>
      </c>
      <c r="AL681">
        <v>20</v>
      </c>
      <c r="AM681">
        <v>8</v>
      </c>
      <c r="AN681">
        <v>7</v>
      </c>
      <c r="AO681">
        <v>14</v>
      </c>
      <c r="AP681">
        <v>13</v>
      </c>
      <c r="AQ681">
        <v>9</v>
      </c>
      <c r="AR681">
        <v>15</v>
      </c>
      <c r="AS681">
        <v>51</v>
      </c>
      <c r="AT681">
        <v>49</v>
      </c>
      <c r="AU681">
        <v>2.25</v>
      </c>
      <c r="AV681">
        <v>2.0099999999999998</v>
      </c>
      <c r="AW681">
        <v>2.41</v>
      </c>
      <c r="AX681">
        <v>50</v>
      </c>
      <c r="AY681">
        <v>65</v>
      </c>
      <c r="AZ681">
        <v>42</v>
      </c>
      <c r="BA681">
        <v>25</v>
      </c>
      <c r="BB681">
        <v>12</v>
      </c>
      <c r="BC681">
        <v>31</v>
      </c>
      <c r="BD681">
        <v>71</v>
      </c>
      <c r="BE681">
        <v>39</v>
      </c>
      <c r="BF681">
        <v>70</v>
      </c>
      <c r="BG681">
        <v>10.59</v>
      </c>
      <c r="BH681">
        <v>3.73</v>
      </c>
      <c r="BI681">
        <v>1.67</v>
      </c>
      <c r="BJ681">
        <v>3.6</v>
      </c>
      <c r="BK681">
        <v>5.25</v>
      </c>
      <c r="BL681">
        <f>(1/Table1[[#This Row],[odds_ft_home_team_win]]+1/Table1[[#This Row],[odds_ft_draw]]+1/Table1[[#This Row],[odds_ft_away_team_win]]-1)/3</f>
        <v>2.2352121154516347E-2</v>
      </c>
      <c r="BM681">
        <v>1.42</v>
      </c>
      <c r="BN681">
        <v>2.2000000000000002</v>
      </c>
      <c r="BO681">
        <v>3.85</v>
      </c>
      <c r="BP681">
        <v>8</v>
      </c>
      <c r="BQ681">
        <v>2.2000000000000002</v>
      </c>
      <c r="BR681">
        <v>1.62</v>
      </c>
      <c r="BS681" t="s">
        <v>142</v>
      </c>
      <c r="BT681">
        <f>VLOOKUP(Table1[[#This Row],[Reference]],metron,8,FALSE)</f>
        <v>2.0230889143600308</v>
      </c>
      <c r="BU681">
        <f>VLOOKUP(Table1[[#This Row],[Reference]],metron,9,FALSE)</f>
        <v>0.72731480520165426</v>
      </c>
      <c r="BV681">
        <f>VLOOKUP(Table1[[#This Row],[Reference]],metron,10,FALSE)</f>
        <v>2.6362999299229148</v>
      </c>
      <c r="BW681">
        <f>VLOOKUP(Table1[[#This Row],[Reference]],metron,11,FALSE)</f>
        <v>1.7619715019855171</v>
      </c>
      <c r="BX681">
        <f>VLOOKUP(Table1[[#This Row],[Reference]],metron,12,FALSE)</f>
        <v>0.87432842793739785</v>
      </c>
      <c r="BY681" s="6">
        <f>VLOOKUP(Table1[[#This Row],[Reference]],metron,13,FALSE)</f>
        <v>0.78411214953271025</v>
      </c>
      <c r="BZ681" s="6">
        <f>VLOOKUP(Table1[[#This Row],[Reference]],metron,14,FALSE)</f>
        <v>0.38060747663551397</v>
      </c>
      <c r="CA681" s="6">
        <f>VLOOKUP(Table1[[#This Row],[Reference]],metron,15,FALSE)</f>
        <v>14.215499378367181</v>
      </c>
      <c r="CB681" s="6">
        <f>VLOOKUP(Table1[[#This Row],[Reference]],metron,16,FALSE)</f>
        <v>8.9523612261806136</v>
      </c>
      <c r="CC681" s="6">
        <f>VLOOKUP(Table1[[#This Row],[Reference]],metron,17,FALSE)</f>
        <v>6.3083121289228163</v>
      </c>
      <c r="CD681" s="6">
        <f>VLOOKUP(Table1[[#This Row],[Reference]],metron,18,FALSE)</f>
        <v>3.7757524374735061</v>
      </c>
      <c r="CE681" s="6">
        <f>VLOOKUP(Table1[[#This Row],[Reference]],metron,19,FALSE)</f>
        <v>7.9071872494443642</v>
      </c>
      <c r="CF681" s="6">
        <f>VLOOKUP(Table1[[#This Row],[Reference]],metron,20,FALSE)</f>
        <v>5.1766087887071075</v>
      </c>
      <c r="CG681" s="6">
        <f>VLOOKUP(Table1[[#This Row],[Reference]],metron,21,FALSE)</f>
        <v>12.634239592183521</v>
      </c>
      <c r="CH681" s="6">
        <f>VLOOKUP(Table1[[#This Row],[Reference]],metron,22,FALSE)</f>
        <v>13.597706032285471</v>
      </c>
      <c r="CI681" s="6">
        <f>VLOOKUP(Table1[[#This Row],[Reference]],metron,23,FALSE)</f>
        <v>1.365400161681487</v>
      </c>
      <c r="CJ681" s="6">
        <f>VLOOKUP(Table1[[#This Row],[Reference]],metron,24,FALSE)</f>
        <v>1.963621665319321</v>
      </c>
      <c r="CK681" s="6">
        <f>VLOOKUP(Table1[[#This Row],[Reference]],metron,25,FALSE)</f>
        <v>7.1544058205335492E-2</v>
      </c>
      <c r="CL681" s="6">
        <f>VLOOKUP(Table1[[#This Row],[Reference]],metron,26,FALSE)</f>
        <v>0.1216653193209378</v>
      </c>
    </row>
    <row r="682" spans="1:90" hidden="1" x14ac:dyDescent="0.45">
      <c r="A682" t="s">
        <v>1256</v>
      </c>
      <c r="B682">
        <v>1621731600</v>
      </c>
      <c r="C682" s="1" t="s">
        <v>1251</v>
      </c>
      <c r="D682" t="s">
        <v>65</v>
      </c>
      <c r="E682" t="s">
        <v>66</v>
      </c>
      <c r="F682" t="s">
        <v>112</v>
      </c>
      <c r="G682" t="s">
        <v>84</v>
      </c>
      <c r="H682" t="s">
        <v>158</v>
      </c>
      <c r="I682">
        <f>MROUND(Table1[[#This Row],[ProbH]]*100,2)/100</f>
        <v>0.52</v>
      </c>
      <c r="J682">
        <f>1/Table1[[#This Row],[odds_ft_home_team_win]]-Table1[[#This Row],[Margin]]</f>
        <v>0.52322320368440844</v>
      </c>
      <c r="K682">
        <f>1/Table1[[#This Row],[odds_ft_draw]]-Table1[[#This Row],[Margin]]</f>
        <v>0.27528257893928165</v>
      </c>
      <c r="L682">
        <f>1/Table1[[#This Row],[odds_ft_away_team_win]]-Table1[[#This Row],[Margin]]</f>
        <v>0.20149421737631001</v>
      </c>
      <c r="M682" t="s">
        <v>66</v>
      </c>
      <c r="N682">
        <v>1.95</v>
      </c>
      <c r="O682">
        <v>1.44</v>
      </c>
      <c r="P682">
        <v>1.98</v>
      </c>
      <c r="Q682">
        <v>1.4</v>
      </c>
      <c r="R682" s="9" t="str" cm="1">
        <f t="array" ref="R6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51</v>
      </c>
      <c r="AA682">
        <v>5</v>
      </c>
      <c r="AB682">
        <v>3</v>
      </c>
      <c r="AC682">
        <v>2</v>
      </c>
      <c r="AD682">
        <v>0</v>
      </c>
      <c r="AE682">
        <v>1</v>
      </c>
      <c r="AF682">
        <v>1</v>
      </c>
      <c r="AG682">
        <v>0</v>
      </c>
      <c r="AH682">
        <v>2</v>
      </c>
      <c r="AI682">
        <v>0</v>
      </c>
      <c r="AJ682">
        <v>2</v>
      </c>
      <c r="AK682">
        <v>21</v>
      </c>
      <c r="AL682">
        <v>12</v>
      </c>
      <c r="AM682">
        <v>10</v>
      </c>
      <c r="AN682">
        <v>3</v>
      </c>
      <c r="AO682">
        <v>11</v>
      </c>
      <c r="AP682">
        <v>9</v>
      </c>
      <c r="AQ682">
        <v>10</v>
      </c>
      <c r="AR682">
        <v>11</v>
      </c>
      <c r="AS682">
        <v>47</v>
      </c>
      <c r="AT682">
        <v>53</v>
      </c>
      <c r="AU682">
        <v>2.2999999999999998</v>
      </c>
      <c r="AV682">
        <v>1.37</v>
      </c>
      <c r="AW682">
        <v>2.2799999999999998</v>
      </c>
      <c r="AX682">
        <v>42</v>
      </c>
      <c r="AY682">
        <v>59</v>
      </c>
      <c r="AZ682">
        <v>35</v>
      </c>
      <c r="BA682">
        <v>26</v>
      </c>
      <c r="BB682">
        <v>13</v>
      </c>
      <c r="BC682">
        <v>28</v>
      </c>
      <c r="BD682">
        <v>60</v>
      </c>
      <c r="BE682">
        <v>31</v>
      </c>
      <c r="BF682">
        <v>77</v>
      </c>
      <c r="BG682">
        <v>11.14</v>
      </c>
      <c r="BH682">
        <v>3.61</v>
      </c>
      <c r="BI682">
        <v>1.83</v>
      </c>
      <c r="BJ682">
        <v>3.35</v>
      </c>
      <c r="BK682">
        <v>4.45</v>
      </c>
      <c r="BL682">
        <f>(1/Table1[[#This Row],[odds_ft_home_team_win]]+1/Table1[[#This Row],[odds_ft_draw]]+1/Table1[[#This Row],[odds_ft_away_team_win]]-1)/3</f>
        <v>2.3224883747285485E-2</v>
      </c>
      <c r="BM682">
        <v>1.4</v>
      </c>
      <c r="BN682">
        <v>2.15</v>
      </c>
      <c r="BO682">
        <v>3.8</v>
      </c>
      <c r="BP682">
        <v>7.75</v>
      </c>
      <c r="BQ682">
        <v>2.0499999999999998</v>
      </c>
      <c r="BR682">
        <v>1.71</v>
      </c>
      <c r="BS682" t="s">
        <v>116</v>
      </c>
      <c r="BT682">
        <f>VLOOKUP(Table1[[#This Row],[Reference]],metron,8,FALSE)</f>
        <v>1.8614830167843088</v>
      </c>
      <c r="BU682">
        <f>VLOOKUP(Table1[[#This Row],[Reference]],metron,9,FALSE)</f>
        <v>0.87079851622593896</v>
      </c>
      <c r="BV682">
        <f>VLOOKUP(Table1[[#This Row],[Reference]],metron,10,FALSE)</f>
        <v>2.5967403582378576</v>
      </c>
      <c r="BW682">
        <f>VLOOKUP(Table1[[#This Row],[Reference]],metron,11,FALSE)</f>
        <v>1.625948039373891</v>
      </c>
      <c r="BX682">
        <f>VLOOKUP(Table1[[#This Row],[Reference]],metron,12,FALSE)</f>
        <v>0.97079231886396644</v>
      </c>
      <c r="BY682" s="6">
        <f>VLOOKUP(Table1[[#This Row],[Reference]],metron,13,FALSE)</f>
        <v>0.71433182698515174</v>
      </c>
      <c r="BZ682" s="6">
        <f>VLOOKUP(Table1[[#This Row],[Reference]],metron,14,FALSE)</f>
        <v>0.43011620400258233</v>
      </c>
      <c r="CA682" s="6">
        <f>VLOOKUP(Table1[[#This Row],[Reference]],metron,15,FALSE)</f>
        <v>13.39951055368614</v>
      </c>
      <c r="CB682" s="6">
        <f>VLOOKUP(Table1[[#This Row],[Reference]],metron,16,FALSE)</f>
        <v>9.4252064851636579</v>
      </c>
      <c r="CC682" s="6">
        <f>VLOOKUP(Table1[[#This Row],[Reference]],metron,17,FALSE)</f>
        <v>5.7628422023992618</v>
      </c>
      <c r="CD682" s="6">
        <f>VLOOKUP(Table1[[#This Row],[Reference]],metron,18,FALSE)</f>
        <v>3.9375576745616732</v>
      </c>
      <c r="CE682" s="6">
        <f>VLOOKUP(Table1[[#This Row],[Reference]],metron,19,FALSE)</f>
        <v>7.636668351286878</v>
      </c>
      <c r="CF682" s="6">
        <f>VLOOKUP(Table1[[#This Row],[Reference]],metron,20,FALSE)</f>
        <v>5.4876488106019847</v>
      </c>
      <c r="CG682" s="6">
        <f>VLOOKUP(Table1[[#This Row],[Reference]],metron,21,FALSE)</f>
        <v>12.460420531849101</v>
      </c>
      <c r="CH682" s="6">
        <f>VLOOKUP(Table1[[#This Row],[Reference]],metron,22,FALSE)</f>
        <v>13.44897959183673</v>
      </c>
      <c r="CI682" s="6">
        <f>VLOOKUP(Table1[[#This Row],[Reference]],metron,23,FALSE)</f>
        <v>1.462202380952381</v>
      </c>
      <c r="CJ682" s="6">
        <f>VLOOKUP(Table1[[#This Row],[Reference]],metron,24,FALSE)</f>
        <v>2.01547619047619</v>
      </c>
      <c r="CK682" s="6">
        <f>VLOOKUP(Table1[[#This Row],[Reference]],metron,25,FALSE)</f>
        <v>7.7380952380952384E-2</v>
      </c>
      <c r="CL682" s="6">
        <f>VLOOKUP(Table1[[#This Row],[Reference]],metron,26,FALSE)</f>
        <v>0.13754093480202439</v>
      </c>
    </row>
    <row r="683" spans="1:90" hidden="1" x14ac:dyDescent="0.45">
      <c r="A683" t="s">
        <v>1256</v>
      </c>
      <c r="B683">
        <v>1621814400</v>
      </c>
      <c r="C683" s="1" t="s">
        <v>1252</v>
      </c>
      <c r="D683" t="s">
        <v>65</v>
      </c>
      <c r="E683" t="s">
        <v>66</v>
      </c>
      <c r="F683" t="s">
        <v>102</v>
      </c>
      <c r="G683" t="s">
        <v>73</v>
      </c>
      <c r="H683" t="s">
        <v>122</v>
      </c>
      <c r="I683">
        <f>MROUND(Table1[[#This Row],[ProbH]]*100,2)/100</f>
        <v>0.42</v>
      </c>
      <c r="J683">
        <f>1/Table1[[#This Row],[odds_ft_home_team_win]]-Table1[[#This Row],[Margin]]</f>
        <v>0.41257480712380129</v>
      </c>
      <c r="K683">
        <f>1/Table1[[#This Row],[odds_ft_draw]]-Table1[[#This Row],[Margin]]</f>
        <v>0.27629966111471621</v>
      </c>
      <c r="L683">
        <f>1/Table1[[#This Row],[odds_ft_away_team_win]]-Table1[[#This Row],[Margin]]</f>
        <v>0.31112553176148239</v>
      </c>
      <c r="M683" t="s">
        <v>66</v>
      </c>
      <c r="N683">
        <v>1.38</v>
      </c>
      <c r="O683">
        <v>1.56</v>
      </c>
      <c r="P683">
        <v>1.41</v>
      </c>
      <c r="Q683">
        <v>1.48</v>
      </c>
      <c r="R683" t="str" cm="1">
        <f t="array" ref="R6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54</v>
      </c>
      <c r="AA683">
        <v>9</v>
      </c>
      <c r="AB683">
        <v>1</v>
      </c>
      <c r="AC683">
        <v>0</v>
      </c>
      <c r="AD683">
        <v>1</v>
      </c>
      <c r="AE683">
        <v>2</v>
      </c>
      <c r="AF683">
        <v>0</v>
      </c>
      <c r="AG683">
        <v>0</v>
      </c>
      <c r="AH683">
        <v>1</v>
      </c>
      <c r="AI683">
        <v>0</v>
      </c>
      <c r="AJ683">
        <v>2</v>
      </c>
      <c r="AK683">
        <v>18</v>
      </c>
      <c r="AL683">
        <v>8</v>
      </c>
      <c r="AM683">
        <v>5</v>
      </c>
      <c r="AN683">
        <v>4</v>
      </c>
      <c r="AO683">
        <v>13</v>
      </c>
      <c r="AP683">
        <v>4</v>
      </c>
      <c r="AQ683">
        <v>11</v>
      </c>
      <c r="AR683">
        <v>11</v>
      </c>
      <c r="AS683">
        <v>60</v>
      </c>
      <c r="AT683">
        <v>40</v>
      </c>
      <c r="AU683">
        <v>1.97</v>
      </c>
      <c r="AV683">
        <v>1.08</v>
      </c>
      <c r="AW683">
        <v>2.42</v>
      </c>
      <c r="AX683">
        <v>49</v>
      </c>
      <c r="AY683">
        <v>66</v>
      </c>
      <c r="AZ683">
        <v>44</v>
      </c>
      <c r="BA683">
        <v>24</v>
      </c>
      <c r="BB683">
        <v>12</v>
      </c>
      <c r="BC683">
        <v>33</v>
      </c>
      <c r="BD683">
        <v>71</v>
      </c>
      <c r="BE683">
        <v>38</v>
      </c>
      <c r="BF683">
        <v>71</v>
      </c>
      <c r="BG683">
        <v>10.65</v>
      </c>
      <c r="BH683">
        <v>3.8</v>
      </c>
      <c r="BI683">
        <v>2.2999999999999998</v>
      </c>
      <c r="BJ683">
        <v>3.35</v>
      </c>
      <c r="BK683">
        <v>3</v>
      </c>
      <c r="BL683">
        <f>(1/Table1[[#This Row],[odds_ft_home_team_win]]+1/Table1[[#This Row],[odds_ft_draw]]+1/Table1[[#This Row],[odds_ft_away_team_win]]-1)/3</f>
        <v>2.220780157185091E-2</v>
      </c>
      <c r="BM683">
        <v>1.38</v>
      </c>
      <c r="BN683">
        <v>2.0499999999999998</v>
      </c>
      <c r="BO683">
        <v>3.55</v>
      </c>
      <c r="BP683">
        <v>7</v>
      </c>
      <c r="BQ683">
        <v>1.91</v>
      </c>
      <c r="BR683">
        <v>1.87</v>
      </c>
      <c r="BS683" t="s">
        <v>124</v>
      </c>
      <c r="BT683">
        <f>VLOOKUP(Table1[[#This Row],[Reference]],metron,8,FALSE)</f>
        <v>1.5780106027030405</v>
      </c>
      <c r="BU683">
        <f>VLOOKUP(Table1[[#This Row],[Reference]],metron,9,FALSE)</f>
        <v>1.1353025412447635</v>
      </c>
      <c r="BV683">
        <f>VLOOKUP(Table1[[#This Row],[Reference]],metron,10,FALSE)</f>
        <v>2.4884649511978703</v>
      </c>
      <c r="BW683">
        <f>VLOOKUP(Table1[[#This Row],[Reference]],metron,11,FALSE)</f>
        <v>1.396960958296362</v>
      </c>
      <c r="BX683">
        <f>VLOOKUP(Table1[[#This Row],[Reference]],metron,12,FALSE)</f>
        <v>1.091503992901508</v>
      </c>
      <c r="BY683" s="6">
        <f>VLOOKUP(Table1[[#This Row],[Reference]],metron,13,FALSE)</f>
        <v>0.60765391014975045</v>
      </c>
      <c r="BZ683" s="6">
        <f>VLOOKUP(Table1[[#This Row],[Reference]],metron,14,FALSE)</f>
        <v>0.47276760953965608</v>
      </c>
      <c r="CA683" s="6">
        <f>VLOOKUP(Table1[[#This Row],[Reference]],metron,15,FALSE)</f>
        <v>12.29504785684561</v>
      </c>
      <c r="CB683" s="6">
        <f>VLOOKUP(Table1[[#This Row],[Reference]],metron,16,FALSE)</f>
        <v>10.047232625884311</v>
      </c>
      <c r="CC683" s="6">
        <f>VLOOKUP(Table1[[#This Row],[Reference]],metron,17,FALSE)</f>
        <v>5.2917192097519967</v>
      </c>
      <c r="CD683" s="6">
        <f>VLOOKUP(Table1[[#This Row],[Reference]],metron,18,FALSE)</f>
        <v>4.2580916351408158</v>
      </c>
      <c r="CE683" s="6">
        <f>VLOOKUP(Table1[[#This Row],[Reference]],metron,19,FALSE)</f>
        <v>7.0033286470936131</v>
      </c>
      <c r="CF683" s="6">
        <f>VLOOKUP(Table1[[#This Row],[Reference]],metron,20,FALSE)</f>
        <v>5.789140990743495</v>
      </c>
      <c r="CG683" s="6">
        <f>VLOOKUP(Table1[[#This Row],[Reference]],metron,21,FALSE)</f>
        <v>12.77041895895049</v>
      </c>
      <c r="CH683" s="6">
        <f>VLOOKUP(Table1[[#This Row],[Reference]],metron,22,FALSE)</f>
        <v>13.411129919593741</v>
      </c>
      <c r="CI683" s="6">
        <f>VLOOKUP(Table1[[#This Row],[Reference]],metron,23,FALSE)</f>
        <v>1.556141062018646</v>
      </c>
      <c r="CJ683" s="6">
        <f>VLOOKUP(Table1[[#This Row],[Reference]],metron,24,FALSE)</f>
        <v>1.9114308877178761</v>
      </c>
      <c r="CK683" s="6">
        <f>VLOOKUP(Table1[[#This Row],[Reference]],metron,25,FALSE)</f>
        <v>8.4920956627482766E-2</v>
      </c>
      <c r="CL683" s="6">
        <f>VLOOKUP(Table1[[#This Row],[Reference]],metron,26,FALSE)</f>
        <v>0.1323469801378192</v>
      </c>
    </row>
    <row r="684" spans="1:90" hidden="1" x14ac:dyDescent="0.45">
      <c r="A684" t="s">
        <v>1256</v>
      </c>
      <c r="B684">
        <v>1622167200</v>
      </c>
      <c r="C684" s="1" t="s">
        <v>1253</v>
      </c>
      <c r="D684" t="s">
        <v>65</v>
      </c>
      <c r="E684" t="s">
        <v>66</v>
      </c>
      <c r="F684" t="s">
        <v>73</v>
      </c>
      <c r="G684" t="s">
        <v>112</v>
      </c>
      <c r="H684" t="s">
        <v>122</v>
      </c>
      <c r="I684">
        <f>MROUND(Table1[[#This Row],[ProbH]]*100,2)/100</f>
        <v>0.38</v>
      </c>
      <c r="J684">
        <f>1/Table1[[#This Row],[odds_ft_home_team_win]]-Table1[[#This Row],[Margin]]</f>
        <v>0.38431644587659619</v>
      </c>
      <c r="K684">
        <f>1/Table1[[#This Row],[odds_ft_draw]]-Table1[[#This Row],[Margin]]</f>
        <v>0.32703037355292991</v>
      </c>
      <c r="L684">
        <f>1/Table1[[#This Row],[odds_ft_away_team_win]]-Table1[[#This Row],[Margin]]</f>
        <v>0.28865318057047379</v>
      </c>
      <c r="M684" t="s">
        <v>66</v>
      </c>
      <c r="N684">
        <v>1.53</v>
      </c>
      <c r="O684">
        <v>1.98</v>
      </c>
      <c r="P684">
        <v>1.48</v>
      </c>
      <c r="Q684">
        <v>1.98</v>
      </c>
      <c r="R684" t="str" cm="1">
        <f t="array" ref="R6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Z684">
        <v>71</v>
      </c>
      <c r="AA684">
        <v>9</v>
      </c>
      <c r="AB684">
        <v>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17</v>
      </c>
      <c r="AL684">
        <v>9</v>
      </c>
      <c r="AM684">
        <v>5</v>
      </c>
      <c r="AN684">
        <v>4</v>
      </c>
      <c r="AO684">
        <v>12</v>
      </c>
      <c r="AP684">
        <v>5</v>
      </c>
      <c r="AQ684">
        <v>5</v>
      </c>
      <c r="AR684">
        <v>13</v>
      </c>
      <c r="AS684">
        <v>65</v>
      </c>
      <c r="AT684">
        <v>35</v>
      </c>
      <c r="AU684">
        <v>2</v>
      </c>
      <c r="AV684">
        <v>1.1499999999999999</v>
      </c>
      <c r="AW684">
        <v>2.31</v>
      </c>
      <c r="AX684">
        <v>42</v>
      </c>
      <c r="AY684">
        <v>67</v>
      </c>
      <c r="AZ684">
        <v>40</v>
      </c>
      <c r="BA684">
        <v>22</v>
      </c>
      <c r="BB684">
        <v>10</v>
      </c>
      <c r="BC684">
        <v>30</v>
      </c>
      <c r="BD684">
        <v>67</v>
      </c>
      <c r="BE684">
        <v>31</v>
      </c>
      <c r="BF684">
        <v>82</v>
      </c>
      <c r="BG684">
        <v>11.55</v>
      </c>
      <c r="BH684">
        <v>3.25</v>
      </c>
      <c r="BI684">
        <v>2.4500000000000002</v>
      </c>
      <c r="BJ684">
        <v>2.85</v>
      </c>
      <c r="BK684">
        <v>3.2</v>
      </c>
      <c r="BL684">
        <f>(1/Table1[[#This Row],[odds_ft_home_team_win]]+1/Table1[[#This Row],[odds_ft_draw]]+1/Table1[[#This Row],[odds_ft_away_team_win]]-1)/3</f>
        <v>2.3846819429526194E-2</v>
      </c>
      <c r="BM684">
        <v>1.54</v>
      </c>
      <c r="BN684">
        <v>2.4500000000000002</v>
      </c>
      <c r="BO684">
        <v>4.3</v>
      </c>
      <c r="BP684">
        <v>8.75</v>
      </c>
      <c r="BQ684">
        <v>2.1</v>
      </c>
      <c r="BR684">
        <v>1.71</v>
      </c>
      <c r="BS684" t="s">
        <v>142</v>
      </c>
      <c r="BT684">
        <f>VLOOKUP(Table1[[#This Row],[Reference]],metron,8,FALSE)</f>
        <v>1.464160929441638</v>
      </c>
      <c r="BU684">
        <f>VLOOKUP(Table1[[#This Row],[Reference]],metron,9,FALSE)</f>
        <v>1.2477119808919459</v>
      </c>
      <c r="BV684">
        <f>VLOOKUP(Table1[[#This Row],[Reference]],metron,10,FALSE)</f>
        <v>2.4900895140664963</v>
      </c>
      <c r="BW684">
        <f>VLOOKUP(Table1[[#This Row],[Reference]],metron,11,FALSE)</f>
        <v>1.330562659846547</v>
      </c>
      <c r="BX684">
        <f>VLOOKUP(Table1[[#This Row],[Reference]],metron,12,FALSE)</f>
        <v>1.1595268542199491</v>
      </c>
      <c r="BY684" s="6">
        <f>VLOOKUP(Table1[[#This Row],[Reference]],metron,13,FALSE)</f>
        <v>0.59053607588191415</v>
      </c>
      <c r="BZ684" s="6">
        <f>VLOOKUP(Table1[[#This Row],[Reference]],metron,14,FALSE)</f>
        <v>0.50069274219332838</v>
      </c>
      <c r="CA684" s="6">
        <f>VLOOKUP(Table1[[#This Row],[Reference]],metron,15,FALSE)</f>
        <v>11.79715236686391</v>
      </c>
      <c r="CB684" s="6">
        <f>VLOOKUP(Table1[[#This Row],[Reference]],metron,16,FALSE)</f>
        <v>10.317122781065089</v>
      </c>
      <c r="CC684" s="6">
        <f>VLOOKUP(Table1[[#This Row],[Reference]],metron,17,FALSE)</f>
        <v>5.0637025966747622</v>
      </c>
      <c r="CD684" s="6">
        <f>VLOOKUP(Table1[[#This Row],[Reference]],metron,18,FALSE)</f>
        <v>4.4674014571268454</v>
      </c>
      <c r="CE684" s="6">
        <f>VLOOKUP(Table1[[#This Row],[Reference]],metron,19,FALSE)</f>
        <v>6.7334497701891483</v>
      </c>
      <c r="CF684" s="6">
        <f>VLOOKUP(Table1[[#This Row],[Reference]],metron,20,FALSE)</f>
        <v>5.849721323938244</v>
      </c>
      <c r="CG684" s="6">
        <f>VLOOKUP(Table1[[#This Row],[Reference]],metron,21,FALSE)</f>
        <v>12.89644194756554</v>
      </c>
      <c r="CH684" s="6">
        <f>VLOOKUP(Table1[[#This Row],[Reference]],metron,22,FALSE)</f>
        <v>13.3434456928839</v>
      </c>
      <c r="CI684" s="6">
        <f>VLOOKUP(Table1[[#This Row],[Reference]],metron,23,FALSE)</f>
        <v>1.6144382124117971</v>
      </c>
      <c r="CJ684" s="6">
        <f>VLOOKUP(Table1[[#This Row],[Reference]],metron,24,FALSE)</f>
        <v>1.9032024606477289</v>
      </c>
      <c r="CK684" s="6">
        <f>VLOOKUP(Table1[[#This Row],[Reference]],metron,25,FALSE)</f>
        <v>9.372172969060974E-2</v>
      </c>
      <c r="CL684" s="6">
        <f>VLOOKUP(Table1[[#This Row],[Reference]],metron,26,FALSE)</f>
        <v>0.11669983716301791</v>
      </c>
    </row>
    <row r="685" spans="1:90" hidden="1" x14ac:dyDescent="0.45">
      <c r="A685" t="s">
        <v>1256</v>
      </c>
      <c r="B685">
        <v>1622423700</v>
      </c>
      <c r="C685" s="1" t="s">
        <v>1254</v>
      </c>
      <c r="D685" t="s">
        <v>65</v>
      </c>
      <c r="E685" t="s">
        <v>66</v>
      </c>
      <c r="F685" t="s">
        <v>112</v>
      </c>
      <c r="G685" t="s">
        <v>73</v>
      </c>
      <c r="H685" t="s">
        <v>130</v>
      </c>
      <c r="I685">
        <f>MROUND(Table1[[#This Row],[ProbH]]*100,2)/100</f>
        <v>0.5</v>
      </c>
      <c r="J685">
        <f>1/Table1[[#This Row],[odds_ft_home_team_win]]-Table1[[#This Row],[Margin]]</f>
        <v>0.50028502999138103</v>
      </c>
      <c r="K685">
        <f>1/Table1[[#This Row],[odds_ft_draw]]-Table1[[#This Row],[Margin]]</f>
        <v>0.26657989303106533</v>
      </c>
      <c r="L685">
        <f>1/Table1[[#This Row],[odds_ft_away_team_win]]-Table1[[#This Row],[Margin]]</f>
        <v>0.23313507697755367</v>
      </c>
      <c r="M685" t="s">
        <v>66</v>
      </c>
      <c r="N685">
        <v>2</v>
      </c>
      <c r="O685">
        <v>1.49</v>
      </c>
      <c r="P685">
        <v>1.98</v>
      </c>
      <c r="Q685">
        <v>1.48</v>
      </c>
      <c r="R685" t="str" cm="1">
        <f t="array" ref="R6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85">
        <v>1</v>
      </c>
      <c r="T685">
        <v>1</v>
      </c>
      <c r="U685">
        <v>2</v>
      </c>
      <c r="V685">
        <v>1</v>
      </c>
      <c r="W685">
        <v>0</v>
      </c>
      <c r="X685">
        <v>1</v>
      </c>
      <c r="Y685">
        <v>51</v>
      </c>
      <c r="Z685">
        <v>37</v>
      </c>
      <c r="AA685">
        <v>6</v>
      </c>
      <c r="AB685">
        <v>8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10</v>
      </c>
      <c r="AL685">
        <v>12</v>
      </c>
      <c r="AM685">
        <v>4</v>
      </c>
      <c r="AN685">
        <v>2</v>
      </c>
      <c r="AO685">
        <v>6</v>
      </c>
      <c r="AP685">
        <v>10</v>
      </c>
      <c r="AQ685">
        <v>15</v>
      </c>
      <c r="AR685">
        <v>11</v>
      </c>
      <c r="AS685">
        <v>35</v>
      </c>
      <c r="AT685">
        <v>65</v>
      </c>
      <c r="AU685">
        <v>1.2</v>
      </c>
      <c r="AV685">
        <v>1.33</v>
      </c>
      <c r="AW685">
        <v>2.2799999999999998</v>
      </c>
      <c r="AX685">
        <v>41</v>
      </c>
      <c r="AY685">
        <v>65</v>
      </c>
      <c r="AZ685">
        <v>38</v>
      </c>
      <c r="BA685">
        <v>22</v>
      </c>
      <c r="BB685">
        <v>10</v>
      </c>
      <c r="BC685">
        <v>29</v>
      </c>
      <c r="BD685">
        <v>65</v>
      </c>
      <c r="BE685">
        <v>30</v>
      </c>
      <c r="BF685">
        <v>82</v>
      </c>
      <c r="BG685">
        <v>11.67</v>
      </c>
      <c r="BH685">
        <v>3.17</v>
      </c>
      <c r="BI685">
        <v>1.91</v>
      </c>
      <c r="BJ685">
        <v>3.45</v>
      </c>
      <c r="BK685">
        <v>3.9</v>
      </c>
      <c r="BL685">
        <f>(1/Table1[[#This Row],[odds_ft_home_team_win]]+1/Table1[[#This Row],[odds_ft_draw]]+1/Table1[[#This Row],[odds_ft_away_team_win]]-1)/3</f>
        <v>2.327517943270278E-2</v>
      </c>
      <c r="BM685">
        <v>1.44</v>
      </c>
      <c r="BN685">
        <v>2.25</v>
      </c>
      <c r="BO685">
        <v>3.95</v>
      </c>
      <c r="BP685">
        <v>7.75</v>
      </c>
      <c r="BQ685">
        <v>2.1</v>
      </c>
      <c r="BR685">
        <v>1.69</v>
      </c>
      <c r="BS685" t="s">
        <v>116</v>
      </c>
      <c r="BT685">
        <f>VLOOKUP(Table1[[#This Row],[Reference]],metron,8,FALSE)</f>
        <v>1.8001937313313046</v>
      </c>
      <c r="BU685">
        <f>VLOOKUP(Table1[[#This Row],[Reference]],metron,9,FALSE)</f>
        <v>0.9268512077832276</v>
      </c>
      <c r="BV685">
        <f>VLOOKUP(Table1[[#This Row],[Reference]],metron,10,FALSE)</f>
        <v>2.5202079886551649</v>
      </c>
      <c r="BW685">
        <f>VLOOKUP(Table1[[#This Row],[Reference]],metron,11,FALSE)</f>
        <v>1.5342708579532029</v>
      </c>
      <c r="BX685">
        <f>VLOOKUP(Table1[[#This Row],[Reference]],metron,12,FALSE)</f>
        <v>0.98593713070196176</v>
      </c>
      <c r="BY685" s="6">
        <f>VLOOKUP(Table1[[#This Row],[Reference]],metron,13,FALSE)</f>
        <v>0.67513590167809023</v>
      </c>
      <c r="BZ685" s="6">
        <f>VLOOKUP(Table1[[#This Row],[Reference]],metron,14,FALSE)</f>
        <v>0.4286727337194185</v>
      </c>
      <c r="CA685" s="6">
        <f>VLOOKUP(Table1[[#This Row],[Reference]],metron,15,FALSE)</f>
        <v>12.98669114272602</v>
      </c>
      <c r="CB685" s="6">
        <f>VLOOKUP(Table1[[#This Row],[Reference]],metron,16,FALSE)</f>
        <v>9.4167049105094076</v>
      </c>
      <c r="CC685" s="6">
        <f>VLOOKUP(Table1[[#This Row],[Reference]],metron,17,FALSE)</f>
        <v>5.6645716945996272</v>
      </c>
      <c r="CD685" s="6">
        <f>VLOOKUP(Table1[[#This Row],[Reference]],metron,18,FALSE)</f>
        <v>4.0242085661080074</v>
      </c>
      <c r="CE685" s="6">
        <f>VLOOKUP(Table1[[#This Row],[Reference]],metron,19,FALSE)</f>
        <v>7.3221194481263927</v>
      </c>
      <c r="CF685" s="6">
        <f>VLOOKUP(Table1[[#This Row],[Reference]],metron,20,FALSE)</f>
        <v>5.3924963444014002</v>
      </c>
      <c r="CG685" s="6">
        <f>VLOOKUP(Table1[[#This Row],[Reference]],metron,21,FALSE)</f>
        <v>12.508162313432839</v>
      </c>
      <c r="CH685" s="6">
        <f>VLOOKUP(Table1[[#This Row],[Reference]],metron,22,FALSE)</f>
        <v>13.36963619402985</v>
      </c>
      <c r="CI685" s="6">
        <f>VLOOKUP(Table1[[#This Row],[Reference]],metron,23,FALSE)</f>
        <v>1.4438014689517029</v>
      </c>
      <c r="CJ685" s="6">
        <f>VLOOKUP(Table1[[#This Row],[Reference]],metron,24,FALSE)</f>
        <v>1.9410193634542621</v>
      </c>
      <c r="CK685" s="6">
        <f>VLOOKUP(Table1[[#This Row],[Reference]],metron,25,FALSE)</f>
        <v>8.4130870242599604E-2</v>
      </c>
      <c r="CL685" s="6">
        <f>VLOOKUP(Table1[[#This Row],[Reference]],metron,26,FALSE)</f>
        <v>0.1275317160026708</v>
      </c>
    </row>
    <row r="686" spans="1:90" x14ac:dyDescent="0.45">
      <c r="C686" s="1"/>
      <c r="D686">
        <f>SUBTOTAL(103,Table1[status])</f>
        <v>145</v>
      </c>
      <c r="H686">
        <f>SUBTOTAL(103,Table1[referee])</f>
        <v>145</v>
      </c>
      <c r="I686" s="6">
        <f>SUBTOTAL(101,Table1[Reference])</f>
        <v>0.43296551724137944</v>
      </c>
      <c r="J686" s="6">
        <f>SUBTOTAL(101,Table1[ProbH])</f>
        <v>0.4320794757117899</v>
      </c>
      <c r="K686" s="6">
        <f>SUBTOTAL(101,Table1[ProbD])</f>
        <v>0.27275033096547546</v>
      </c>
      <c r="L686" s="6">
        <f>SUBTOTAL(101,Table1[ProbA])</f>
        <v>0.29517019332273442</v>
      </c>
      <c r="R686">
        <f>SUBTOTAL(103,Table1[Result])</f>
        <v>145</v>
      </c>
      <c r="S686">
        <f>SUBTOTAL(101,Table1[home_team_goal_count])</f>
        <v>1.2827586206896551</v>
      </c>
      <c r="T686">
        <f>SUBTOTAL(101,Table1[away_team_goal_count])</f>
        <v>1.0758620689655172</v>
      </c>
      <c r="U686">
        <f>SUBTOTAL(109,Table1[total_goal_count])</f>
        <v>342</v>
      </c>
      <c r="AC686">
        <f>SUBTOTAL(109,Table1[home_team_yellow_cards])</f>
        <v>251</v>
      </c>
      <c r="AD686">
        <f>SUBTOTAL(109,Table1[home_team_red_cards])</f>
        <v>20</v>
      </c>
      <c r="AE686">
        <f>SUBTOTAL(109,Table1[away_team_yellow_cards])</f>
        <v>297</v>
      </c>
      <c r="AF686">
        <f>SUBTOTAL(109,Table1[away_team_red_cards])</f>
        <v>18</v>
      </c>
      <c r="AQ686">
        <f>SUBTOTAL(109,Table1[home_team_fouls])</f>
        <v>1868</v>
      </c>
      <c r="AR686">
        <f>SUBTOTAL(109,Table1[away_team_fouls])</f>
        <v>1771</v>
      </c>
      <c r="BL686" s="6"/>
      <c r="BT686" s="6">
        <f>SUBTOTAL(109,Table1[xPHome])</f>
        <v>232.71402188628574</v>
      </c>
      <c r="BU686" s="6">
        <f>SUBTOTAL(109,Table1[xPAway])</f>
        <v>162.53719819351593</v>
      </c>
      <c r="BV686" s="6">
        <f>SUBTOTAL(109,Table1[xGoals])</f>
        <v>372.93688761181528</v>
      </c>
      <c r="BW686" s="6">
        <f>SUBTOTAL(109,Table1[xHG])</f>
        <v>209.6381477373323</v>
      </c>
      <c r="BX686" s="6">
        <f>SUBTOTAL(109,Table1[xAG])</f>
        <v>163.29873987448281</v>
      </c>
      <c r="BY686" s="6"/>
      <c r="BZ686" s="6"/>
      <c r="CA686" s="6"/>
      <c r="CB686" s="6"/>
      <c r="CC686" s="6"/>
      <c r="CD686" s="6"/>
      <c r="CE686" s="6"/>
      <c r="CF686" s="6"/>
      <c r="CG686" s="6">
        <f>SUBTOTAL(109,Table1[HF])</f>
        <v>1853.6964844387967</v>
      </c>
      <c r="CH686" s="6">
        <f>SUBTOTAL(109,Table1[AF])</f>
        <v>1941.6427895065804</v>
      </c>
      <c r="CI686" s="6">
        <f>SUBTOTAL(109,Table1[HY])</f>
        <v>227.72965658013743</v>
      </c>
      <c r="CJ686" s="6">
        <f>SUBTOTAL(109,Table1[AY])</f>
        <v>277.14225778704986</v>
      </c>
      <c r="CK686" s="6">
        <f>SUBTOTAL(109,Table1[HR])</f>
        <v>12.577437059961461</v>
      </c>
      <c r="CL686" s="6">
        <f>SUBTOTAL(109,Table1[AR])</f>
        <v>17.942155332805598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L154"/>
  <sheetViews>
    <sheetView topLeftCell="A2" workbookViewId="0">
      <selection activeCell="E9" sqref="E9"/>
    </sheetView>
  </sheetViews>
  <sheetFormatPr defaultRowHeight="14.25" x14ac:dyDescent="0.45"/>
  <cols>
    <col min="2" max="2" width="11.06640625" customWidth="1"/>
    <col min="3" max="3" width="10.86328125" customWidth="1"/>
    <col min="5" max="5" width="11.46484375" customWidth="1"/>
    <col min="6" max="6" width="17.3984375" customWidth="1"/>
    <col min="7" max="7" width="17.06640625" customWidth="1"/>
    <col min="9" max="9" width="10.46484375" customWidth="1"/>
    <col min="13" max="13" width="12.1328125" customWidth="1"/>
    <col min="14" max="14" width="20.86328125" customWidth="1"/>
    <col min="15" max="15" width="20.53125" customWidth="1"/>
    <col min="16" max="16" width="10.9296875" customWidth="1"/>
    <col min="17" max="17" width="10.59765625" customWidth="1"/>
    <col min="19" max="19" width="21.73046875" customWidth="1"/>
    <col min="20" max="20" width="21.3984375" customWidth="1"/>
    <col min="21" max="21" width="16" customWidth="1"/>
    <col min="22" max="22" width="22.33203125" customWidth="1"/>
    <col min="23" max="23" width="30.19921875" customWidth="1"/>
    <col min="24" max="24" width="29.86328125" customWidth="1"/>
    <col min="25" max="25" width="23.06640625" customWidth="1"/>
    <col min="26" max="26" width="22.73046875" customWidth="1"/>
    <col min="27" max="27" width="23.46484375" customWidth="1"/>
    <col min="28" max="28" width="23.1328125" customWidth="1"/>
    <col min="29" max="29" width="23.19921875" customWidth="1"/>
    <col min="30" max="30" width="20.6640625" customWidth="1"/>
    <col min="31" max="31" width="22.86328125" customWidth="1"/>
    <col min="32" max="32" width="20.33203125" customWidth="1"/>
    <col min="33" max="33" width="25.1328125" customWidth="1"/>
    <col min="34" max="34" width="27.46484375" customWidth="1"/>
    <col min="35" max="35" width="24.796875" customWidth="1"/>
    <col min="36" max="36" width="27.1328125" customWidth="1"/>
    <col min="37" max="37" width="17.1328125" customWidth="1"/>
    <col min="38" max="38" width="16.796875" customWidth="1"/>
    <col min="39" max="39" width="25.796875" customWidth="1"/>
    <col min="40" max="40" width="25.46484375" customWidth="1"/>
    <col min="41" max="41" width="26" customWidth="1"/>
    <col min="42" max="42" width="25.6640625" customWidth="1"/>
    <col min="43" max="43" width="16.796875" customWidth="1"/>
    <col min="44" max="44" width="16.46484375" customWidth="1"/>
    <col min="45" max="45" width="21.33203125" customWidth="1"/>
    <col min="46" max="46" width="21" customWidth="1"/>
    <col min="47" max="47" width="11.265625" customWidth="1"/>
    <col min="48" max="48" width="11.33203125" customWidth="1"/>
    <col min="49" max="49" width="32.59765625" customWidth="1"/>
    <col min="50" max="50" width="24.796875" customWidth="1"/>
    <col min="51" max="54" width="28.1328125" customWidth="1"/>
    <col min="55" max="56" width="34.265625" customWidth="1"/>
    <col min="57" max="58" width="32.46484375" customWidth="1"/>
    <col min="59" max="59" width="34.265625" customWidth="1"/>
    <col min="60" max="60" width="32.6640625" customWidth="1"/>
    <col min="61" max="61" width="22.73046875" customWidth="1"/>
    <col min="62" max="62" width="13.46484375" customWidth="1"/>
    <col min="63" max="63" width="22.3984375" customWidth="1"/>
    <col min="65" max="68" width="14.9296875" customWidth="1"/>
    <col min="69" max="69" width="13.796875" customWidth="1"/>
    <col min="70" max="70" width="13.265625" customWidth="1"/>
    <col min="71" max="71" width="14.265625" customWidth="1"/>
    <col min="72" max="72" width="9.1328125" customWidth="1"/>
  </cols>
  <sheetData>
    <row r="1" spans="1:90" x14ac:dyDescent="0.45">
      <c r="A1" t="s">
        <v>694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1262</v>
      </c>
      <c r="J1" t="s">
        <v>1259</v>
      </c>
      <c r="K1" t="s">
        <v>1260</v>
      </c>
      <c r="L1" t="s">
        <v>1261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1320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1257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1266</v>
      </c>
      <c r="BU1" t="s">
        <v>1267</v>
      </c>
      <c r="BV1" t="s">
        <v>1268</v>
      </c>
      <c r="BW1" t="s">
        <v>1285</v>
      </c>
      <c r="BX1" t="s">
        <v>1286</v>
      </c>
      <c r="BY1" t="s">
        <v>1271</v>
      </c>
      <c r="BZ1" t="s">
        <v>1272</v>
      </c>
      <c r="CA1" t="s">
        <v>1273</v>
      </c>
      <c r="CB1" t="s">
        <v>1274</v>
      </c>
      <c r="CC1" t="s">
        <v>1275</v>
      </c>
      <c r="CD1" t="s">
        <v>1276</v>
      </c>
      <c r="CE1" t="s">
        <v>1277</v>
      </c>
      <c r="CF1" t="s">
        <v>1278</v>
      </c>
      <c r="CG1" t="s">
        <v>1279</v>
      </c>
      <c r="CH1" t="s">
        <v>1280</v>
      </c>
      <c r="CI1" t="s">
        <v>1281</v>
      </c>
      <c r="CJ1" t="s">
        <v>1282</v>
      </c>
      <c r="CK1" t="s">
        <v>1283</v>
      </c>
      <c r="CL1" t="s">
        <v>1284</v>
      </c>
    </row>
    <row r="2" spans="1:90" x14ac:dyDescent="0.45">
      <c r="A2" t="s">
        <v>695</v>
      </c>
      <c r="B2">
        <v>1641524400</v>
      </c>
      <c r="C2" t="s">
        <v>406</v>
      </c>
      <c r="D2" t="s">
        <v>65</v>
      </c>
      <c r="E2" t="s">
        <v>66</v>
      </c>
      <c r="F2" t="s">
        <v>91</v>
      </c>
      <c r="G2" t="s">
        <v>84</v>
      </c>
      <c r="H2" t="s">
        <v>108</v>
      </c>
      <c r="I2">
        <v>0.4</v>
      </c>
      <c r="J2">
        <v>0.40047395532517466</v>
      </c>
      <c r="K2">
        <v>0.29780982104048698</v>
      </c>
      <c r="L2">
        <v>0.30171622363433831</v>
      </c>
      <c r="M2">
        <v>1</v>
      </c>
      <c r="N2">
        <v>0.75</v>
      </c>
      <c r="O2">
        <v>0.88</v>
      </c>
      <c r="P2">
        <v>1.1100000000000001</v>
      </c>
      <c r="Q2">
        <v>1.42</v>
      </c>
      <c r="R2" t="s">
        <v>1351</v>
      </c>
      <c r="S2">
        <v>0</v>
      </c>
      <c r="T2">
        <v>2</v>
      </c>
      <c r="U2">
        <v>2</v>
      </c>
      <c r="V2">
        <v>0</v>
      </c>
      <c r="W2">
        <v>0</v>
      </c>
      <c r="X2">
        <v>0</v>
      </c>
      <c r="Z2" t="s">
        <v>407</v>
      </c>
      <c r="AA2">
        <v>2</v>
      </c>
      <c r="AB2">
        <v>11</v>
      </c>
      <c r="AC2">
        <v>4</v>
      </c>
      <c r="AD2">
        <v>0</v>
      </c>
      <c r="AE2">
        <v>2</v>
      </c>
      <c r="AF2">
        <v>0</v>
      </c>
      <c r="AG2">
        <v>2</v>
      </c>
      <c r="AH2">
        <v>2</v>
      </c>
      <c r="AI2">
        <v>1</v>
      </c>
      <c r="AJ2">
        <v>1</v>
      </c>
      <c r="AK2">
        <v>10</v>
      </c>
      <c r="AL2">
        <v>16</v>
      </c>
      <c r="AM2">
        <v>0</v>
      </c>
      <c r="AN2">
        <v>5</v>
      </c>
      <c r="AO2">
        <v>10</v>
      </c>
      <c r="AP2">
        <v>11</v>
      </c>
      <c r="AQ2">
        <v>13</v>
      </c>
      <c r="AR2">
        <v>13</v>
      </c>
      <c r="AS2">
        <v>47</v>
      </c>
      <c r="AT2">
        <v>53</v>
      </c>
      <c r="AU2">
        <v>0.97</v>
      </c>
      <c r="AV2">
        <v>1.79</v>
      </c>
      <c r="AW2">
        <v>2.88</v>
      </c>
      <c r="AX2">
        <v>57</v>
      </c>
      <c r="AY2">
        <v>82</v>
      </c>
      <c r="AZ2">
        <v>51</v>
      </c>
      <c r="BA2">
        <v>25</v>
      </c>
      <c r="BB2">
        <v>19</v>
      </c>
      <c r="BC2">
        <v>38</v>
      </c>
      <c r="BD2">
        <v>82</v>
      </c>
      <c r="BE2">
        <v>25</v>
      </c>
      <c r="BF2">
        <v>94</v>
      </c>
      <c r="BG2">
        <v>9.5</v>
      </c>
      <c r="BH2">
        <v>4.63</v>
      </c>
      <c r="BI2">
        <v>2.42</v>
      </c>
      <c r="BJ2">
        <v>3.22</v>
      </c>
      <c r="BK2">
        <v>3.18</v>
      </c>
      <c r="BL2">
        <v>1.2749185170693123E-2</v>
      </c>
      <c r="BM2">
        <v>1.4</v>
      </c>
      <c r="BN2">
        <v>2.2000000000000002</v>
      </c>
      <c r="BO2">
        <v>4.33</v>
      </c>
      <c r="BP2">
        <v>7.5</v>
      </c>
      <c r="BQ2">
        <v>1.91</v>
      </c>
      <c r="BR2">
        <v>1.8</v>
      </c>
      <c r="BS2" t="s">
        <v>144</v>
      </c>
      <c r="BT2">
        <v>1.5181603563290151</v>
      </c>
      <c r="BU2">
        <v>1.1952730370775513</v>
      </c>
      <c r="BV2">
        <v>2.4956155335383219</v>
      </c>
      <c r="BW2">
        <v>1.344038264434575</v>
      </c>
      <c r="BX2">
        <v>1.1515772691037469</v>
      </c>
      <c r="BY2">
        <v>0.59936225942375587</v>
      </c>
      <c r="BZ2">
        <v>0.50723152260562576</v>
      </c>
      <c r="CA2">
        <v>11.99278846153846</v>
      </c>
      <c r="CB2">
        <v>10.0277534965035</v>
      </c>
      <c r="CC2">
        <v>5.2857459543338514</v>
      </c>
      <c r="CD2">
        <v>4.4067834183107957</v>
      </c>
      <c r="CE2">
        <v>6.7070425072046085</v>
      </c>
      <c r="CF2">
        <v>5.6209700781927046</v>
      </c>
      <c r="CG2">
        <v>13.04463690872752</v>
      </c>
      <c r="CH2">
        <v>13.49811236953142</v>
      </c>
      <c r="CI2">
        <v>1.5836526181353769</v>
      </c>
      <c r="CJ2">
        <v>1.8744146445295871</v>
      </c>
      <c r="CK2">
        <v>8.5994040017028525E-2</v>
      </c>
      <c r="CL2">
        <v>0.13452532992762881</v>
      </c>
    </row>
    <row r="3" spans="1:90" x14ac:dyDescent="0.45">
      <c r="A3" t="s">
        <v>695</v>
      </c>
      <c r="B3">
        <v>1641603600</v>
      </c>
      <c r="C3" t="s">
        <v>408</v>
      </c>
      <c r="D3" t="s">
        <v>65</v>
      </c>
      <c r="E3" t="s">
        <v>66</v>
      </c>
      <c r="F3" t="s">
        <v>78</v>
      </c>
      <c r="G3" t="s">
        <v>72</v>
      </c>
      <c r="H3" t="s">
        <v>98</v>
      </c>
      <c r="I3">
        <v>0.38</v>
      </c>
      <c r="J3">
        <v>0.37551405395208454</v>
      </c>
      <c r="K3">
        <v>0.29809469911337483</v>
      </c>
      <c r="L3">
        <v>0.32639124693454064</v>
      </c>
      <c r="M3">
        <v>1</v>
      </c>
      <c r="N3">
        <v>1.38</v>
      </c>
      <c r="O3">
        <v>0.89</v>
      </c>
      <c r="P3">
        <v>0.88</v>
      </c>
      <c r="Q3">
        <v>1.28</v>
      </c>
      <c r="R3" t="s">
        <v>1352</v>
      </c>
      <c r="S3">
        <v>2</v>
      </c>
      <c r="T3">
        <v>1</v>
      </c>
      <c r="U3">
        <v>3</v>
      </c>
      <c r="V3">
        <v>1</v>
      </c>
      <c r="W3">
        <v>1</v>
      </c>
      <c r="X3">
        <v>0</v>
      </c>
      <c r="Y3" t="s">
        <v>409</v>
      </c>
      <c r="Z3">
        <v>47</v>
      </c>
      <c r="AA3">
        <v>1</v>
      </c>
      <c r="AB3">
        <v>10</v>
      </c>
      <c r="AC3">
        <v>6</v>
      </c>
      <c r="AD3">
        <v>0</v>
      </c>
      <c r="AE3">
        <v>4</v>
      </c>
      <c r="AF3">
        <v>1</v>
      </c>
      <c r="AG3">
        <v>1</v>
      </c>
      <c r="AH3">
        <v>5</v>
      </c>
      <c r="AI3">
        <v>2</v>
      </c>
      <c r="AJ3">
        <v>3</v>
      </c>
      <c r="AK3">
        <v>12</v>
      </c>
      <c r="AL3">
        <v>15</v>
      </c>
      <c r="AM3">
        <v>4</v>
      </c>
      <c r="AN3">
        <v>6</v>
      </c>
      <c r="AO3">
        <v>8</v>
      </c>
      <c r="AP3">
        <v>9</v>
      </c>
      <c r="AQ3">
        <v>22</v>
      </c>
      <c r="AR3">
        <v>16</v>
      </c>
      <c r="AS3">
        <v>36</v>
      </c>
      <c r="AT3">
        <v>64</v>
      </c>
      <c r="AU3">
        <v>1.24</v>
      </c>
      <c r="AV3">
        <v>1.67</v>
      </c>
      <c r="AW3">
        <v>2.19</v>
      </c>
      <c r="AX3">
        <v>48</v>
      </c>
      <c r="AY3">
        <v>71</v>
      </c>
      <c r="AZ3">
        <v>47</v>
      </c>
      <c r="BA3">
        <v>13</v>
      </c>
      <c r="BB3">
        <v>0</v>
      </c>
      <c r="BC3">
        <v>37</v>
      </c>
      <c r="BD3">
        <v>71</v>
      </c>
      <c r="BE3">
        <v>35</v>
      </c>
      <c r="BF3">
        <v>64</v>
      </c>
      <c r="BG3">
        <v>8.17</v>
      </c>
      <c r="BH3">
        <v>4.8099999999999996</v>
      </c>
      <c r="BI3">
        <v>2.5</v>
      </c>
      <c r="BJ3">
        <v>3.1</v>
      </c>
      <c r="BK3">
        <v>2.85</v>
      </c>
      <c r="BL3">
        <v>2.4485946047915503E-2</v>
      </c>
      <c r="BM3">
        <v>1.42</v>
      </c>
      <c r="BN3">
        <v>2.2200000000000002</v>
      </c>
      <c r="BO3">
        <v>4.5</v>
      </c>
      <c r="BP3">
        <v>7.5</v>
      </c>
      <c r="BQ3">
        <v>2</v>
      </c>
      <c r="BR3">
        <v>1.8</v>
      </c>
      <c r="BS3" t="s">
        <v>82</v>
      </c>
      <c r="BT3">
        <v>1.464160929441638</v>
      </c>
      <c r="BU3">
        <v>1.2477119808919459</v>
      </c>
      <c r="BV3">
        <v>2.4900895140664963</v>
      </c>
      <c r="BW3">
        <v>1.330562659846547</v>
      </c>
      <c r="BX3">
        <v>1.1595268542199491</v>
      </c>
      <c r="BY3">
        <v>0.59053607588191415</v>
      </c>
      <c r="BZ3">
        <v>0.50069274219332838</v>
      </c>
      <c r="CA3">
        <v>11.79715236686391</v>
      </c>
      <c r="CB3">
        <v>10.317122781065089</v>
      </c>
      <c r="CC3">
        <v>5.0637025966747622</v>
      </c>
      <c r="CD3">
        <v>4.4674014571268454</v>
      </c>
      <c r="CE3">
        <v>6.7334497701891483</v>
      </c>
      <c r="CF3">
        <v>5.849721323938244</v>
      </c>
      <c r="CG3">
        <v>12.89644194756554</v>
      </c>
      <c r="CH3">
        <v>13.3434456928839</v>
      </c>
      <c r="CI3">
        <v>1.6144382124117971</v>
      </c>
      <c r="CJ3">
        <v>1.9032024606477289</v>
      </c>
      <c r="CK3">
        <v>9.372172969060974E-2</v>
      </c>
      <c r="CL3">
        <v>0.11669983716301791</v>
      </c>
    </row>
    <row r="4" spans="1:90" x14ac:dyDescent="0.45">
      <c r="A4" t="s">
        <v>695</v>
      </c>
      <c r="B4">
        <v>1641610800</v>
      </c>
      <c r="C4" t="s">
        <v>410</v>
      </c>
      <c r="D4" t="s">
        <v>65</v>
      </c>
      <c r="E4" t="s">
        <v>66</v>
      </c>
      <c r="F4" t="s">
        <v>102</v>
      </c>
      <c r="G4" t="s">
        <v>68</v>
      </c>
      <c r="H4" t="s">
        <v>103</v>
      </c>
      <c r="I4">
        <v>0.3</v>
      </c>
      <c r="J4">
        <v>0.30954491725768324</v>
      </c>
      <c r="K4">
        <v>0.28871158392434992</v>
      </c>
      <c r="L4">
        <v>0.40174349881796695</v>
      </c>
      <c r="M4">
        <v>1</v>
      </c>
      <c r="N4">
        <v>1.45</v>
      </c>
      <c r="O4">
        <v>1.44</v>
      </c>
      <c r="P4">
        <v>1.38</v>
      </c>
      <c r="Q4">
        <v>1.53</v>
      </c>
      <c r="R4" t="s">
        <v>1348</v>
      </c>
      <c r="S4">
        <v>1</v>
      </c>
      <c r="T4">
        <v>1</v>
      </c>
      <c r="U4">
        <v>2</v>
      </c>
      <c r="V4">
        <v>2</v>
      </c>
      <c r="W4">
        <v>1</v>
      </c>
      <c r="X4">
        <v>1</v>
      </c>
      <c r="Y4">
        <v>45</v>
      </c>
      <c r="Z4">
        <v>1</v>
      </c>
      <c r="AA4">
        <v>12</v>
      </c>
      <c r="AB4">
        <v>3</v>
      </c>
      <c r="AC4">
        <v>4</v>
      </c>
      <c r="AD4">
        <v>0</v>
      </c>
      <c r="AE4">
        <v>2</v>
      </c>
      <c r="AF4">
        <v>1</v>
      </c>
      <c r="AG4">
        <v>1</v>
      </c>
      <c r="AH4">
        <v>3</v>
      </c>
      <c r="AI4">
        <v>3</v>
      </c>
      <c r="AJ4">
        <v>0</v>
      </c>
      <c r="AK4">
        <v>26</v>
      </c>
      <c r="AL4">
        <v>9</v>
      </c>
      <c r="AM4">
        <v>4</v>
      </c>
      <c r="AN4">
        <v>4</v>
      </c>
      <c r="AO4">
        <v>22</v>
      </c>
      <c r="AP4">
        <v>5</v>
      </c>
      <c r="AQ4">
        <v>16</v>
      </c>
      <c r="AR4">
        <v>8</v>
      </c>
      <c r="AS4">
        <v>68</v>
      </c>
      <c r="AT4">
        <v>32</v>
      </c>
      <c r="AU4">
        <v>2.31</v>
      </c>
      <c r="AV4">
        <v>1.1100000000000001</v>
      </c>
      <c r="AW4">
        <v>2.0299999999999998</v>
      </c>
      <c r="AX4">
        <v>56</v>
      </c>
      <c r="AY4">
        <v>65</v>
      </c>
      <c r="AZ4">
        <v>35</v>
      </c>
      <c r="BA4">
        <v>15</v>
      </c>
      <c r="BB4">
        <v>0</v>
      </c>
      <c r="BC4">
        <v>40</v>
      </c>
      <c r="BD4">
        <v>56</v>
      </c>
      <c r="BE4">
        <v>24</v>
      </c>
      <c r="BF4">
        <v>74</v>
      </c>
      <c r="BG4">
        <v>8.91</v>
      </c>
      <c r="BH4">
        <v>5.14</v>
      </c>
      <c r="BI4">
        <v>3</v>
      </c>
      <c r="BJ4">
        <v>3.2</v>
      </c>
      <c r="BK4">
        <v>2.35</v>
      </c>
      <c r="BL4">
        <v>2.3788416075650076E-2</v>
      </c>
      <c r="BM4">
        <v>1.42</v>
      </c>
      <c r="BN4">
        <v>2.25</v>
      </c>
      <c r="BO4">
        <v>4.33</v>
      </c>
      <c r="BP4">
        <v>7.5</v>
      </c>
      <c r="BQ4">
        <v>1.91</v>
      </c>
      <c r="BR4">
        <v>1.8</v>
      </c>
      <c r="BS4" t="s">
        <v>124</v>
      </c>
      <c r="BT4">
        <v>1.2142445227270171</v>
      </c>
      <c r="BU4">
        <v>1.4993969533036628</v>
      </c>
      <c r="BV4">
        <v>2.5726407816919519</v>
      </c>
      <c r="BW4">
        <v>1.1805091283106199</v>
      </c>
      <c r="BX4">
        <v>1.3921316533813319</v>
      </c>
      <c r="BY4">
        <v>0.5209673269873939</v>
      </c>
      <c r="BZ4">
        <v>0.61847182917417032</v>
      </c>
      <c r="CA4">
        <v>11.149200710479571</v>
      </c>
      <c r="CB4">
        <v>11.444049733570161</v>
      </c>
      <c r="CC4">
        <v>4.5257270693512304</v>
      </c>
      <c r="CD4">
        <v>4.8465324384787474</v>
      </c>
      <c r="CE4">
        <v>6.6234736411283404</v>
      </c>
      <c r="CF4">
        <v>6.5975172950914134</v>
      </c>
      <c r="CG4">
        <v>12.90081154192967</v>
      </c>
      <c r="CH4">
        <v>13.00360685302074</v>
      </c>
      <c r="CI4">
        <v>1.7502145922746779</v>
      </c>
      <c r="CJ4">
        <v>1.831402831402831</v>
      </c>
      <c r="CK4">
        <v>9.6525096525096526E-2</v>
      </c>
      <c r="CL4">
        <v>0.1244101244101244</v>
      </c>
    </row>
    <row r="5" spans="1:90" x14ac:dyDescent="0.45">
      <c r="A5" t="s">
        <v>695</v>
      </c>
      <c r="B5">
        <v>1641690360</v>
      </c>
      <c r="C5" t="s">
        <v>411</v>
      </c>
      <c r="D5" t="s">
        <v>65</v>
      </c>
      <c r="E5" t="s">
        <v>66</v>
      </c>
      <c r="F5" t="s">
        <v>101</v>
      </c>
      <c r="G5" t="s">
        <v>67</v>
      </c>
      <c r="H5" t="s">
        <v>171</v>
      </c>
      <c r="I5">
        <v>0.64</v>
      </c>
      <c r="J5">
        <v>0.6365528824545218</v>
      </c>
      <c r="K5">
        <v>0.22962647552811488</v>
      </c>
      <c r="L5">
        <v>0.13382064201736338</v>
      </c>
      <c r="M5">
        <v>1</v>
      </c>
      <c r="N5">
        <v>1.67</v>
      </c>
      <c r="O5">
        <v>0.44</v>
      </c>
      <c r="P5">
        <v>1.79</v>
      </c>
      <c r="Q5">
        <v>0.65</v>
      </c>
      <c r="R5" t="s">
        <v>1348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AA5">
        <v>9</v>
      </c>
      <c r="AB5">
        <v>1</v>
      </c>
      <c r="AC5">
        <v>1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1</v>
      </c>
      <c r="AK5">
        <v>26</v>
      </c>
      <c r="AL5">
        <v>10</v>
      </c>
      <c r="AM5">
        <v>9</v>
      </c>
      <c r="AN5">
        <v>4</v>
      </c>
      <c r="AO5">
        <v>17</v>
      </c>
      <c r="AP5">
        <v>6</v>
      </c>
      <c r="AQ5">
        <v>10</v>
      </c>
      <c r="AR5">
        <v>17</v>
      </c>
      <c r="AS5">
        <v>62</v>
      </c>
      <c r="AT5">
        <v>38</v>
      </c>
      <c r="AU5">
        <v>2.71</v>
      </c>
      <c r="AV5">
        <v>1.1200000000000001</v>
      </c>
      <c r="AW5">
        <v>1.62</v>
      </c>
      <c r="AX5">
        <v>28</v>
      </c>
      <c r="AY5">
        <v>62</v>
      </c>
      <c r="AZ5">
        <v>17</v>
      </c>
      <c r="BA5">
        <v>6</v>
      </c>
      <c r="BB5">
        <v>0</v>
      </c>
      <c r="BC5">
        <v>0</v>
      </c>
      <c r="BD5">
        <v>50</v>
      </c>
      <c r="BE5">
        <v>33</v>
      </c>
      <c r="BF5">
        <v>73</v>
      </c>
      <c r="BG5">
        <v>9.11</v>
      </c>
      <c r="BH5">
        <v>5.22</v>
      </c>
      <c r="BI5">
        <v>1.5</v>
      </c>
      <c r="BJ5">
        <v>3.85</v>
      </c>
      <c r="BK5">
        <v>6.1</v>
      </c>
      <c r="BL5">
        <v>3.0113784212144834E-2</v>
      </c>
      <c r="BM5">
        <v>1.36</v>
      </c>
      <c r="BN5">
        <v>2.0499999999999998</v>
      </c>
      <c r="BO5">
        <v>3.75</v>
      </c>
      <c r="BP5">
        <v>6.5</v>
      </c>
      <c r="BQ5">
        <v>2.1</v>
      </c>
      <c r="BR5">
        <v>1.67</v>
      </c>
      <c r="BS5" t="s">
        <v>104</v>
      </c>
      <c r="BT5">
        <v>2.1745910991837163</v>
      </c>
      <c r="BU5">
        <v>0.59796358565236019</v>
      </c>
      <c r="BV5">
        <v>2.8343749999999996</v>
      </c>
      <c r="BW5">
        <v>1.980803571428571</v>
      </c>
      <c r="BX5">
        <v>0.85357142857142854</v>
      </c>
      <c r="BY5">
        <v>0.8683035714285714</v>
      </c>
      <c r="BZ5">
        <v>0.36607142857142849</v>
      </c>
      <c r="CA5">
        <v>15.03980099502488</v>
      </c>
      <c r="CB5">
        <v>8.6326699834162515</v>
      </c>
      <c r="CC5">
        <v>6.5189234650967203</v>
      </c>
      <c r="CD5">
        <v>3.4507989907485279</v>
      </c>
      <c r="CE5">
        <v>8.5208775299281605</v>
      </c>
      <c r="CF5">
        <v>5.181870992667724</v>
      </c>
      <c r="CG5">
        <v>12.48566610455312</v>
      </c>
      <c r="CH5">
        <v>13.573355817875211</v>
      </c>
      <c r="CI5">
        <v>1.395273023634882</v>
      </c>
      <c r="CJ5">
        <v>2.0586797066014668</v>
      </c>
      <c r="CK5">
        <v>6.8459657701711488E-2</v>
      </c>
      <c r="CL5">
        <v>0.12713936430317849</v>
      </c>
    </row>
    <row r="6" spans="1:90" x14ac:dyDescent="0.45">
      <c r="A6" t="s">
        <v>695</v>
      </c>
      <c r="B6">
        <v>1641697200</v>
      </c>
      <c r="C6" t="s">
        <v>412</v>
      </c>
      <c r="D6" t="s">
        <v>65</v>
      </c>
      <c r="E6" t="s">
        <v>66</v>
      </c>
      <c r="F6" t="s">
        <v>112</v>
      </c>
      <c r="G6" t="s">
        <v>106</v>
      </c>
      <c r="H6" t="s">
        <v>66</v>
      </c>
      <c r="I6">
        <v>0.64</v>
      </c>
      <c r="J6">
        <v>0.64209720648479041</v>
      </c>
      <c r="K6">
        <v>0.23069652662773465</v>
      </c>
      <c r="L6">
        <v>0.12720626688747494</v>
      </c>
      <c r="M6">
        <v>1</v>
      </c>
      <c r="N6">
        <v>1.33</v>
      </c>
      <c r="O6">
        <v>0.63</v>
      </c>
      <c r="P6">
        <v>1.25</v>
      </c>
      <c r="Q6">
        <v>0.53</v>
      </c>
      <c r="R6" t="s">
        <v>1352</v>
      </c>
      <c r="S6">
        <v>2</v>
      </c>
      <c r="T6">
        <v>0</v>
      </c>
      <c r="U6">
        <v>2</v>
      </c>
      <c r="V6">
        <v>1</v>
      </c>
      <c r="W6">
        <v>1</v>
      </c>
      <c r="X6">
        <v>0</v>
      </c>
      <c r="Y6" t="s">
        <v>413</v>
      </c>
      <c r="AA6">
        <v>4</v>
      </c>
      <c r="AB6">
        <v>4</v>
      </c>
      <c r="AC6">
        <v>2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9</v>
      </c>
      <c r="AL6">
        <v>14</v>
      </c>
      <c r="AM6">
        <v>3</v>
      </c>
      <c r="AN6">
        <v>4</v>
      </c>
      <c r="AO6">
        <v>6</v>
      </c>
      <c r="AP6">
        <v>10</v>
      </c>
      <c r="AQ6">
        <v>13</v>
      </c>
      <c r="AR6">
        <v>10</v>
      </c>
      <c r="AS6">
        <v>43</v>
      </c>
      <c r="AT6">
        <v>57</v>
      </c>
      <c r="AU6">
        <v>0.99</v>
      </c>
      <c r="AV6">
        <v>1.46</v>
      </c>
      <c r="AW6">
        <v>2.72</v>
      </c>
      <c r="AX6">
        <v>60</v>
      </c>
      <c r="AY6">
        <v>95</v>
      </c>
      <c r="AZ6">
        <v>42</v>
      </c>
      <c r="BA6">
        <v>24</v>
      </c>
      <c r="BB6">
        <v>12</v>
      </c>
      <c r="BC6">
        <v>29</v>
      </c>
      <c r="BD6">
        <v>82</v>
      </c>
      <c r="BE6">
        <v>42</v>
      </c>
      <c r="BF6">
        <v>83</v>
      </c>
      <c r="BG6">
        <v>7.22</v>
      </c>
      <c r="BH6">
        <v>4.8600000000000003</v>
      </c>
      <c r="BI6">
        <v>1.49</v>
      </c>
      <c r="BJ6">
        <v>3.85</v>
      </c>
      <c r="BK6">
        <v>6.4</v>
      </c>
      <c r="BL6">
        <v>2.9043733112525061E-2</v>
      </c>
      <c r="BM6">
        <v>1.3</v>
      </c>
      <c r="BN6">
        <v>2.04</v>
      </c>
      <c r="BO6">
        <v>3.5</v>
      </c>
      <c r="BP6">
        <v>6.5</v>
      </c>
      <c r="BQ6">
        <v>2</v>
      </c>
      <c r="BR6">
        <v>1.73</v>
      </c>
      <c r="BS6" t="s">
        <v>116</v>
      </c>
      <c r="BT6">
        <v>2.1745910991837163</v>
      </c>
      <c r="BU6">
        <v>0.59796358565236019</v>
      </c>
      <c r="BV6">
        <v>2.8343749999999996</v>
      </c>
      <c r="BW6">
        <v>1.980803571428571</v>
      </c>
      <c r="BX6">
        <v>0.85357142857142854</v>
      </c>
      <c r="BY6">
        <v>0.8683035714285714</v>
      </c>
      <c r="BZ6">
        <v>0.36607142857142849</v>
      </c>
      <c r="CA6">
        <v>15.03980099502488</v>
      </c>
      <c r="CB6">
        <v>8.6326699834162515</v>
      </c>
      <c r="CC6">
        <v>6.5189234650967203</v>
      </c>
      <c r="CD6">
        <v>3.4507989907485279</v>
      </c>
      <c r="CE6">
        <v>8.5208775299281605</v>
      </c>
      <c r="CF6">
        <v>5.181870992667724</v>
      </c>
      <c r="CG6">
        <v>12.48566610455312</v>
      </c>
      <c r="CH6">
        <v>13.573355817875211</v>
      </c>
      <c r="CI6">
        <v>1.395273023634882</v>
      </c>
      <c r="CJ6">
        <v>2.0586797066014668</v>
      </c>
      <c r="CK6">
        <v>6.8459657701711488E-2</v>
      </c>
      <c r="CL6">
        <v>0.12713936430317849</v>
      </c>
    </row>
    <row r="7" spans="1:90" x14ac:dyDescent="0.45">
      <c r="A7" t="s">
        <v>695</v>
      </c>
      <c r="B7">
        <v>1641772800</v>
      </c>
      <c r="C7" t="s">
        <v>414</v>
      </c>
      <c r="D7" t="s">
        <v>65</v>
      </c>
      <c r="E7" t="s">
        <v>66</v>
      </c>
      <c r="F7" t="s">
        <v>90</v>
      </c>
      <c r="G7" t="s">
        <v>113</v>
      </c>
      <c r="H7" t="s">
        <v>158</v>
      </c>
      <c r="I7">
        <v>0.52</v>
      </c>
      <c r="J7">
        <v>0.52377946127946129</v>
      </c>
      <c r="K7">
        <v>0.28072390572390571</v>
      </c>
      <c r="L7">
        <v>0.19549663299663297</v>
      </c>
      <c r="M7">
        <v>1</v>
      </c>
      <c r="N7">
        <v>1.38</v>
      </c>
      <c r="O7">
        <v>0.63</v>
      </c>
      <c r="P7">
        <v>1.47</v>
      </c>
      <c r="Q7">
        <v>0.72</v>
      </c>
      <c r="R7" t="s">
        <v>1352</v>
      </c>
      <c r="S7">
        <v>3</v>
      </c>
      <c r="T7">
        <v>0</v>
      </c>
      <c r="U7">
        <v>3</v>
      </c>
      <c r="V7">
        <v>3</v>
      </c>
      <c r="W7">
        <v>3</v>
      </c>
      <c r="X7">
        <v>0</v>
      </c>
      <c r="Y7" t="s">
        <v>415</v>
      </c>
      <c r="AA7">
        <v>3</v>
      </c>
      <c r="AB7">
        <v>4</v>
      </c>
      <c r="AC7">
        <v>1</v>
      </c>
      <c r="AD7">
        <v>0</v>
      </c>
      <c r="AE7">
        <v>2</v>
      </c>
      <c r="AF7">
        <v>0</v>
      </c>
      <c r="AG7">
        <v>0</v>
      </c>
      <c r="AH7">
        <v>1</v>
      </c>
      <c r="AI7">
        <v>1</v>
      </c>
      <c r="AJ7">
        <v>1</v>
      </c>
      <c r="AK7">
        <v>14</v>
      </c>
      <c r="AL7">
        <v>9</v>
      </c>
      <c r="AM7">
        <v>9</v>
      </c>
      <c r="AN7">
        <v>2</v>
      </c>
      <c r="AO7">
        <v>5</v>
      </c>
      <c r="AP7">
        <v>7</v>
      </c>
      <c r="AQ7">
        <v>17</v>
      </c>
      <c r="AR7">
        <v>12</v>
      </c>
      <c r="AS7">
        <v>61</v>
      </c>
      <c r="AT7">
        <v>39</v>
      </c>
      <c r="AU7">
        <v>1.99</v>
      </c>
      <c r="AV7">
        <v>1</v>
      </c>
      <c r="AW7">
        <v>2.2599999999999998</v>
      </c>
      <c r="AX7">
        <v>38</v>
      </c>
      <c r="AY7">
        <v>75</v>
      </c>
      <c r="AZ7">
        <v>44</v>
      </c>
      <c r="BA7">
        <v>13</v>
      </c>
      <c r="BB7">
        <v>0</v>
      </c>
      <c r="BC7">
        <v>13</v>
      </c>
      <c r="BD7">
        <v>82</v>
      </c>
      <c r="BE7">
        <v>44</v>
      </c>
      <c r="BF7">
        <v>76</v>
      </c>
      <c r="BG7">
        <v>7.76</v>
      </c>
      <c r="BH7">
        <v>5.01</v>
      </c>
      <c r="BI7">
        <v>1.8</v>
      </c>
      <c r="BJ7">
        <v>3.2</v>
      </c>
      <c r="BK7">
        <v>4.4000000000000004</v>
      </c>
      <c r="BL7">
        <v>3.1776094276094291E-2</v>
      </c>
      <c r="BM7">
        <v>0</v>
      </c>
      <c r="BN7">
        <v>2.29</v>
      </c>
      <c r="BO7">
        <v>0</v>
      </c>
      <c r="BP7">
        <v>0</v>
      </c>
      <c r="BQ7">
        <v>0</v>
      </c>
      <c r="BR7">
        <v>0</v>
      </c>
      <c r="BS7" t="s">
        <v>94</v>
      </c>
      <c r="BT7">
        <v>1.8614830167843088</v>
      </c>
      <c r="BU7">
        <v>0.87079851622593896</v>
      </c>
      <c r="BV7">
        <v>2.5967403582378576</v>
      </c>
      <c r="BW7">
        <v>1.625948039373891</v>
      </c>
      <c r="BX7">
        <v>0.97079231886396644</v>
      </c>
      <c r="BY7">
        <v>0.71433182698515174</v>
      </c>
      <c r="BZ7">
        <v>0.43011620400258233</v>
      </c>
      <c r="CA7">
        <v>13.39951055368614</v>
      </c>
      <c r="CB7">
        <v>9.4252064851636579</v>
      </c>
      <c r="CC7">
        <v>5.7628422023992618</v>
      </c>
      <c r="CD7">
        <v>3.9375576745616732</v>
      </c>
      <c r="CE7">
        <v>7.636668351286878</v>
      </c>
      <c r="CF7">
        <v>5.4876488106019847</v>
      </c>
      <c r="CG7">
        <v>12.460420531849101</v>
      </c>
      <c r="CH7">
        <v>13.44897959183673</v>
      </c>
      <c r="CI7">
        <v>1.462202380952381</v>
      </c>
      <c r="CJ7">
        <v>2.01547619047619</v>
      </c>
      <c r="CK7">
        <v>7.7380952380952384E-2</v>
      </c>
      <c r="CL7">
        <v>0.13754093480202439</v>
      </c>
    </row>
    <row r="8" spans="1:90" x14ac:dyDescent="0.45">
      <c r="A8" t="s">
        <v>695</v>
      </c>
      <c r="B8">
        <v>1641870000</v>
      </c>
      <c r="C8" t="s">
        <v>416</v>
      </c>
      <c r="D8" t="s">
        <v>65</v>
      </c>
      <c r="E8" t="s">
        <v>66</v>
      </c>
      <c r="F8" t="s">
        <v>96</v>
      </c>
      <c r="G8" t="s">
        <v>79</v>
      </c>
      <c r="H8" t="s">
        <v>114</v>
      </c>
      <c r="I8">
        <v>0.54</v>
      </c>
      <c r="J8">
        <v>0.54553850525717529</v>
      </c>
      <c r="K8">
        <v>0.24715828360329636</v>
      </c>
      <c r="L8">
        <v>0.20730321113952824</v>
      </c>
      <c r="M8">
        <v>1</v>
      </c>
      <c r="N8">
        <v>1.45</v>
      </c>
      <c r="O8">
        <v>1.22</v>
      </c>
      <c r="P8">
        <v>1.58</v>
      </c>
      <c r="Q8">
        <v>1.29</v>
      </c>
      <c r="R8" t="s">
        <v>1352</v>
      </c>
      <c r="S8">
        <v>5</v>
      </c>
      <c r="T8">
        <v>0</v>
      </c>
      <c r="U8">
        <v>5</v>
      </c>
      <c r="V8">
        <v>1</v>
      </c>
      <c r="W8">
        <v>1</v>
      </c>
      <c r="X8">
        <v>0</v>
      </c>
      <c r="Y8" t="s">
        <v>417</v>
      </c>
      <c r="AA8">
        <v>7</v>
      </c>
      <c r="AB8">
        <v>2</v>
      </c>
      <c r="AC8">
        <v>3</v>
      </c>
      <c r="AD8">
        <v>0</v>
      </c>
      <c r="AE8">
        <v>2</v>
      </c>
      <c r="AF8">
        <v>0</v>
      </c>
      <c r="AG8">
        <v>0</v>
      </c>
      <c r="AH8">
        <v>3</v>
      </c>
      <c r="AI8">
        <v>1</v>
      </c>
      <c r="AJ8">
        <v>1</v>
      </c>
      <c r="AK8">
        <v>28</v>
      </c>
      <c r="AL8">
        <v>5</v>
      </c>
      <c r="AM8">
        <v>14</v>
      </c>
      <c r="AN8">
        <v>3</v>
      </c>
      <c r="AO8">
        <v>14</v>
      </c>
      <c r="AP8">
        <v>2</v>
      </c>
      <c r="AQ8">
        <v>16</v>
      </c>
      <c r="AR8">
        <v>12</v>
      </c>
      <c r="AS8">
        <v>45</v>
      </c>
      <c r="AT8">
        <v>55</v>
      </c>
      <c r="AU8">
        <v>3.01</v>
      </c>
      <c r="AV8">
        <v>0.7</v>
      </c>
      <c r="AW8">
        <v>2.2200000000000002</v>
      </c>
      <c r="AX8">
        <v>30</v>
      </c>
      <c r="AY8">
        <v>62</v>
      </c>
      <c r="AZ8">
        <v>40</v>
      </c>
      <c r="BA8">
        <v>30</v>
      </c>
      <c r="BB8">
        <v>5</v>
      </c>
      <c r="BC8">
        <v>26</v>
      </c>
      <c r="BD8">
        <v>62</v>
      </c>
      <c r="BE8">
        <v>29</v>
      </c>
      <c r="BF8">
        <v>72</v>
      </c>
      <c r="BG8">
        <v>8.94</v>
      </c>
      <c r="BH8">
        <v>4.78</v>
      </c>
      <c r="BI8">
        <v>1.7</v>
      </c>
      <c r="BJ8">
        <v>3.45</v>
      </c>
      <c r="BK8">
        <v>4</v>
      </c>
      <c r="BL8">
        <v>4.2696788860471756E-2</v>
      </c>
      <c r="BM8">
        <v>1.36</v>
      </c>
      <c r="BN8">
        <v>1.78</v>
      </c>
      <c r="BO8">
        <v>4</v>
      </c>
      <c r="BP8">
        <v>7</v>
      </c>
      <c r="BQ8">
        <v>1.91</v>
      </c>
      <c r="BR8">
        <v>1.8</v>
      </c>
      <c r="BS8" t="s">
        <v>99</v>
      </c>
      <c r="BT8">
        <v>1.915666026436746</v>
      </c>
      <c r="BU8">
        <v>0.82283834599204153</v>
      </c>
      <c r="BV8">
        <v>2.6359702267612941</v>
      </c>
      <c r="BW8">
        <v>1.684957590444867</v>
      </c>
      <c r="BX8">
        <v>0.95101263631642718</v>
      </c>
      <c r="BY8">
        <v>0.72650164445213783</v>
      </c>
      <c r="BZ8">
        <v>0.42097974727367138</v>
      </c>
      <c r="CA8">
        <v>13.338806970509379</v>
      </c>
      <c r="CB8">
        <v>9.2530160857908843</v>
      </c>
      <c r="CC8">
        <v>5.9915081521739131</v>
      </c>
      <c r="CD8">
        <v>3.9772418478260869</v>
      </c>
      <c r="CE8">
        <v>7.3472988183354664</v>
      </c>
      <c r="CF8">
        <v>5.2757742379647974</v>
      </c>
      <c r="CG8">
        <v>12.59428182437032</v>
      </c>
      <c r="CH8">
        <v>13.577944179714089</v>
      </c>
      <c r="CI8">
        <v>1.4276913099870301</v>
      </c>
      <c r="CJ8">
        <v>1.940985732814527</v>
      </c>
      <c r="CK8">
        <v>8.0739299610894946E-2</v>
      </c>
      <c r="CL8">
        <v>0.12743190661478601</v>
      </c>
    </row>
    <row r="9" spans="1:90" x14ac:dyDescent="0.45">
      <c r="A9" t="s">
        <v>695</v>
      </c>
      <c r="B9">
        <v>1642039560</v>
      </c>
      <c r="C9" t="s">
        <v>418</v>
      </c>
      <c r="D9" t="s">
        <v>65</v>
      </c>
      <c r="E9" t="s">
        <v>66</v>
      </c>
      <c r="F9" t="s">
        <v>73</v>
      </c>
      <c r="G9" t="s">
        <v>107</v>
      </c>
      <c r="H9" t="s">
        <v>133</v>
      </c>
      <c r="I9">
        <v>0.46</v>
      </c>
      <c r="J9">
        <v>0.46258901570578476</v>
      </c>
      <c r="K9">
        <v>0.27090039996097937</v>
      </c>
      <c r="L9">
        <v>0.26651058433323577</v>
      </c>
      <c r="M9">
        <v>1</v>
      </c>
      <c r="N9">
        <v>1.64</v>
      </c>
      <c r="O9">
        <v>1.1000000000000001</v>
      </c>
      <c r="P9">
        <v>1.58</v>
      </c>
      <c r="Q9">
        <v>1.48</v>
      </c>
      <c r="R9" t="s">
        <v>1348</v>
      </c>
      <c r="S9">
        <v>1</v>
      </c>
      <c r="T9">
        <v>1</v>
      </c>
      <c r="U9">
        <v>2</v>
      </c>
      <c r="V9">
        <v>0</v>
      </c>
      <c r="W9">
        <v>0</v>
      </c>
      <c r="X9">
        <v>0</v>
      </c>
      <c r="Y9">
        <v>50</v>
      </c>
      <c r="Z9" t="s">
        <v>419</v>
      </c>
      <c r="AA9">
        <v>3</v>
      </c>
      <c r="AB9">
        <v>4</v>
      </c>
      <c r="AC9">
        <v>3</v>
      </c>
      <c r="AD9">
        <v>0</v>
      </c>
      <c r="AE9">
        <v>3</v>
      </c>
      <c r="AF9">
        <v>0</v>
      </c>
      <c r="AG9">
        <v>1</v>
      </c>
      <c r="AH9">
        <v>2</v>
      </c>
      <c r="AI9">
        <v>1</v>
      </c>
      <c r="AJ9">
        <v>2</v>
      </c>
      <c r="AK9">
        <v>10</v>
      </c>
      <c r="AL9">
        <v>16</v>
      </c>
      <c r="AM9">
        <v>6</v>
      </c>
      <c r="AN9">
        <v>5</v>
      </c>
      <c r="AO9">
        <v>4</v>
      </c>
      <c r="AP9">
        <v>11</v>
      </c>
      <c r="AQ9">
        <v>11</v>
      </c>
      <c r="AR9">
        <v>10</v>
      </c>
      <c r="AS9">
        <v>43</v>
      </c>
      <c r="AT9">
        <v>57</v>
      </c>
      <c r="AU9">
        <v>1.3</v>
      </c>
      <c r="AV9">
        <v>1.6</v>
      </c>
      <c r="AW9">
        <v>2.2599999999999998</v>
      </c>
      <c r="AX9">
        <v>58</v>
      </c>
      <c r="AY9">
        <v>82</v>
      </c>
      <c r="AZ9">
        <v>44</v>
      </c>
      <c r="BA9">
        <v>10</v>
      </c>
      <c r="BB9">
        <v>0</v>
      </c>
      <c r="BC9">
        <v>25</v>
      </c>
      <c r="BD9">
        <v>58</v>
      </c>
      <c r="BE9">
        <v>48</v>
      </c>
      <c r="BF9">
        <v>82</v>
      </c>
      <c r="BG9">
        <v>10.81</v>
      </c>
      <c r="BH9">
        <v>3.67</v>
      </c>
      <c r="BI9">
        <v>2.04</v>
      </c>
      <c r="BJ9">
        <v>3.35</v>
      </c>
      <c r="BK9">
        <v>3.4</v>
      </c>
      <c r="BL9">
        <v>2.7607062725587772E-2</v>
      </c>
      <c r="BM9">
        <v>1.4</v>
      </c>
      <c r="BN9">
        <v>2.15</v>
      </c>
      <c r="BO9">
        <v>4.2</v>
      </c>
      <c r="BP9">
        <v>8</v>
      </c>
      <c r="BQ9">
        <v>1.91</v>
      </c>
      <c r="BR9">
        <v>1.8</v>
      </c>
      <c r="BS9" t="s">
        <v>142</v>
      </c>
      <c r="BT9">
        <v>1.6955772349985931</v>
      </c>
      <c r="BU9">
        <v>1.0239029519551039</v>
      </c>
      <c r="BV9">
        <v>2.5405629139072849</v>
      </c>
      <c r="BW9">
        <v>1.4888836329233679</v>
      </c>
      <c r="BX9">
        <v>1.0516792809839171</v>
      </c>
      <c r="BY9">
        <v>0.64581362346263005</v>
      </c>
      <c r="BZ9">
        <v>0.45364238410596031</v>
      </c>
      <c r="CA9">
        <v>12.686892177589851</v>
      </c>
      <c r="CB9">
        <v>9.8059196617336148</v>
      </c>
      <c r="CC9">
        <v>5.3198121263877027</v>
      </c>
      <c r="CD9">
        <v>4.0954312553373189</v>
      </c>
      <c r="CE9">
        <v>7.3670800512021479</v>
      </c>
      <c r="CF9">
        <v>5.710488406396296</v>
      </c>
      <c r="CG9">
        <v>13.0488908033599</v>
      </c>
      <c r="CH9">
        <v>13.714839543398661</v>
      </c>
      <c r="CI9">
        <v>1.567523459812322</v>
      </c>
      <c r="CJ9">
        <v>1.951040391676867</v>
      </c>
      <c r="CK9">
        <v>8.3027335781313744E-2</v>
      </c>
      <c r="CL9">
        <v>0.13117095063239501</v>
      </c>
    </row>
    <row r="10" spans="1:90" x14ac:dyDescent="0.45">
      <c r="A10" t="s">
        <v>695</v>
      </c>
      <c r="B10">
        <v>1642208400</v>
      </c>
      <c r="C10" t="s">
        <v>420</v>
      </c>
      <c r="D10" t="s">
        <v>65</v>
      </c>
      <c r="E10" t="s">
        <v>66</v>
      </c>
      <c r="F10" t="s">
        <v>67</v>
      </c>
      <c r="G10" t="s">
        <v>96</v>
      </c>
      <c r="H10" t="s">
        <v>215</v>
      </c>
      <c r="I10">
        <v>0.34</v>
      </c>
      <c r="J10">
        <v>0.33580246913580247</v>
      </c>
      <c r="K10">
        <v>0.29876543209876544</v>
      </c>
      <c r="L10">
        <v>0.36543209876543215</v>
      </c>
      <c r="M10">
        <v>2</v>
      </c>
      <c r="N10">
        <v>1.38</v>
      </c>
      <c r="O10">
        <v>1.36</v>
      </c>
      <c r="P10">
        <v>1.24</v>
      </c>
      <c r="Q10">
        <v>1.1000000000000001</v>
      </c>
      <c r="R10" t="s">
        <v>1351</v>
      </c>
      <c r="S10">
        <v>1</v>
      </c>
      <c r="T10">
        <v>3</v>
      </c>
      <c r="U10">
        <v>4</v>
      </c>
      <c r="V10">
        <v>3</v>
      </c>
      <c r="W10">
        <v>1</v>
      </c>
      <c r="X10">
        <v>2</v>
      </c>
      <c r="Y10">
        <v>4</v>
      </c>
      <c r="Z10" t="s">
        <v>421</v>
      </c>
      <c r="AA10">
        <v>8</v>
      </c>
      <c r="AB10">
        <v>6</v>
      </c>
      <c r="AC10">
        <v>0</v>
      </c>
      <c r="AD10">
        <v>0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2</v>
      </c>
      <c r="AK10">
        <v>27</v>
      </c>
      <c r="AL10">
        <v>16</v>
      </c>
      <c r="AM10">
        <v>5</v>
      </c>
      <c r="AN10">
        <v>8</v>
      </c>
      <c r="AO10">
        <v>22</v>
      </c>
      <c r="AP10">
        <v>8</v>
      </c>
      <c r="AQ10">
        <v>7</v>
      </c>
      <c r="AR10">
        <v>7</v>
      </c>
      <c r="AS10">
        <v>44</v>
      </c>
      <c r="AT10">
        <v>56</v>
      </c>
      <c r="AU10">
        <v>2.39</v>
      </c>
      <c r="AV10">
        <v>1.82</v>
      </c>
      <c r="AW10">
        <v>2.17</v>
      </c>
      <c r="AX10">
        <v>40</v>
      </c>
      <c r="AY10">
        <v>66</v>
      </c>
      <c r="AZ10">
        <v>40</v>
      </c>
      <c r="BA10">
        <v>16</v>
      </c>
      <c r="BB10">
        <v>7</v>
      </c>
      <c r="BC10">
        <v>22</v>
      </c>
      <c r="BD10">
        <v>79</v>
      </c>
      <c r="BE10">
        <v>25</v>
      </c>
      <c r="BF10">
        <v>77</v>
      </c>
      <c r="BG10">
        <v>6.95</v>
      </c>
      <c r="BH10">
        <v>6.02</v>
      </c>
      <c r="BI10">
        <v>2.7</v>
      </c>
      <c r="BJ10">
        <v>3</v>
      </c>
      <c r="BK10">
        <v>2.5</v>
      </c>
      <c r="BL10">
        <v>3.4567901234567877E-2</v>
      </c>
      <c r="BM10">
        <v>1.42</v>
      </c>
      <c r="BN10">
        <v>2.2000000000000002</v>
      </c>
      <c r="BO10">
        <v>4.33</v>
      </c>
      <c r="BP10">
        <v>7.5</v>
      </c>
      <c r="BQ10">
        <v>1.95</v>
      </c>
      <c r="BR10">
        <v>1.8</v>
      </c>
      <c r="BS10" t="s">
        <v>70</v>
      </c>
      <c r="BT10">
        <v>1.3382439854569812</v>
      </c>
      <c r="BU10">
        <v>1.3740319615582339</v>
      </c>
      <c r="BV10">
        <v>2.5229727551184897</v>
      </c>
      <c r="BW10">
        <v>1.228921489601805</v>
      </c>
      <c r="BX10">
        <v>1.2940512655166849</v>
      </c>
      <c r="BY10">
        <v>0.53240890035472432</v>
      </c>
      <c r="BZ10">
        <v>0.56514027732989358</v>
      </c>
      <c r="CA10">
        <v>11.417888124439131</v>
      </c>
      <c r="CB10">
        <v>10.76308704756207</v>
      </c>
      <c r="CC10">
        <v>4.8317672021824798</v>
      </c>
      <c r="CD10">
        <v>4.6698999696877843</v>
      </c>
      <c r="CE10">
        <v>6.5861209222566508</v>
      </c>
      <c r="CF10">
        <v>6.093187077874286</v>
      </c>
      <c r="CG10">
        <v>12.685679611650491</v>
      </c>
      <c r="CH10">
        <v>13.02639563106796</v>
      </c>
      <c r="CI10">
        <v>1.6481211768132831</v>
      </c>
      <c r="CJ10">
        <v>1.8572676958928049</v>
      </c>
      <c r="CK10">
        <v>9.641712787649287E-2</v>
      </c>
      <c r="CL10">
        <v>0.11302068161957469</v>
      </c>
    </row>
    <row r="11" spans="1:90" x14ac:dyDescent="0.45">
      <c r="A11" t="s">
        <v>695</v>
      </c>
      <c r="B11">
        <v>1642215600</v>
      </c>
      <c r="C11" t="s">
        <v>422</v>
      </c>
      <c r="D11" t="s">
        <v>65</v>
      </c>
      <c r="E11" t="s">
        <v>66</v>
      </c>
      <c r="F11" t="s">
        <v>72</v>
      </c>
      <c r="G11" t="s">
        <v>101</v>
      </c>
      <c r="H11" t="s">
        <v>130</v>
      </c>
      <c r="I11">
        <v>0.28000000000000003</v>
      </c>
      <c r="J11">
        <v>0.28929851510496674</v>
      </c>
      <c r="K11">
        <v>0.29441884280593961</v>
      </c>
      <c r="L11">
        <v>0.41628264208909371</v>
      </c>
      <c r="M11">
        <v>2</v>
      </c>
      <c r="N11">
        <v>1.5</v>
      </c>
      <c r="O11">
        <v>1.0900000000000001</v>
      </c>
      <c r="P11">
        <v>1.24</v>
      </c>
      <c r="Q11">
        <v>1.05</v>
      </c>
      <c r="R11" t="s">
        <v>1351</v>
      </c>
      <c r="S11">
        <v>0</v>
      </c>
      <c r="T11">
        <v>4</v>
      </c>
      <c r="U11">
        <v>4</v>
      </c>
      <c r="V11">
        <v>3</v>
      </c>
      <c r="W11">
        <v>0</v>
      </c>
      <c r="X11">
        <v>3</v>
      </c>
      <c r="Z11" t="s">
        <v>423</v>
      </c>
      <c r="AA11">
        <v>5</v>
      </c>
      <c r="AB11">
        <v>4</v>
      </c>
      <c r="AC11">
        <v>1</v>
      </c>
      <c r="AD11">
        <v>0</v>
      </c>
      <c r="AE11">
        <v>2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6</v>
      </c>
      <c r="AL11">
        <v>22</v>
      </c>
      <c r="AM11">
        <v>5</v>
      </c>
      <c r="AN11">
        <v>9</v>
      </c>
      <c r="AO11">
        <v>1</v>
      </c>
      <c r="AP11">
        <v>13</v>
      </c>
      <c r="AQ11">
        <v>13</v>
      </c>
      <c r="AR11">
        <v>12</v>
      </c>
      <c r="AS11">
        <v>63</v>
      </c>
      <c r="AT11">
        <v>37</v>
      </c>
      <c r="AU11">
        <v>0.99</v>
      </c>
      <c r="AV11">
        <v>2.27</v>
      </c>
      <c r="AW11">
        <v>2.5299999999999998</v>
      </c>
      <c r="AX11">
        <v>54</v>
      </c>
      <c r="AY11">
        <v>79</v>
      </c>
      <c r="AZ11">
        <v>60</v>
      </c>
      <c r="BA11">
        <v>14</v>
      </c>
      <c r="BB11">
        <v>5</v>
      </c>
      <c r="BC11">
        <v>37</v>
      </c>
      <c r="BD11">
        <v>68</v>
      </c>
      <c r="BE11">
        <v>37</v>
      </c>
      <c r="BF11">
        <v>87</v>
      </c>
      <c r="BG11">
        <v>9.89</v>
      </c>
      <c r="BH11">
        <v>3.75</v>
      </c>
      <c r="BI11">
        <v>3.15</v>
      </c>
      <c r="BJ11">
        <v>3.1</v>
      </c>
      <c r="BK11">
        <v>2.25</v>
      </c>
      <c r="BL11">
        <v>2.8161802355350707E-2</v>
      </c>
      <c r="BM11">
        <v>1.36</v>
      </c>
      <c r="BN11">
        <v>2.0499999999999998</v>
      </c>
      <c r="BO11">
        <v>3.75</v>
      </c>
      <c r="BP11">
        <v>7</v>
      </c>
      <c r="BQ11">
        <v>1.83</v>
      </c>
      <c r="BR11">
        <v>1.9</v>
      </c>
      <c r="BS11" t="s">
        <v>76</v>
      </c>
      <c r="BT11">
        <v>1.1529533168233341</v>
      </c>
      <c r="BU11">
        <v>1.5628535554286829</v>
      </c>
      <c r="BV11">
        <v>2.5445607358071678</v>
      </c>
      <c r="BW11">
        <v>1.128766254360926</v>
      </c>
      <c r="BX11">
        <v>1.415794481446242</v>
      </c>
      <c r="BY11">
        <v>0.49635267998731369</v>
      </c>
      <c r="BZ11">
        <v>0.61084681255946716</v>
      </c>
      <c r="CA11">
        <v>11.04442036836403</v>
      </c>
      <c r="CB11">
        <v>11.38840736728061</v>
      </c>
      <c r="CC11">
        <v>4.5379574003276897</v>
      </c>
      <c r="CD11">
        <v>4.8481703986892413</v>
      </c>
      <c r="CE11">
        <v>6.5064629680363399</v>
      </c>
      <c r="CF11">
        <v>6.540236968591369</v>
      </c>
      <c r="CG11">
        <v>13.117582417582421</v>
      </c>
      <c r="CH11">
        <v>13.28241758241758</v>
      </c>
      <c r="CI11">
        <v>1.792592592592593</v>
      </c>
      <c r="CJ11">
        <v>1.806980433632998</v>
      </c>
      <c r="CK11">
        <v>0.1047065044949762</v>
      </c>
      <c r="CL11">
        <v>0.1073506081438392</v>
      </c>
    </row>
    <row r="12" spans="1:90" x14ac:dyDescent="0.45">
      <c r="A12" t="s">
        <v>695</v>
      </c>
      <c r="B12">
        <v>1642287600</v>
      </c>
      <c r="C12" t="s">
        <v>424</v>
      </c>
      <c r="D12" t="s">
        <v>65</v>
      </c>
      <c r="E12" t="s">
        <v>66</v>
      </c>
      <c r="F12" t="s">
        <v>97</v>
      </c>
      <c r="G12" t="s">
        <v>91</v>
      </c>
      <c r="H12" t="s">
        <v>175</v>
      </c>
      <c r="I12">
        <v>0.56000000000000005</v>
      </c>
      <c r="J12">
        <v>0.5518790849673203</v>
      </c>
      <c r="K12">
        <v>0.27614379084967317</v>
      </c>
      <c r="L12">
        <v>0.17197712418300654</v>
      </c>
      <c r="M12">
        <v>2</v>
      </c>
      <c r="N12">
        <v>1.5</v>
      </c>
      <c r="O12">
        <v>1.4</v>
      </c>
      <c r="P12">
        <v>1.55</v>
      </c>
      <c r="Q12">
        <v>1.25</v>
      </c>
      <c r="R12" t="s">
        <v>1352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64</v>
      </c>
      <c r="AA12">
        <v>6</v>
      </c>
      <c r="AB12">
        <v>2</v>
      </c>
      <c r="AC12">
        <v>3</v>
      </c>
      <c r="AD12">
        <v>0</v>
      </c>
      <c r="AE12">
        <v>2</v>
      </c>
      <c r="AF12">
        <v>0</v>
      </c>
      <c r="AG12">
        <v>1</v>
      </c>
      <c r="AH12">
        <v>2</v>
      </c>
      <c r="AI12">
        <v>1</v>
      </c>
      <c r="AJ12">
        <v>1</v>
      </c>
      <c r="AK12">
        <v>18</v>
      </c>
      <c r="AL12">
        <v>10</v>
      </c>
      <c r="AM12">
        <v>5</v>
      </c>
      <c r="AN12">
        <v>4</v>
      </c>
      <c r="AO12">
        <v>13</v>
      </c>
      <c r="AP12">
        <v>6</v>
      </c>
      <c r="AQ12">
        <v>16</v>
      </c>
      <c r="AR12">
        <v>10</v>
      </c>
      <c r="AS12">
        <v>48</v>
      </c>
      <c r="AT12">
        <v>52</v>
      </c>
      <c r="AU12">
        <v>1.92</v>
      </c>
      <c r="AV12">
        <v>1.19</v>
      </c>
      <c r="AW12">
        <v>1.76</v>
      </c>
      <c r="AX12">
        <v>34</v>
      </c>
      <c r="AY12">
        <v>55</v>
      </c>
      <c r="AZ12">
        <v>29</v>
      </c>
      <c r="BA12">
        <v>15</v>
      </c>
      <c r="BB12">
        <v>0</v>
      </c>
      <c r="BC12">
        <v>15</v>
      </c>
      <c r="BD12">
        <v>51</v>
      </c>
      <c r="BE12">
        <v>33</v>
      </c>
      <c r="BF12">
        <v>63</v>
      </c>
      <c r="BG12">
        <v>8.08</v>
      </c>
      <c r="BH12">
        <v>3.88</v>
      </c>
      <c r="BI12">
        <v>1.7</v>
      </c>
      <c r="BJ12">
        <v>3.2</v>
      </c>
      <c r="BK12">
        <v>4.8</v>
      </c>
      <c r="BL12">
        <v>3.6356209150326814E-2</v>
      </c>
      <c r="BM12">
        <v>1.4</v>
      </c>
      <c r="BN12">
        <v>2.25</v>
      </c>
      <c r="BO12">
        <v>4.33</v>
      </c>
      <c r="BP12">
        <v>7.5</v>
      </c>
      <c r="BQ12">
        <v>2.15</v>
      </c>
      <c r="BR12">
        <v>1.66</v>
      </c>
      <c r="BS12" t="s">
        <v>136</v>
      </c>
      <c r="BT12">
        <v>1.9673156855724254</v>
      </c>
      <c r="BU12">
        <v>0.77729484582409181</v>
      </c>
      <c r="BV12">
        <v>2.6892488954344627</v>
      </c>
      <c r="BW12">
        <v>1.7546812539448771</v>
      </c>
      <c r="BX12">
        <v>0.93456764148958549</v>
      </c>
      <c r="BY12">
        <v>0.77824531874605507</v>
      </c>
      <c r="BZ12">
        <v>0.41237113402061848</v>
      </c>
      <c r="CA12">
        <v>13.77153558052435</v>
      </c>
      <c r="CB12">
        <v>9.0445692883895124</v>
      </c>
      <c r="CC12">
        <v>6.0821292775665396</v>
      </c>
      <c r="CD12">
        <v>3.8201520912547529</v>
      </c>
      <c r="CE12">
        <v>7.6894063029578108</v>
      </c>
      <c r="CF12">
        <v>5.224417197134759</v>
      </c>
      <c r="CG12">
        <v>12.297605473204101</v>
      </c>
      <c r="CH12">
        <v>13.310908399847969</v>
      </c>
      <c r="CI12">
        <v>1.3713126843657819</v>
      </c>
      <c r="CJ12">
        <v>1.9516961651917399</v>
      </c>
      <c r="CK12">
        <v>6.6002949852507375E-2</v>
      </c>
      <c r="CL12">
        <v>0.1297935103244838</v>
      </c>
    </row>
    <row r="13" spans="1:90" x14ac:dyDescent="0.45">
      <c r="A13" t="s">
        <v>695</v>
      </c>
      <c r="B13">
        <v>1642294800</v>
      </c>
      <c r="C13" t="s">
        <v>425</v>
      </c>
      <c r="D13" t="s">
        <v>65</v>
      </c>
      <c r="E13" t="s">
        <v>66</v>
      </c>
      <c r="F13" t="s">
        <v>107</v>
      </c>
      <c r="G13" t="s">
        <v>102</v>
      </c>
      <c r="H13" t="s">
        <v>98</v>
      </c>
      <c r="I13">
        <v>0.56000000000000005</v>
      </c>
      <c r="J13">
        <v>0.56883761522936782</v>
      </c>
      <c r="K13">
        <v>0.25137729776905038</v>
      </c>
      <c r="L13">
        <v>0.17978508700158188</v>
      </c>
      <c r="M13">
        <v>2</v>
      </c>
      <c r="N13">
        <v>2.09</v>
      </c>
      <c r="O13">
        <v>1.33</v>
      </c>
      <c r="P13">
        <v>2</v>
      </c>
      <c r="Q13">
        <v>1.42</v>
      </c>
      <c r="R13" t="s">
        <v>1351</v>
      </c>
      <c r="S13">
        <v>0</v>
      </c>
      <c r="T13">
        <v>2</v>
      </c>
      <c r="U13">
        <v>2</v>
      </c>
      <c r="V13">
        <v>2</v>
      </c>
      <c r="W13">
        <v>0</v>
      </c>
      <c r="X13">
        <v>2</v>
      </c>
      <c r="Z13" t="s">
        <v>426</v>
      </c>
      <c r="AA13">
        <v>19</v>
      </c>
      <c r="AB13">
        <v>1</v>
      </c>
      <c r="AC13">
        <v>0</v>
      </c>
      <c r="AD13">
        <v>0</v>
      </c>
      <c r="AE13">
        <v>4</v>
      </c>
      <c r="AF13">
        <v>0</v>
      </c>
      <c r="AG13">
        <v>0</v>
      </c>
      <c r="AH13">
        <v>0</v>
      </c>
      <c r="AI13">
        <v>1</v>
      </c>
      <c r="AJ13">
        <v>3</v>
      </c>
      <c r="AK13">
        <v>23</v>
      </c>
      <c r="AL13">
        <v>10</v>
      </c>
      <c r="AM13">
        <v>12</v>
      </c>
      <c r="AN13">
        <v>4</v>
      </c>
      <c r="AO13">
        <v>11</v>
      </c>
      <c r="AP13">
        <v>6</v>
      </c>
      <c r="AQ13">
        <v>16</v>
      </c>
      <c r="AR13">
        <v>19</v>
      </c>
      <c r="AS13">
        <v>69</v>
      </c>
      <c r="AT13">
        <v>31</v>
      </c>
      <c r="AU13">
        <v>2.69</v>
      </c>
      <c r="AV13">
        <v>1.01</v>
      </c>
      <c r="AW13">
        <v>1.98</v>
      </c>
      <c r="AX13">
        <v>39</v>
      </c>
      <c r="AY13">
        <v>76</v>
      </c>
      <c r="AZ13">
        <v>28</v>
      </c>
      <c r="BA13">
        <v>5</v>
      </c>
      <c r="BB13">
        <v>0</v>
      </c>
      <c r="BC13">
        <v>9</v>
      </c>
      <c r="BD13">
        <v>54</v>
      </c>
      <c r="BE13">
        <v>40</v>
      </c>
      <c r="BF13">
        <v>86</v>
      </c>
      <c r="BG13">
        <v>9.27</v>
      </c>
      <c r="BH13">
        <v>5.78</v>
      </c>
      <c r="BI13">
        <v>1.68</v>
      </c>
      <c r="BJ13">
        <v>3.6</v>
      </c>
      <c r="BK13">
        <v>4.8499999999999996</v>
      </c>
      <c r="BL13">
        <v>2.6400480008727412E-2</v>
      </c>
      <c r="BM13">
        <v>1.38</v>
      </c>
      <c r="BN13">
        <v>2.15</v>
      </c>
      <c r="BO13">
        <v>4</v>
      </c>
      <c r="BP13">
        <v>7.5</v>
      </c>
      <c r="BQ13">
        <v>2.0499999999999998</v>
      </c>
      <c r="BR13">
        <v>1.72</v>
      </c>
      <c r="BS13" t="s">
        <v>161</v>
      </c>
      <c r="BT13">
        <v>1.9673156855724254</v>
      </c>
      <c r="BU13">
        <v>0.77729484582409181</v>
      </c>
      <c r="BV13">
        <v>2.6892488954344627</v>
      </c>
      <c r="BW13">
        <v>1.7546812539448771</v>
      </c>
      <c r="BX13">
        <v>0.93456764148958549</v>
      </c>
      <c r="BY13">
        <v>0.77824531874605507</v>
      </c>
      <c r="BZ13">
        <v>0.41237113402061848</v>
      </c>
      <c r="CA13">
        <v>13.77153558052435</v>
      </c>
      <c r="CB13">
        <v>9.0445692883895124</v>
      </c>
      <c r="CC13">
        <v>6.0821292775665396</v>
      </c>
      <c r="CD13">
        <v>3.8201520912547529</v>
      </c>
      <c r="CE13">
        <v>7.6894063029578108</v>
      </c>
      <c r="CF13">
        <v>5.224417197134759</v>
      </c>
      <c r="CG13">
        <v>12.297605473204101</v>
      </c>
      <c r="CH13">
        <v>13.310908399847969</v>
      </c>
      <c r="CI13">
        <v>1.3713126843657819</v>
      </c>
      <c r="CJ13">
        <v>1.9516961651917399</v>
      </c>
      <c r="CK13">
        <v>6.6002949852507375E-2</v>
      </c>
      <c r="CL13">
        <v>0.1297935103244838</v>
      </c>
    </row>
    <row r="14" spans="1:90" x14ac:dyDescent="0.45">
      <c r="A14" t="s">
        <v>695</v>
      </c>
      <c r="B14">
        <v>1642302000</v>
      </c>
      <c r="C14" t="s">
        <v>427</v>
      </c>
      <c r="D14" t="s">
        <v>65</v>
      </c>
      <c r="E14" t="s">
        <v>66</v>
      </c>
      <c r="F14" t="s">
        <v>112</v>
      </c>
      <c r="G14" t="s">
        <v>78</v>
      </c>
      <c r="H14" t="s">
        <v>165</v>
      </c>
      <c r="I14">
        <v>0.57999999999999996</v>
      </c>
      <c r="J14">
        <v>0.58690452332775223</v>
      </c>
      <c r="K14">
        <v>0.24738019355214078</v>
      </c>
      <c r="L14">
        <v>0.16571528312010705</v>
      </c>
      <c r="M14">
        <v>2</v>
      </c>
      <c r="N14">
        <v>1.5</v>
      </c>
      <c r="O14">
        <v>0.56000000000000005</v>
      </c>
      <c r="P14">
        <v>1.25</v>
      </c>
      <c r="Q14">
        <v>0.71</v>
      </c>
      <c r="R14" t="s">
        <v>1352</v>
      </c>
      <c r="S14">
        <v>1</v>
      </c>
      <c r="T14">
        <v>0</v>
      </c>
      <c r="U14">
        <v>1</v>
      </c>
      <c r="V14">
        <v>1</v>
      </c>
      <c r="W14">
        <v>1</v>
      </c>
      <c r="X14">
        <v>0</v>
      </c>
      <c r="Y14">
        <v>5</v>
      </c>
      <c r="AA14">
        <v>6</v>
      </c>
      <c r="AB14">
        <v>6</v>
      </c>
      <c r="AC14">
        <v>3</v>
      </c>
      <c r="AD14">
        <v>0</v>
      </c>
      <c r="AE14">
        <v>2</v>
      </c>
      <c r="AF14">
        <v>0</v>
      </c>
      <c r="AG14">
        <v>2</v>
      </c>
      <c r="AH14">
        <v>1</v>
      </c>
      <c r="AI14">
        <v>1</v>
      </c>
      <c r="AJ14">
        <v>1</v>
      </c>
      <c r="AK14">
        <v>12</v>
      </c>
      <c r="AL14">
        <v>12</v>
      </c>
      <c r="AM14">
        <v>4</v>
      </c>
      <c r="AN14">
        <v>3</v>
      </c>
      <c r="AO14">
        <v>8</v>
      </c>
      <c r="AP14">
        <v>9</v>
      </c>
      <c r="AQ14">
        <v>10</v>
      </c>
      <c r="AR14">
        <v>5</v>
      </c>
      <c r="AS14">
        <v>44</v>
      </c>
      <c r="AT14">
        <v>56</v>
      </c>
      <c r="AU14">
        <v>1.35</v>
      </c>
      <c r="AV14">
        <v>1.35</v>
      </c>
      <c r="AW14">
        <v>2.36</v>
      </c>
      <c r="AX14">
        <v>42</v>
      </c>
      <c r="AY14">
        <v>79</v>
      </c>
      <c r="AZ14">
        <v>32</v>
      </c>
      <c r="BA14">
        <v>21</v>
      </c>
      <c r="BB14">
        <v>5</v>
      </c>
      <c r="BC14">
        <v>26</v>
      </c>
      <c r="BD14">
        <v>67</v>
      </c>
      <c r="BE14">
        <v>43</v>
      </c>
      <c r="BF14">
        <v>90</v>
      </c>
      <c r="BG14">
        <v>7.09</v>
      </c>
      <c r="BH14">
        <v>4.21</v>
      </c>
      <c r="BI14">
        <v>1.63</v>
      </c>
      <c r="BJ14">
        <v>3.65</v>
      </c>
      <c r="BK14">
        <v>5.2</v>
      </c>
      <c r="BL14">
        <v>2.6592409187585247E-2</v>
      </c>
      <c r="BM14">
        <v>1.36</v>
      </c>
      <c r="BN14">
        <v>1.87</v>
      </c>
      <c r="BO14">
        <v>3.75</v>
      </c>
      <c r="BP14">
        <v>7</v>
      </c>
      <c r="BQ14">
        <v>2.1</v>
      </c>
      <c r="BR14">
        <v>1.68</v>
      </c>
      <c r="BS14" t="s">
        <v>116</v>
      </c>
      <c r="BT14">
        <v>2.0230889143600308</v>
      </c>
      <c r="BU14">
        <v>0.72731480520165426</v>
      </c>
      <c r="BV14">
        <v>2.6362999299229148</v>
      </c>
      <c r="BW14">
        <v>1.7619715019855171</v>
      </c>
      <c r="BX14">
        <v>0.87432842793739785</v>
      </c>
      <c r="BY14">
        <v>0.78411214953271025</v>
      </c>
      <c r="BZ14">
        <v>0.38060747663551397</v>
      </c>
      <c r="CA14">
        <v>14.215499378367181</v>
      </c>
      <c r="CB14">
        <v>8.9523612261806136</v>
      </c>
      <c r="CC14">
        <v>6.3083121289228163</v>
      </c>
      <c r="CD14">
        <v>3.7757524374735061</v>
      </c>
      <c r="CE14">
        <v>7.9071872494443642</v>
      </c>
      <c r="CF14">
        <v>5.1766087887071075</v>
      </c>
      <c r="CG14">
        <v>12.634239592183521</v>
      </c>
      <c r="CH14">
        <v>13.597706032285471</v>
      </c>
      <c r="CI14">
        <v>1.365400161681487</v>
      </c>
      <c r="CJ14">
        <v>1.963621665319321</v>
      </c>
      <c r="CK14">
        <v>7.1544058205335492E-2</v>
      </c>
      <c r="CL14">
        <v>0.1216653193209378</v>
      </c>
    </row>
    <row r="15" spans="1:90" x14ac:dyDescent="0.45">
      <c r="A15" t="s">
        <v>695</v>
      </c>
      <c r="B15">
        <v>1642302360</v>
      </c>
      <c r="C15" t="s">
        <v>428</v>
      </c>
      <c r="D15" t="s">
        <v>65</v>
      </c>
      <c r="E15" t="s">
        <v>66</v>
      </c>
      <c r="F15" t="s">
        <v>106</v>
      </c>
      <c r="G15" t="s">
        <v>85</v>
      </c>
      <c r="H15" t="s">
        <v>103</v>
      </c>
      <c r="I15">
        <v>0.32</v>
      </c>
      <c r="J15">
        <v>0.321213296304111</v>
      </c>
      <c r="K15">
        <v>0.28047354824728982</v>
      </c>
      <c r="L15">
        <v>0.39831315544859913</v>
      </c>
      <c r="M15">
        <v>2</v>
      </c>
      <c r="N15">
        <v>1.1100000000000001</v>
      </c>
      <c r="O15">
        <v>1.42</v>
      </c>
      <c r="P15">
        <v>1.35</v>
      </c>
      <c r="Q15">
        <v>1.4</v>
      </c>
      <c r="R15" t="s">
        <v>1348</v>
      </c>
      <c r="S15">
        <v>1</v>
      </c>
      <c r="T15">
        <v>1</v>
      </c>
      <c r="U15">
        <v>2</v>
      </c>
      <c r="V15">
        <v>1</v>
      </c>
      <c r="W15">
        <v>0</v>
      </c>
      <c r="X15">
        <v>1</v>
      </c>
      <c r="Y15">
        <v>59</v>
      </c>
      <c r="Z15">
        <v>23</v>
      </c>
      <c r="AA15">
        <v>3</v>
      </c>
      <c r="AB15">
        <v>4</v>
      </c>
      <c r="AC15">
        <v>4</v>
      </c>
      <c r="AD15">
        <v>0</v>
      </c>
      <c r="AE15">
        <v>3</v>
      </c>
      <c r="AF15">
        <v>0</v>
      </c>
      <c r="AG15">
        <v>2</v>
      </c>
      <c r="AH15">
        <v>2</v>
      </c>
      <c r="AI15">
        <v>1</v>
      </c>
      <c r="AJ15">
        <v>2</v>
      </c>
      <c r="AK15">
        <v>23</v>
      </c>
      <c r="AL15">
        <v>8</v>
      </c>
      <c r="AM15">
        <v>10</v>
      </c>
      <c r="AN15">
        <v>2</v>
      </c>
      <c r="AO15">
        <v>13</v>
      </c>
      <c r="AP15">
        <v>6</v>
      </c>
      <c r="AQ15">
        <v>17</v>
      </c>
      <c r="AR15">
        <v>17</v>
      </c>
      <c r="AS15">
        <v>52</v>
      </c>
      <c r="AT15">
        <v>48</v>
      </c>
      <c r="AU15">
        <v>2.57</v>
      </c>
      <c r="AV15">
        <v>0.81</v>
      </c>
      <c r="AW15">
        <v>2.11</v>
      </c>
      <c r="AX15">
        <v>41</v>
      </c>
      <c r="AY15">
        <v>59</v>
      </c>
      <c r="AZ15">
        <v>43</v>
      </c>
      <c r="BA15">
        <v>20</v>
      </c>
      <c r="BB15">
        <v>6</v>
      </c>
      <c r="BC15">
        <v>20</v>
      </c>
      <c r="BD15">
        <v>68</v>
      </c>
      <c r="BE15">
        <v>29</v>
      </c>
      <c r="BF15">
        <v>67</v>
      </c>
      <c r="BG15">
        <v>9.73</v>
      </c>
      <c r="BH15">
        <v>4.67</v>
      </c>
      <c r="BI15">
        <v>2.87</v>
      </c>
      <c r="BJ15">
        <v>3.25</v>
      </c>
      <c r="BK15">
        <v>2.35</v>
      </c>
      <c r="BL15">
        <v>2.7218759445017875E-2</v>
      </c>
      <c r="BM15">
        <v>1.38</v>
      </c>
      <c r="BN15">
        <v>2.2000000000000002</v>
      </c>
      <c r="BO15">
        <v>4</v>
      </c>
      <c r="BP15">
        <v>7.5</v>
      </c>
      <c r="BQ15">
        <v>1.9</v>
      </c>
      <c r="BR15">
        <v>1.83</v>
      </c>
      <c r="BS15" t="s">
        <v>110</v>
      </c>
      <c r="BT15">
        <v>1.274681051426811</v>
      </c>
      <c r="BU15">
        <v>1.4392482240810365</v>
      </c>
      <c r="BV15">
        <v>2.5313454284174597</v>
      </c>
      <c r="BW15">
        <v>1.210167055864918</v>
      </c>
      <c r="BX15">
        <v>1.3211783725525419</v>
      </c>
      <c r="BY15">
        <v>0.53135669362084459</v>
      </c>
      <c r="BZ15">
        <v>0.55633423180592989</v>
      </c>
      <c r="CA15">
        <v>11.21109010712035</v>
      </c>
      <c r="CB15">
        <v>11.01700787401575</v>
      </c>
      <c r="CC15">
        <v>4.6792332268370611</v>
      </c>
      <c r="CD15">
        <v>4.7080804854679013</v>
      </c>
      <c r="CE15">
        <v>6.5318568802832893</v>
      </c>
      <c r="CF15">
        <v>6.3089273885478487</v>
      </c>
      <c r="CG15">
        <v>12.72547770700637</v>
      </c>
      <c r="CH15">
        <v>13.06847133757962</v>
      </c>
      <c r="CI15">
        <v>1.6902356902356901</v>
      </c>
      <c r="CJ15">
        <v>1.8050198959289869</v>
      </c>
      <c r="CK15">
        <v>0.105907560453015</v>
      </c>
      <c r="CL15">
        <v>0.1141720232629324</v>
      </c>
    </row>
    <row r="16" spans="1:90" x14ac:dyDescent="0.45">
      <c r="A16" t="s">
        <v>695</v>
      </c>
      <c r="B16">
        <v>1642356000</v>
      </c>
      <c r="C16" t="s">
        <v>429</v>
      </c>
      <c r="D16" t="s">
        <v>65</v>
      </c>
      <c r="E16" t="s">
        <v>66</v>
      </c>
      <c r="F16" t="s">
        <v>79</v>
      </c>
      <c r="G16" t="s">
        <v>73</v>
      </c>
      <c r="H16" t="s">
        <v>158</v>
      </c>
      <c r="I16">
        <v>0.36</v>
      </c>
      <c r="J16">
        <v>0.36524661460907387</v>
      </c>
      <c r="K16">
        <v>0.29637244242364341</v>
      </c>
      <c r="L16">
        <v>0.33838094296728277</v>
      </c>
      <c r="M16">
        <v>2</v>
      </c>
      <c r="N16">
        <v>1.44</v>
      </c>
      <c r="O16">
        <v>1.33</v>
      </c>
      <c r="P16">
        <v>1.17</v>
      </c>
      <c r="Q16">
        <v>1.1100000000000001</v>
      </c>
      <c r="R16" t="s">
        <v>1352</v>
      </c>
      <c r="S16">
        <v>3</v>
      </c>
      <c r="T16">
        <v>1</v>
      </c>
      <c r="U16">
        <v>4</v>
      </c>
      <c r="V16">
        <v>2</v>
      </c>
      <c r="W16">
        <v>1</v>
      </c>
      <c r="X16">
        <v>1</v>
      </c>
      <c r="Y16" t="s">
        <v>430</v>
      </c>
      <c r="Z16">
        <v>22</v>
      </c>
      <c r="AA16">
        <v>2</v>
      </c>
      <c r="AB16">
        <v>8</v>
      </c>
      <c r="AC16">
        <v>4</v>
      </c>
      <c r="AD16">
        <v>0</v>
      </c>
      <c r="AE16">
        <v>1</v>
      </c>
      <c r="AF16">
        <v>0</v>
      </c>
      <c r="AG16">
        <v>2</v>
      </c>
      <c r="AH16">
        <v>2</v>
      </c>
      <c r="AI16">
        <v>0</v>
      </c>
      <c r="AJ16">
        <v>1</v>
      </c>
      <c r="AK16">
        <v>14</v>
      </c>
      <c r="AL16">
        <v>20</v>
      </c>
      <c r="AM16">
        <v>5</v>
      </c>
      <c r="AN16">
        <v>8</v>
      </c>
      <c r="AO16">
        <v>9</v>
      </c>
      <c r="AP16">
        <v>12</v>
      </c>
      <c r="AQ16">
        <v>15</v>
      </c>
      <c r="AR16">
        <v>9</v>
      </c>
      <c r="AS16">
        <v>51</v>
      </c>
      <c r="AT16">
        <v>49</v>
      </c>
      <c r="AU16">
        <v>1.44</v>
      </c>
      <c r="AV16">
        <v>2.16</v>
      </c>
      <c r="AW16">
        <v>2.73</v>
      </c>
      <c r="AX16">
        <v>78</v>
      </c>
      <c r="AY16">
        <v>89</v>
      </c>
      <c r="AZ16">
        <v>62</v>
      </c>
      <c r="BA16">
        <v>22</v>
      </c>
      <c r="BB16">
        <v>6</v>
      </c>
      <c r="BC16">
        <v>39</v>
      </c>
      <c r="BD16">
        <v>67</v>
      </c>
      <c r="BE16">
        <v>50</v>
      </c>
      <c r="BF16">
        <v>84</v>
      </c>
      <c r="BG16">
        <v>11.67</v>
      </c>
      <c r="BH16">
        <v>6.11</v>
      </c>
      <c r="BI16">
        <v>2.5</v>
      </c>
      <c r="BJ16">
        <v>3.02</v>
      </c>
      <c r="BK16">
        <v>2.68</v>
      </c>
      <c r="BL16">
        <v>3.4753385390926171E-2</v>
      </c>
      <c r="BM16">
        <v>1.33</v>
      </c>
      <c r="BN16">
        <v>2.14</v>
      </c>
      <c r="BO16">
        <v>3.75</v>
      </c>
      <c r="BP16">
        <v>7</v>
      </c>
      <c r="BQ16">
        <v>1.8</v>
      </c>
      <c r="BR16">
        <v>1.95</v>
      </c>
      <c r="BS16" t="s">
        <v>140</v>
      </c>
      <c r="BT16">
        <v>1.4023864615972674</v>
      </c>
      <c r="BU16">
        <v>1.3093265904245279</v>
      </c>
      <c r="BV16">
        <v>2.5110350525197691</v>
      </c>
      <c r="BW16">
        <v>1.269326094653606</v>
      </c>
      <c r="BX16">
        <v>1.2417089578661631</v>
      </c>
      <c r="BY16">
        <v>0.56586402266288949</v>
      </c>
      <c r="BZ16">
        <v>0.55158168083097259</v>
      </c>
      <c r="CA16">
        <v>11.49400826446281</v>
      </c>
      <c r="CB16">
        <v>10.507231404958681</v>
      </c>
      <c r="CC16">
        <v>4.9238790406673623</v>
      </c>
      <c r="CD16">
        <v>4.6296141814389991</v>
      </c>
      <c r="CE16">
        <v>6.5701292237954476</v>
      </c>
      <c r="CF16">
        <v>5.8776172235196817</v>
      </c>
      <c r="CG16">
        <v>12.798739495798319</v>
      </c>
      <c r="CH16">
        <v>12.98844537815126</v>
      </c>
      <c r="CI16">
        <v>1.604928297313674</v>
      </c>
      <c r="CJ16">
        <v>1.791961219955565</v>
      </c>
      <c r="CK16">
        <v>8.887093516461321E-2</v>
      </c>
      <c r="CL16">
        <v>0.11694607150070691</v>
      </c>
    </row>
    <row r="17" spans="1:90" x14ac:dyDescent="0.45">
      <c r="A17" t="s">
        <v>695</v>
      </c>
      <c r="B17">
        <v>1642374000</v>
      </c>
      <c r="C17" t="s">
        <v>431</v>
      </c>
      <c r="D17" t="s">
        <v>65</v>
      </c>
      <c r="E17" t="s">
        <v>66</v>
      </c>
      <c r="F17" t="s">
        <v>84</v>
      </c>
      <c r="G17" t="s">
        <v>90</v>
      </c>
      <c r="H17" t="s">
        <v>133</v>
      </c>
      <c r="I17">
        <v>0.44</v>
      </c>
      <c r="J17">
        <v>0.44108278916538496</v>
      </c>
      <c r="K17">
        <v>0.28581213389472976</v>
      </c>
      <c r="L17">
        <v>0.27310507693988517</v>
      </c>
      <c r="M17">
        <v>2</v>
      </c>
      <c r="N17">
        <v>1.22</v>
      </c>
      <c r="O17">
        <v>1.2</v>
      </c>
      <c r="P17">
        <v>1.89</v>
      </c>
      <c r="Q17">
        <v>1.32</v>
      </c>
      <c r="R17" t="s">
        <v>1352</v>
      </c>
      <c r="S17">
        <v>2</v>
      </c>
      <c r="T17">
        <v>1</v>
      </c>
      <c r="U17">
        <v>3</v>
      </c>
      <c r="V17">
        <v>2</v>
      </c>
      <c r="W17">
        <v>2</v>
      </c>
      <c r="X17">
        <v>0</v>
      </c>
      <c r="Y17" t="s">
        <v>432</v>
      </c>
      <c r="Z17">
        <v>53</v>
      </c>
      <c r="AA17">
        <v>4</v>
      </c>
      <c r="AB17">
        <v>3</v>
      </c>
      <c r="AC17">
        <v>2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17</v>
      </c>
      <c r="AL17">
        <v>11</v>
      </c>
      <c r="AM17">
        <v>7</v>
      </c>
      <c r="AN17">
        <v>2</v>
      </c>
      <c r="AO17">
        <v>10</v>
      </c>
      <c r="AP17">
        <v>9</v>
      </c>
      <c r="AQ17">
        <v>11</v>
      </c>
      <c r="AR17">
        <v>14</v>
      </c>
      <c r="AS17">
        <v>41</v>
      </c>
      <c r="AT17">
        <v>59</v>
      </c>
      <c r="AU17">
        <v>1.86</v>
      </c>
      <c r="AV17">
        <v>0.99</v>
      </c>
      <c r="AW17">
        <v>1.5</v>
      </c>
      <c r="AX17">
        <v>38</v>
      </c>
      <c r="AY17">
        <v>49</v>
      </c>
      <c r="AZ17">
        <v>21</v>
      </c>
      <c r="BA17">
        <v>11</v>
      </c>
      <c r="BB17">
        <v>0</v>
      </c>
      <c r="BC17">
        <v>16</v>
      </c>
      <c r="BD17">
        <v>44</v>
      </c>
      <c r="BE17">
        <v>26</v>
      </c>
      <c r="BF17">
        <v>53</v>
      </c>
      <c r="BG17">
        <v>10.06</v>
      </c>
      <c r="BH17">
        <v>5.0199999999999996</v>
      </c>
      <c r="BI17">
        <v>2.16</v>
      </c>
      <c r="BJ17">
        <v>3.25</v>
      </c>
      <c r="BK17">
        <v>3.39</v>
      </c>
      <c r="BL17">
        <v>2.1880173797577934E-2</v>
      </c>
      <c r="BM17">
        <v>1.45</v>
      </c>
      <c r="BN17">
        <v>2.2000000000000002</v>
      </c>
      <c r="BO17">
        <v>4.5</v>
      </c>
      <c r="BP17">
        <v>7.5</v>
      </c>
      <c r="BQ17">
        <v>2.1</v>
      </c>
      <c r="BR17">
        <v>1.67</v>
      </c>
      <c r="BS17" t="s">
        <v>88</v>
      </c>
      <c r="BT17">
        <v>1.6395459745305552</v>
      </c>
      <c r="BU17">
        <v>1.0758429359324786</v>
      </c>
      <c r="BV17">
        <v>2.4807646356033461</v>
      </c>
      <c r="BW17">
        <v>1.4140979689366791</v>
      </c>
      <c r="BX17">
        <v>1.0666666666666671</v>
      </c>
      <c r="BY17">
        <v>0.62712066905615294</v>
      </c>
      <c r="BZ17">
        <v>0.46009557945041818</v>
      </c>
      <c r="CA17">
        <v>12.56969280146722</v>
      </c>
      <c r="CB17">
        <v>9.8695552498853729</v>
      </c>
      <c r="CC17">
        <v>5.2754256787850897</v>
      </c>
      <c r="CD17">
        <v>4.1279337321675103</v>
      </c>
      <c r="CE17">
        <v>7.2942671226821298</v>
      </c>
      <c r="CF17">
        <v>5.7416215177178627</v>
      </c>
      <c r="CG17">
        <v>12.897246007868549</v>
      </c>
      <c r="CH17">
        <v>13.507058551261281</v>
      </c>
      <c r="CI17">
        <v>1.576522702104098</v>
      </c>
      <c r="CJ17">
        <v>1.917165005537099</v>
      </c>
      <c r="CK17">
        <v>8.4385382059800659E-2</v>
      </c>
      <c r="CL17">
        <v>0.1233665559246955</v>
      </c>
    </row>
    <row r="18" spans="1:90" x14ac:dyDescent="0.45">
      <c r="A18" t="s">
        <v>695</v>
      </c>
      <c r="B18">
        <v>1642647600</v>
      </c>
      <c r="C18" t="s">
        <v>433</v>
      </c>
      <c r="D18" t="s">
        <v>65</v>
      </c>
      <c r="E18" t="s">
        <v>66</v>
      </c>
      <c r="F18" t="s">
        <v>85</v>
      </c>
      <c r="G18" t="s">
        <v>97</v>
      </c>
      <c r="H18" t="s">
        <v>130</v>
      </c>
      <c r="I18">
        <v>0.42</v>
      </c>
      <c r="J18">
        <v>0.42129629629629628</v>
      </c>
      <c r="K18">
        <v>0.28935185185185186</v>
      </c>
      <c r="L18">
        <v>0.28935185185185186</v>
      </c>
      <c r="M18">
        <v>1</v>
      </c>
      <c r="N18">
        <v>1.91</v>
      </c>
      <c r="O18">
        <v>1.73</v>
      </c>
      <c r="P18">
        <v>1.55</v>
      </c>
      <c r="Q18">
        <v>1.68</v>
      </c>
      <c r="R18" t="s">
        <v>1348</v>
      </c>
      <c r="S18">
        <v>1</v>
      </c>
      <c r="T18">
        <v>1</v>
      </c>
      <c r="U18">
        <v>2</v>
      </c>
      <c r="V18">
        <v>1</v>
      </c>
      <c r="W18">
        <v>1</v>
      </c>
      <c r="X18">
        <v>0</v>
      </c>
      <c r="Y18">
        <v>22</v>
      </c>
      <c r="Z18">
        <v>50</v>
      </c>
      <c r="AA18">
        <v>4</v>
      </c>
      <c r="AB18">
        <v>3</v>
      </c>
      <c r="AC18">
        <v>5</v>
      </c>
      <c r="AD18">
        <v>0</v>
      </c>
      <c r="AE18">
        <v>3</v>
      </c>
      <c r="AF18">
        <v>0</v>
      </c>
      <c r="AG18">
        <v>3</v>
      </c>
      <c r="AH18">
        <v>2</v>
      </c>
      <c r="AI18">
        <v>1</v>
      </c>
      <c r="AJ18">
        <v>2</v>
      </c>
      <c r="AK18">
        <v>10</v>
      </c>
      <c r="AL18">
        <v>6</v>
      </c>
      <c r="AM18">
        <v>5</v>
      </c>
      <c r="AN18">
        <v>4</v>
      </c>
      <c r="AO18">
        <v>5</v>
      </c>
      <c r="AP18">
        <v>2</v>
      </c>
      <c r="AQ18">
        <v>17</v>
      </c>
      <c r="AR18">
        <v>18</v>
      </c>
      <c r="AS18">
        <v>59</v>
      </c>
      <c r="AT18">
        <v>41</v>
      </c>
      <c r="AU18">
        <v>1.29</v>
      </c>
      <c r="AV18">
        <v>1.06</v>
      </c>
      <c r="AW18">
        <v>2.3199999999999998</v>
      </c>
      <c r="AX18">
        <v>46</v>
      </c>
      <c r="AY18">
        <v>64</v>
      </c>
      <c r="AZ18">
        <v>41</v>
      </c>
      <c r="BA18">
        <v>14</v>
      </c>
      <c r="BB18">
        <v>14</v>
      </c>
      <c r="BC18">
        <v>27</v>
      </c>
      <c r="BD18">
        <v>82</v>
      </c>
      <c r="BE18">
        <v>32</v>
      </c>
      <c r="BF18">
        <v>64</v>
      </c>
      <c r="BG18">
        <v>10.28</v>
      </c>
      <c r="BH18">
        <v>4.09</v>
      </c>
      <c r="BI18">
        <v>2.25</v>
      </c>
      <c r="BJ18">
        <v>3.2</v>
      </c>
      <c r="BK18">
        <v>3.2</v>
      </c>
      <c r="BL18">
        <v>2.314814814814814E-2</v>
      </c>
      <c r="BM18">
        <v>1.42</v>
      </c>
      <c r="BN18">
        <v>2.33</v>
      </c>
      <c r="BO18">
        <v>4.2</v>
      </c>
      <c r="BP18">
        <v>8.1</v>
      </c>
      <c r="BQ18">
        <v>1.91</v>
      </c>
      <c r="BR18">
        <v>1.8</v>
      </c>
      <c r="BS18" t="s">
        <v>128</v>
      </c>
      <c r="BT18">
        <v>1.5780106027030405</v>
      </c>
      <c r="BU18">
        <v>1.1353025412447635</v>
      </c>
      <c r="BV18">
        <v>2.4884649511978703</v>
      </c>
      <c r="BW18">
        <v>1.396960958296362</v>
      </c>
      <c r="BX18">
        <v>1.091503992901508</v>
      </c>
      <c r="BY18">
        <v>0.60765391014975045</v>
      </c>
      <c r="BZ18">
        <v>0.47276760953965608</v>
      </c>
      <c r="CA18">
        <v>12.29504785684561</v>
      </c>
      <c r="CB18">
        <v>10.047232625884311</v>
      </c>
      <c r="CC18">
        <v>5.2917192097519967</v>
      </c>
      <c r="CD18">
        <v>4.2580916351408158</v>
      </c>
      <c r="CE18">
        <v>7.0033286470936131</v>
      </c>
      <c r="CF18">
        <v>5.789140990743495</v>
      </c>
      <c r="CG18">
        <v>12.77041895895049</v>
      </c>
      <c r="CH18">
        <v>13.411129919593741</v>
      </c>
      <c r="CI18">
        <v>1.556141062018646</v>
      </c>
      <c r="CJ18">
        <v>1.9114308877178761</v>
      </c>
      <c r="CK18">
        <v>8.4920956627482766E-2</v>
      </c>
      <c r="CL18">
        <v>0.1323469801378192</v>
      </c>
    </row>
    <row r="19" spans="1:90" x14ac:dyDescent="0.45">
      <c r="A19" t="s">
        <v>695</v>
      </c>
      <c r="B19">
        <v>1642734000</v>
      </c>
      <c r="C19" t="s">
        <v>434</v>
      </c>
      <c r="D19" t="s">
        <v>65</v>
      </c>
      <c r="E19" t="s">
        <v>66</v>
      </c>
      <c r="F19" t="s">
        <v>91</v>
      </c>
      <c r="G19" t="s">
        <v>78</v>
      </c>
      <c r="H19" t="s">
        <v>215</v>
      </c>
      <c r="I19">
        <v>0.42</v>
      </c>
      <c r="J19">
        <v>0.41495738552257161</v>
      </c>
      <c r="K19">
        <v>0.26621596675826953</v>
      </c>
      <c r="L19">
        <v>0.31882664771915892</v>
      </c>
      <c r="M19">
        <v>3</v>
      </c>
      <c r="N19">
        <v>0.67</v>
      </c>
      <c r="O19">
        <v>0.5</v>
      </c>
      <c r="P19">
        <v>1.1100000000000001</v>
      </c>
      <c r="Q19">
        <v>0.71</v>
      </c>
      <c r="R19" t="s">
        <v>1351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Z19">
        <v>82</v>
      </c>
      <c r="AA19">
        <v>5</v>
      </c>
      <c r="AB19">
        <v>4</v>
      </c>
      <c r="AC19">
        <v>3</v>
      </c>
      <c r="AD19">
        <v>1</v>
      </c>
      <c r="AE19">
        <v>3</v>
      </c>
      <c r="AF19">
        <v>0</v>
      </c>
      <c r="AG19">
        <v>3</v>
      </c>
      <c r="AH19">
        <v>1</v>
      </c>
      <c r="AI19">
        <v>0</v>
      </c>
      <c r="AJ19">
        <v>3</v>
      </c>
      <c r="AK19">
        <v>13</v>
      </c>
      <c r="AL19">
        <v>19</v>
      </c>
      <c r="AM19">
        <v>2</v>
      </c>
      <c r="AN19">
        <v>4</v>
      </c>
      <c r="AO19">
        <v>11</v>
      </c>
      <c r="AP19">
        <v>15</v>
      </c>
      <c r="AQ19">
        <v>16</v>
      </c>
      <c r="AR19">
        <v>10</v>
      </c>
      <c r="AS19">
        <v>40</v>
      </c>
      <c r="AT19">
        <v>60</v>
      </c>
      <c r="AU19">
        <v>1.21</v>
      </c>
      <c r="AV19">
        <v>1.82</v>
      </c>
      <c r="AW19">
        <v>2.44</v>
      </c>
      <c r="AX19">
        <v>37</v>
      </c>
      <c r="AY19">
        <v>69</v>
      </c>
      <c r="AZ19">
        <v>32</v>
      </c>
      <c r="BA19">
        <v>21</v>
      </c>
      <c r="BB19">
        <v>11</v>
      </c>
      <c r="BC19">
        <v>21</v>
      </c>
      <c r="BD19">
        <v>59</v>
      </c>
      <c r="BE19">
        <v>42</v>
      </c>
      <c r="BF19">
        <v>90</v>
      </c>
      <c r="BG19">
        <v>7.64</v>
      </c>
      <c r="BH19">
        <v>4.54</v>
      </c>
      <c r="BI19">
        <v>2.2799999999999998</v>
      </c>
      <c r="BJ19">
        <v>3.45</v>
      </c>
      <c r="BK19">
        <v>2.92</v>
      </c>
      <c r="BL19">
        <v>2.3639105705498615E-2</v>
      </c>
      <c r="BM19">
        <v>1.42</v>
      </c>
      <c r="BN19">
        <v>2.19</v>
      </c>
      <c r="BO19">
        <v>4.5</v>
      </c>
      <c r="BP19">
        <v>7.5</v>
      </c>
      <c r="BQ19">
        <v>2</v>
      </c>
      <c r="BR19">
        <v>1.73</v>
      </c>
      <c r="BS19" t="s">
        <v>144</v>
      </c>
      <c r="BT19">
        <v>1.5780106027030405</v>
      </c>
      <c r="BU19">
        <v>1.1353025412447635</v>
      </c>
      <c r="BV19">
        <v>2.4884649511978703</v>
      </c>
      <c r="BW19">
        <v>1.396960958296362</v>
      </c>
      <c r="BX19">
        <v>1.091503992901508</v>
      </c>
      <c r="BY19">
        <v>0.60765391014975045</v>
      </c>
      <c r="BZ19">
        <v>0.47276760953965608</v>
      </c>
      <c r="CA19">
        <v>12.29504785684561</v>
      </c>
      <c r="CB19">
        <v>10.047232625884311</v>
      </c>
      <c r="CC19">
        <v>5.2917192097519967</v>
      </c>
      <c r="CD19">
        <v>4.2580916351408158</v>
      </c>
      <c r="CE19">
        <v>7.0033286470936131</v>
      </c>
      <c r="CF19">
        <v>5.789140990743495</v>
      </c>
      <c r="CG19">
        <v>12.77041895895049</v>
      </c>
      <c r="CH19">
        <v>13.411129919593741</v>
      </c>
      <c r="CI19">
        <v>1.556141062018646</v>
      </c>
      <c r="CJ19">
        <v>1.9114308877178761</v>
      </c>
      <c r="CK19">
        <v>8.4920956627482766E-2</v>
      </c>
      <c r="CL19">
        <v>0.1323469801378192</v>
      </c>
    </row>
    <row r="20" spans="1:90" x14ac:dyDescent="0.45">
      <c r="A20" t="s">
        <v>695</v>
      </c>
      <c r="B20">
        <v>1642820400</v>
      </c>
      <c r="C20" t="s">
        <v>435</v>
      </c>
      <c r="D20" t="s">
        <v>65</v>
      </c>
      <c r="E20" t="s">
        <v>66</v>
      </c>
      <c r="F20" t="s">
        <v>113</v>
      </c>
      <c r="G20" t="s">
        <v>79</v>
      </c>
      <c r="H20" t="s">
        <v>108</v>
      </c>
      <c r="I20">
        <v>0.38</v>
      </c>
      <c r="J20">
        <v>0.38059828637065612</v>
      </c>
      <c r="K20">
        <v>0.29433189575643942</v>
      </c>
      <c r="L20">
        <v>0.32506981787290434</v>
      </c>
      <c r="M20">
        <v>3</v>
      </c>
      <c r="N20">
        <v>1.67</v>
      </c>
      <c r="O20">
        <v>1.1000000000000001</v>
      </c>
      <c r="P20">
        <v>1.71</v>
      </c>
      <c r="Q20">
        <v>1.29</v>
      </c>
      <c r="R20" t="s">
        <v>1351</v>
      </c>
      <c r="S20">
        <v>1</v>
      </c>
      <c r="T20">
        <v>2</v>
      </c>
      <c r="U20">
        <v>3</v>
      </c>
      <c r="V20">
        <v>1</v>
      </c>
      <c r="W20">
        <v>1</v>
      </c>
      <c r="X20">
        <v>0</v>
      </c>
      <c r="Y20">
        <v>28</v>
      </c>
      <c r="Z20" t="s">
        <v>436</v>
      </c>
      <c r="AA20">
        <v>2</v>
      </c>
      <c r="AB20">
        <v>3</v>
      </c>
      <c r="AC20">
        <v>2</v>
      </c>
      <c r="AD20">
        <v>1</v>
      </c>
      <c r="AE20">
        <v>2</v>
      </c>
      <c r="AF20">
        <v>0</v>
      </c>
      <c r="AG20">
        <v>0</v>
      </c>
      <c r="AH20">
        <v>3</v>
      </c>
      <c r="AI20">
        <v>2</v>
      </c>
      <c r="AJ20">
        <v>0</v>
      </c>
      <c r="AK20">
        <v>5</v>
      </c>
      <c r="AL20">
        <v>6</v>
      </c>
      <c r="AM20">
        <v>2</v>
      </c>
      <c r="AN20">
        <v>3</v>
      </c>
      <c r="AO20">
        <v>3</v>
      </c>
      <c r="AP20">
        <v>3</v>
      </c>
      <c r="AQ20">
        <v>20</v>
      </c>
      <c r="AR20">
        <v>8</v>
      </c>
      <c r="AS20">
        <v>32</v>
      </c>
      <c r="AT20">
        <v>68</v>
      </c>
      <c r="AU20">
        <v>0.66</v>
      </c>
      <c r="AV20">
        <v>0.85</v>
      </c>
      <c r="AW20">
        <v>2.74</v>
      </c>
      <c r="AX20">
        <v>49</v>
      </c>
      <c r="AY20">
        <v>79</v>
      </c>
      <c r="AZ20">
        <v>59</v>
      </c>
      <c r="BA20">
        <v>37</v>
      </c>
      <c r="BB20">
        <v>5</v>
      </c>
      <c r="BC20">
        <v>37</v>
      </c>
      <c r="BD20">
        <v>79</v>
      </c>
      <c r="BE20">
        <v>43</v>
      </c>
      <c r="BF20">
        <v>84</v>
      </c>
      <c r="BG20">
        <v>5.72</v>
      </c>
      <c r="BH20">
        <v>5.26</v>
      </c>
      <c r="BI20">
        <v>2.52</v>
      </c>
      <c r="BJ20">
        <v>3.22</v>
      </c>
      <c r="BK20">
        <v>2.93</v>
      </c>
      <c r="BL20">
        <v>1.6227110454740679E-2</v>
      </c>
      <c r="BM20">
        <v>0</v>
      </c>
      <c r="BN20">
        <v>1.91</v>
      </c>
      <c r="BO20">
        <v>0</v>
      </c>
      <c r="BP20">
        <v>0</v>
      </c>
      <c r="BQ20">
        <v>0</v>
      </c>
      <c r="BR20">
        <v>0</v>
      </c>
      <c r="BS20" t="s">
        <v>120</v>
      </c>
      <c r="BT20">
        <v>1.464160929441638</v>
      </c>
      <c r="BU20">
        <v>1.2477119808919459</v>
      </c>
      <c r="BV20">
        <v>2.4900895140664963</v>
      </c>
      <c r="BW20">
        <v>1.330562659846547</v>
      </c>
      <c r="BX20">
        <v>1.1595268542199491</v>
      </c>
      <c r="BY20">
        <v>0.59053607588191415</v>
      </c>
      <c r="BZ20">
        <v>0.50069274219332838</v>
      </c>
      <c r="CA20">
        <v>11.79715236686391</v>
      </c>
      <c r="CB20">
        <v>10.317122781065089</v>
      </c>
      <c r="CC20">
        <v>5.0637025966747622</v>
      </c>
      <c r="CD20">
        <v>4.4674014571268454</v>
      </c>
      <c r="CE20">
        <v>6.7334497701891483</v>
      </c>
      <c r="CF20">
        <v>5.849721323938244</v>
      </c>
      <c r="CG20">
        <v>12.89644194756554</v>
      </c>
      <c r="CH20">
        <v>13.3434456928839</v>
      </c>
      <c r="CI20">
        <v>1.6144382124117971</v>
      </c>
      <c r="CJ20">
        <v>1.9032024606477289</v>
      </c>
      <c r="CK20">
        <v>9.372172969060974E-2</v>
      </c>
      <c r="CL20">
        <v>0.11669983716301791</v>
      </c>
    </row>
    <row r="21" spans="1:90" x14ac:dyDescent="0.45">
      <c r="A21" t="s">
        <v>695</v>
      </c>
      <c r="B21">
        <v>1642892400</v>
      </c>
      <c r="C21" t="s">
        <v>437</v>
      </c>
      <c r="D21" t="s">
        <v>65</v>
      </c>
      <c r="E21" t="s">
        <v>66</v>
      </c>
      <c r="F21" t="s">
        <v>90</v>
      </c>
      <c r="G21" t="s">
        <v>67</v>
      </c>
      <c r="H21" t="s">
        <v>114</v>
      </c>
      <c r="I21">
        <v>0.52</v>
      </c>
      <c r="J21">
        <v>0.52990691225985342</v>
      </c>
      <c r="K21">
        <v>0.26846900376312138</v>
      </c>
      <c r="L21">
        <v>0.20162408397702511</v>
      </c>
      <c r="M21">
        <v>3</v>
      </c>
      <c r="N21">
        <v>1.56</v>
      </c>
      <c r="O21">
        <v>0.5</v>
      </c>
      <c r="P21">
        <v>1.47</v>
      </c>
      <c r="Q21">
        <v>0.65</v>
      </c>
      <c r="R21" t="s">
        <v>1348</v>
      </c>
      <c r="S21">
        <v>1</v>
      </c>
      <c r="T21">
        <v>1</v>
      </c>
      <c r="U21">
        <v>2</v>
      </c>
      <c r="V21">
        <v>2</v>
      </c>
      <c r="W21">
        <v>1</v>
      </c>
      <c r="X21">
        <v>1</v>
      </c>
      <c r="Y21">
        <v>42</v>
      </c>
      <c r="Z21">
        <v>2</v>
      </c>
      <c r="AA21">
        <v>4</v>
      </c>
      <c r="AB21">
        <v>4</v>
      </c>
      <c r="AC21">
        <v>3</v>
      </c>
      <c r="AD21">
        <v>0</v>
      </c>
      <c r="AE21">
        <v>8</v>
      </c>
      <c r="AF21">
        <v>0</v>
      </c>
      <c r="AG21">
        <v>0</v>
      </c>
      <c r="AH21">
        <v>3</v>
      </c>
      <c r="AI21">
        <v>4</v>
      </c>
      <c r="AJ21">
        <v>4</v>
      </c>
      <c r="AK21">
        <v>18</v>
      </c>
      <c r="AL21">
        <v>11</v>
      </c>
      <c r="AM21">
        <v>9</v>
      </c>
      <c r="AN21">
        <v>5</v>
      </c>
      <c r="AO21">
        <v>9</v>
      </c>
      <c r="AP21">
        <v>6</v>
      </c>
      <c r="AQ21">
        <v>15</v>
      </c>
      <c r="AR21">
        <v>22</v>
      </c>
      <c r="AS21">
        <v>65</v>
      </c>
      <c r="AT21">
        <v>35</v>
      </c>
      <c r="AU21">
        <v>2.04</v>
      </c>
      <c r="AV21">
        <v>1.28</v>
      </c>
      <c r="AW21">
        <v>1.97</v>
      </c>
      <c r="AX21">
        <v>37</v>
      </c>
      <c r="AY21">
        <v>69</v>
      </c>
      <c r="AZ21">
        <v>38</v>
      </c>
      <c r="BA21">
        <v>6</v>
      </c>
      <c r="BB21">
        <v>0</v>
      </c>
      <c r="BC21">
        <v>11</v>
      </c>
      <c r="BD21">
        <v>65</v>
      </c>
      <c r="BE21">
        <v>42</v>
      </c>
      <c r="BF21">
        <v>74</v>
      </c>
      <c r="BG21">
        <v>10.06</v>
      </c>
      <c r="BH21">
        <v>5.0199999999999996</v>
      </c>
      <c r="BI21">
        <v>1.8</v>
      </c>
      <c r="BJ21">
        <v>3.4</v>
      </c>
      <c r="BK21">
        <v>4.4000000000000004</v>
      </c>
      <c r="BL21">
        <v>2.5648643295702156E-2</v>
      </c>
      <c r="BM21">
        <v>1.42</v>
      </c>
      <c r="BN21">
        <v>2.2000000000000002</v>
      </c>
      <c r="BO21">
        <v>4.5</v>
      </c>
      <c r="BP21">
        <v>7.5</v>
      </c>
      <c r="BQ21">
        <v>2.1</v>
      </c>
      <c r="BR21">
        <v>1.67</v>
      </c>
      <c r="BS21" t="s">
        <v>94</v>
      </c>
      <c r="BT21">
        <v>1.8614830167843088</v>
      </c>
      <c r="BU21">
        <v>0.87079851622593896</v>
      </c>
      <c r="BV21">
        <v>2.5967403582378576</v>
      </c>
      <c r="BW21">
        <v>1.625948039373891</v>
      </c>
      <c r="BX21">
        <v>0.97079231886396644</v>
      </c>
      <c r="BY21">
        <v>0.71433182698515174</v>
      </c>
      <c r="BZ21">
        <v>0.43011620400258233</v>
      </c>
      <c r="CA21">
        <v>13.39951055368614</v>
      </c>
      <c r="CB21">
        <v>9.4252064851636579</v>
      </c>
      <c r="CC21">
        <v>5.7628422023992618</v>
      </c>
      <c r="CD21">
        <v>3.9375576745616732</v>
      </c>
      <c r="CE21">
        <v>7.636668351286878</v>
      </c>
      <c r="CF21">
        <v>5.4876488106019847</v>
      </c>
      <c r="CG21">
        <v>12.460420531849101</v>
      </c>
      <c r="CH21">
        <v>13.44897959183673</v>
      </c>
      <c r="CI21">
        <v>1.462202380952381</v>
      </c>
      <c r="CJ21">
        <v>2.01547619047619</v>
      </c>
      <c r="CK21">
        <v>7.7380952380952384E-2</v>
      </c>
      <c r="CL21">
        <v>0.13754093480202439</v>
      </c>
    </row>
    <row r="22" spans="1:90" x14ac:dyDescent="0.45">
      <c r="A22" t="s">
        <v>695</v>
      </c>
      <c r="B22">
        <v>1642899600</v>
      </c>
      <c r="C22" t="s">
        <v>438</v>
      </c>
      <c r="D22" t="s">
        <v>65</v>
      </c>
      <c r="E22" t="s">
        <v>66</v>
      </c>
      <c r="F22" t="s">
        <v>85</v>
      </c>
      <c r="G22" t="s">
        <v>84</v>
      </c>
      <c r="H22" t="s">
        <v>66</v>
      </c>
      <c r="I22">
        <v>0.46</v>
      </c>
      <c r="J22">
        <v>0.46228838911765746</v>
      </c>
      <c r="K22">
        <v>0.27751381409917997</v>
      </c>
      <c r="L22">
        <v>0.26019779678316263</v>
      </c>
      <c r="M22">
        <v>3</v>
      </c>
      <c r="N22">
        <v>1.83</v>
      </c>
      <c r="O22">
        <v>1.1100000000000001</v>
      </c>
      <c r="P22">
        <v>1.55</v>
      </c>
      <c r="Q22">
        <v>1.42</v>
      </c>
      <c r="R22" t="s">
        <v>1352</v>
      </c>
      <c r="S22">
        <v>2</v>
      </c>
      <c r="T22">
        <v>1</v>
      </c>
      <c r="U22">
        <v>3</v>
      </c>
      <c r="V22">
        <v>2</v>
      </c>
      <c r="W22">
        <v>1</v>
      </c>
      <c r="X22">
        <v>1</v>
      </c>
      <c r="Y22" t="s">
        <v>439</v>
      </c>
      <c r="Z22">
        <v>32</v>
      </c>
      <c r="AA22">
        <v>7</v>
      </c>
      <c r="AB22">
        <v>14</v>
      </c>
      <c r="AC22">
        <v>4</v>
      </c>
      <c r="AD22">
        <v>0</v>
      </c>
      <c r="AE22">
        <v>1</v>
      </c>
      <c r="AF22">
        <v>1</v>
      </c>
      <c r="AG22">
        <v>2</v>
      </c>
      <c r="AH22">
        <v>2</v>
      </c>
      <c r="AI22">
        <v>1</v>
      </c>
      <c r="AJ22">
        <v>1</v>
      </c>
      <c r="AK22">
        <v>13</v>
      </c>
      <c r="AL22">
        <v>18</v>
      </c>
      <c r="AM22">
        <v>6</v>
      </c>
      <c r="AN22">
        <v>9</v>
      </c>
      <c r="AO22">
        <v>7</v>
      </c>
      <c r="AP22">
        <v>9</v>
      </c>
      <c r="AQ22">
        <v>13</v>
      </c>
      <c r="AR22">
        <v>7</v>
      </c>
      <c r="AS22">
        <v>57</v>
      </c>
      <c r="AT22">
        <v>43</v>
      </c>
      <c r="AU22">
        <v>1.47</v>
      </c>
      <c r="AV22">
        <v>2.17</v>
      </c>
      <c r="AW22">
        <v>2.6</v>
      </c>
      <c r="AX22">
        <v>57</v>
      </c>
      <c r="AY22">
        <v>86</v>
      </c>
      <c r="AZ22">
        <v>53</v>
      </c>
      <c r="BA22">
        <v>15</v>
      </c>
      <c r="BB22">
        <v>10</v>
      </c>
      <c r="BC22">
        <v>35</v>
      </c>
      <c r="BD22">
        <v>81</v>
      </c>
      <c r="BE22">
        <v>38</v>
      </c>
      <c r="BF22">
        <v>92</v>
      </c>
      <c r="BG22">
        <v>10.11</v>
      </c>
      <c r="BH22">
        <v>4.75</v>
      </c>
      <c r="BI22">
        <v>2.0499999999999998</v>
      </c>
      <c r="BJ22">
        <v>3.3</v>
      </c>
      <c r="BK22">
        <v>3.5</v>
      </c>
      <c r="BL22">
        <v>2.5516488931123089E-2</v>
      </c>
      <c r="BM22">
        <v>0</v>
      </c>
      <c r="BN22">
        <v>2.1</v>
      </c>
      <c r="BO22">
        <v>0</v>
      </c>
      <c r="BP22">
        <v>0</v>
      </c>
      <c r="BQ22">
        <v>1.83</v>
      </c>
      <c r="BR22">
        <v>1.83</v>
      </c>
      <c r="BS22" t="s">
        <v>128</v>
      </c>
      <c r="BT22">
        <v>1.6955772349985931</v>
      </c>
      <c r="BU22">
        <v>1.0239029519551039</v>
      </c>
      <c r="BV22">
        <v>2.5405629139072849</v>
      </c>
      <c r="BW22">
        <v>1.4888836329233679</v>
      </c>
      <c r="BX22">
        <v>1.0516792809839171</v>
      </c>
      <c r="BY22">
        <v>0.64581362346263005</v>
      </c>
      <c r="BZ22">
        <v>0.45364238410596031</v>
      </c>
      <c r="CA22">
        <v>12.686892177589851</v>
      </c>
      <c r="CB22">
        <v>9.8059196617336148</v>
      </c>
      <c r="CC22">
        <v>5.3198121263877027</v>
      </c>
      <c r="CD22">
        <v>4.0954312553373189</v>
      </c>
      <c r="CE22">
        <v>7.3670800512021479</v>
      </c>
      <c r="CF22">
        <v>5.710488406396296</v>
      </c>
      <c r="CG22">
        <v>13.0488908033599</v>
      </c>
      <c r="CH22">
        <v>13.714839543398661</v>
      </c>
      <c r="CI22">
        <v>1.567523459812322</v>
      </c>
      <c r="CJ22">
        <v>1.951040391676867</v>
      </c>
      <c r="CK22">
        <v>8.3027335781313744E-2</v>
      </c>
      <c r="CL22">
        <v>0.13117095063239501</v>
      </c>
    </row>
    <row r="23" spans="1:90" x14ac:dyDescent="0.45">
      <c r="A23" t="s">
        <v>695</v>
      </c>
      <c r="B23">
        <v>1642906800</v>
      </c>
      <c r="C23" t="s">
        <v>440</v>
      </c>
      <c r="D23" t="s">
        <v>65</v>
      </c>
      <c r="E23" t="s">
        <v>66</v>
      </c>
      <c r="F23" t="s">
        <v>68</v>
      </c>
      <c r="G23" t="s">
        <v>97</v>
      </c>
      <c r="H23" t="s">
        <v>69</v>
      </c>
      <c r="I23">
        <v>0.5</v>
      </c>
      <c r="J23">
        <v>0.50619369369369371</v>
      </c>
      <c r="K23">
        <v>0.2781531531531532</v>
      </c>
      <c r="L23">
        <v>0.21565315315315323</v>
      </c>
      <c r="M23">
        <v>3</v>
      </c>
      <c r="N23">
        <v>2.2999999999999998</v>
      </c>
      <c r="O23">
        <v>1.67</v>
      </c>
      <c r="P23">
        <v>1.9</v>
      </c>
      <c r="Q23">
        <v>1.68</v>
      </c>
      <c r="R23" t="s">
        <v>1351</v>
      </c>
      <c r="S23">
        <v>0</v>
      </c>
      <c r="T23">
        <v>2</v>
      </c>
      <c r="U23">
        <v>2</v>
      </c>
      <c r="V23">
        <v>0</v>
      </c>
      <c r="W23">
        <v>0</v>
      </c>
      <c r="X23">
        <v>0</v>
      </c>
      <c r="Z23" t="s">
        <v>441</v>
      </c>
      <c r="AA23">
        <v>5</v>
      </c>
      <c r="AB23">
        <v>0</v>
      </c>
      <c r="AC23">
        <v>2</v>
      </c>
      <c r="AD23">
        <v>1</v>
      </c>
      <c r="AE23">
        <v>4</v>
      </c>
      <c r="AF23">
        <v>0</v>
      </c>
      <c r="AG23">
        <v>1</v>
      </c>
      <c r="AH23">
        <v>2</v>
      </c>
      <c r="AI23">
        <v>2</v>
      </c>
      <c r="AJ23">
        <v>2</v>
      </c>
      <c r="AK23">
        <v>17</v>
      </c>
      <c r="AL23">
        <v>7</v>
      </c>
      <c r="AM23">
        <v>2</v>
      </c>
      <c r="AN23">
        <v>6</v>
      </c>
      <c r="AO23">
        <v>15</v>
      </c>
      <c r="AP23">
        <v>1</v>
      </c>
      <c r="AQ23">
        <v>14</v>
      </c>
      <c r="AR23">
        <v>17</v>
      </c>
      <c r="AS23">
        <v>60</v>
      </c>
      <c r="AT23">
        <v>40</v>
      </c>
      <c r="AU23">
        <v>1.53</v>
      </c>
      <c r="AV23">
        <v>0.94</v>
      </c>
      <c r="AW23">
        <v>2.04</v>
      </c>
      <c r="AX23">
        <v>36</v>
      </c>
      <c r="AY23">
        <v>60</v>
      </c>
      <c r="AZ23">
        <v>28</v>
      </c>
      <c r="BA23">
        <v>14</v>
      </c>
      <c r="BB23">
        <v>9</v>
      </c>
      <c r="BC23">
        <v>18</v>
      </c>
      <c r="BD23">
        <v>67</v>
      </c>
      <c r="BE23">
        <v>24</v>
      </c>
      <c r="BF23">
        <v>65</v>
      </c>
      <c r="BG23">
        <v>9.73</v>
      </c>
      <c r="BH23">
        <v>3.3</v>
      </c>
      <c r="BI23">
        <v>1.85</v>
      </c>
      <c r="BJ23">
        <v>3.2</v>
      </c>
      <c r="BK23">
        <v>4</v>
      </c>
      <c r="BL23">
        <v>3.4346846846846781E-2</v>
      </c>
      <c r="BM23">
        <v>1.5</v>
      </c>
      <c r="BN23">
        <v>2.2999999999999998</v>
      </c>
      <c r="BO23">
        <v>4.75</v>
      </c>
      <c r="BP23">
        <v>8</v>
      </c>
      <c r="BQ23">
        <v>2.1</v>
      </c>
      <c r="BR23">
        <v>1.67</v>
      </c>
      <c r="BS23" t="s">
        <v>116</v>
      </c>
      <c r="BT23">
        <v>1.8001937313313046</v>
      </c>
      <c r="BU23">
        <v>0.9268512077832276</v>
      </c>
      <c r="BV23">
        <v>2.5202079886551649</v>
      </c>
      <c r="BW23">
        <v>1.5342708579532029</v>
      </c>
      <c r="BX23">
        <v>0.98593713070196176</v>
      </c>
      <c r="BY23">
        <v>0.67513590167809023</v>
      </c>
      <c r="BZ23">
        <v>0.4286727337194185</v>
      </c>
      <c r="CA23">
        <v>12.98669114272602</v>
      </c>
      <c r="CB23">
        <v>9.4167049105094076</v>
      </c>
      <c r="CC23">
        <v>5.6645716945996272</v>
      </c>
      <c r="CD23">
        <v>4.0242085661080074</v>
      </c>
      <c r="CE23">
        <v>7.3221194481263927</v>
      </c>
      <c r="CF23">
        <v>5.3924963444014002</v>
      </c>
      <c r="CG23">
        <v>12.508162313432839</v>
      </c>
      <c r="CH23">
        <v>13.36963619402985</v>
      </c>
      <c r="CI23">
        <v>1.4438014689517029</v>
      </c>
      <c r="CJ23">
        <v>1.9410193634542621</v>
      </c>
      <c r="CK23">
        <v>8.4130870242599604E-2</v>
      </c>
      <c r="CL23">
        <v>0.1275317160026708</v>
      </c>
    </row>
    <row r="24" spans="1:90" x14ac:dyDescent="0.45">
      <c r="A24" t="s">
        <v>695</v>
      </c>
      <c r="B24">
        <v>1642907160</v>
      </c>
      <c r="C24" t="s">
        <v>442</v>
      </c>
      <c r="D24" t="s">
        <v>65</v>
      </c>
      <c r="E24" t="s">
        <v>66</v>
      </c>
      <c r="F24" t="s">
        <v>101</v>
      </c>
      <c r="G24" t="s">
        <v>112</v>
      </c>
      <c r="H24" t="s">
        <v>158</v>
      </c>
      <c r="I24">
        <v>0.5</v>
      </c>
      <c r="J24">
        <v>0.50565950565950557</v>
      </c>
      <c r="K24">
        <v>0.27281127281127282</v>
      </c>
      <c r="L24">
        <v>0.22152922152922155</v>
      </c>
      <c r="M24">
        <v>3</v>
      </c>
      <c r="N24">
        <v>1.6</v>
      </c>
      <c r="O24">
        <v>1.22</v>
      </c>
      <c r="P24">
        <v>1.79</v>
      </c>
      <c r="Q24">
        <v>1.5</v>
      </c>
      <c r="R24" t="s">
        <v>1348</v>
      </c>
      <c r="S24">
        <v>2</v>
      </c>
      <c r="T24">
        <v>2</v>
      </c>
      <c r="U24">
        <v>4</v>
      </c>
      <c r="V24">
        <v>1</v>
      </c>
      <c r="W24">
        <v>0</v>
      </c>
      <c r="X24">
        <v>1</v>
      </c>
      <c r="Y24" t="s">
        <v>443</v>
      </c>
      <c r="Z24" t="s">
        <v>444</v>
      </c>
      <c r="AA24">
        <v>5</v>
      </c>
      <c r="AB24">
        <v>1</v>
      </c>
      <c r="AC24">
        <v>4</v>
      </c>
      <c r="AD24">
        <v>1</v>
      </c>
      <c r="AE24">
        <v>2</v>
      </c>
      <c r="AF24">
        <v>1</v>
      </c>
      <c r="AG24">
        <v>1</v>
      </c>
      <c r="AH24">
        <v>4</v>
      </c>
      <c r="AI24">
        <v>0</v>
      </c>
      <c r="AJ24">
        <v>3</v>
      </c>
      <c r="AK24">
        <v>24</v>
      </c>
      <c r="AL24">
        <v>8</v>
      </c>
      <c r="AM24">
        <v>9</v>
      </c>
      <c r="AN24">
        <v>7</v>
      </c>
      <c r="AO24">
        <v>15</v>
      </c>
      <c r="AP24">
        <v>1</v>
      </c>
      <c r="AQ24">
        <v>18</v>
      </c>
      <c r="AR24">
        <v>13</v>
      </c>
      <c r="AS24">
        <v>65</v>
      </c>
      <c r="AT24">
        <v>35</v>
      </c>
      <c r="AU24">
        <v>2.64</v>
      </c>
      <c r="AV24">
        <v>1.1599999999999999</v>
      </c>
      <c r="AW24">
        <v>1.81</v>
      </c>
      <c r="AX24">
        <v>44</v>
      </c>
      <c r="AY24">
        <v>59</v>
      </c>
      <c r="AZ24">
        <v>22</v>
      </c>
      <c r="BA24">
        <v>11</v>
      </c>
      <c r="BB24">
        <v>6</v>
      </c>
      <c r="BC24">
        <v>22</v>
      </c>
      <c r="BD24">
        <v>59</v>
      </c>
      <c r="BE24">
        <v>21</v>
      </c>
      <c r="BF24">
        <v>52</v>
      </c>
      <c r="BG24">
        <v>8.14</v>
      </c>
      <c r="BH24">
        <v>5.54</v>
      </c>
      <c r="BI24">
        <v>1.85</v>
      </c>
      <c r="BJ24">
        <v>3.25</v>
      </c>
      <c r="BK24">
        <v>3.9</v>
      </c>
      <c r="BL24">
        <v>3.4881034881034889E-2</v>
      </c>
      <c r="BM24">
        <v>1.4</v>
      </c>
      <c r="BN24">
        <v>2.2000000000000002</v>
      </c>
      <c r="BO24">
        <v>4.2</v>
      </c>
      <c r="BP24">
        <v>7.5</v>
      </c>
      <c r="BQ24">
        <v>2</v>
      </c>
      <c r="BR24">
        <v>1.8</v>
      </c>
      <c r="BS24" t="s">
        <v>104</v>
      </c>
      <c r="BT24">
        <v>1.8001937313313046</v>
      </c>
      <c r="BU24">
        <v>0.9268512077832276</v>
      </c>
      <c r="BV24">
        <v>2.5202079886551649</v>
      </c>
      <c r="BW24">
        <v>1.5342708579532029</v>
      </c>
      <c r="BX24">
        <v>0.98593713070196176</v>
      </c>
      <c r="BY24">
        <v>0.67513590167809023</v>
      </c>
      <c r="BZ24">
        <v>0.4286727337194185</v>
      </c>
      <c r="CA24">
        <v>12.98669114272602</v>
      </c>
      <c r="CB24">
        <v>9.4167049105094076</v>
      </c>
      <c r="CC24">
        <v>5.6645716945996272</v>
      </c>
      <c r="CD24">
        <v>4.0242085661080074</v>
      </c>
      <c r="CE24">
        <v>7.3221194481263927</v>
      </c>
      <c r="CF24">
        <v>5.3924963444014002</v>
      </c>
      <c r="CG24">
        <v>12.508162313432839</v>
      </c>
      <c r="CH24">
        <v>13.36963619402985</v>
      </c>
      <c r="CI24">
        <v>1.4438014689517029</v>
      </c>
      <c r="CJ24">
        <v>1.9410193634542621</v>
      </c>
      <c r="CK24">
        <v>8.4130870242599604E-2</v>
      </c>
      <c r="CL24">
        <v>0.1275317160026708</v>
      </c>
    </row>
    <row r="25" spans="1:90" x14ac:dyDescent="0.45">
      <c r="A25" t="s">
        <v>695</v>
      </c>
      <c r="B25">
        <v>1642960800</v>
      </c>
      <c r="C25" t="s">
        <v>445</v>
      </c>
      <c r="D25" t="s">
        <v>65</v>
      </c>
      <c r="E25" t="s">
        <v>66</v>
      </c>
      <c r="F25" t="s">
        <v>96</v>
      </c>
      <c r="G25" t="s">
        <v>107</v>
      </c>
      <c r="H25" t="s">
        <v>103</v>
      </c>
      <c r="I25">
        <v>0.32</v>
      </c>
      <c r="J25">
        <v>0.32059212573918455</v>
      </c>
      <c r="K25">
        <v>0.28586990351696234</v>
      </c>
      <c r="L25">
        <v>0.3935379707438531</v>
      </c>
      <c r="M25">
        <v>3</v>
      </c>
      <c r="N25">
        <v>1.58</v>
      </c>
      <c r="O25">
        <v>1.0900000000000001</v>
      </c>
      <c r="P25">
        <v>1.58</v>
      </c>
      <c r="Q25">
        <v>1.48</v>
      </c>
      <c r="R25" t="s">
        <v>1351</v>
      </c>
      <c r="S25">
        <v>1</v>
      </c>
      <c r="T25">
        <v>2</v>
      </c>
      <c r="U25">
        <v>3</v>
      </c>
      <c r="V25">
        <v>1</v>
      </c>
      <c r="W25">
        <v>1</v>
      </c>
      <c r="X25">
        <v>0</v>
      </c>
      <c r="Y25">
        <v>31</v>
      </c>
      <c r="Z25" t="s">
        <v>446</v>
      </c>
      <c r="AA25">
        <v>4</v>
      </c>
      <c r="AB25">
        <v>4</v>
      </c>
      <c r="AC25">
        <v>1</v>
      </c>
      <c r="AD25">
        <v>0</v>
      </c>
      <c r="AE25">
        <v>2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18</v>
      </c>
      <c r="AL25">
        <v>15</v>
      </c>
      <c r="AM25">
        <v>9</v>
      </c>
      <c r="AN25">
        <v>3</v>
      </c>
      <c r="AO25">
        <v>9</v>
      </c>
      <c r="AP25">
        <v>12</v>
      </c>
      <c r="AQ25">
        <v>19</v>
      </c>
      <c r="AR25">
        <v>10</v>
      </c>
      <c r="AS25">
        <v>39</v>
      </c>
      <c r="AT25">
        <v>61</v>
      </c>
      <c r="AU25">
        <v>1.95</v>
      </c>
      <c r="AV25">
        <v>1.5</v>
      </c>
      <c r="AW25">
        <v>2.4</v>
      </c>
      <c r="AX25">
        <v>45</v>
      </c>
      <c r="AY25">
        <v>71</v>
      </c>
      <c r="AZ25">
        <v>49</v>
      </c>
      <c r="BA25">
        <v>21</v>
      </c>
      <c r="BB25">
        <v>9</v>
      </c>
      <c r="BC25">
        <v>27</v>
      </c>
      <c r="BD25">
        <v>62</v>
      </c>
      <c r="BE25">
        <v>44</v>
      </c>
      <c r="BF25">
        <v>75</v>
      </c>
      <c r="BG25">
        <v>9.33</v>
      </c>
      <c r="BH25">
        <v>4.53</v>
      </c>
      <c r="BI25">
        <v>2.88</v>
      </c>
      <c r="BJ25">
        <v>3.2</v>
      </c>
      <c r="BK25">
        <v>2.38</v>
      </c>
      <c r="BL25">
        <v>2.663009648303764E-2</v>
      </c>
      <c r="BM25">
        <v>1.4</v>
      </c>
      <c r="BN25">
        <v>2.17</v>
      </c>
      <c r="BO25">
        <v>4.2</v>
      </c>
      <c r="BP25">
        <v>7</v>
      </c>
      <c r="BQ25">
        <v>1.91</v>
      </c>
      <c r="BR25">
        <v>1.83</v>
      </c>
      <c r="BS25" t="s">
        <v>99</v>
      </c>
      <c r="BT25">
        <v>1.274681051426811</v>
      </c>
      <c r="BU25">
        <v>1.4392482240810365</v>
      </c>
      <c r="BV25">
        <v>2.5313454284174597</v>
      </c>
      <c r="BW25">
        <v>1.210167055864918</v>
      </c>
      <c r="BX25">
        <v>1.3211783725525419</v>
      </c>
      <c r="BY25">
        <v>0.53135669362084459</v>
      </c>
      <c r="BZ25">
        <v>0.55633423180592989</v>
      </c>
      <c r="CA25">
        <v>11.21109010712035</v>
      </c>
      <c r="CB25">
        <v>11.01700787401575</v>
      </c>
      <c r="CC25">
        <v>4.6792332268370611</v>
      </c>
      <c r="CD25">
        <v>4.7080804854679013</v>
      </c>
      <c r="CE25">
        <v>6.5318568802832893</v>
      </c>
      <c r="CF25">
        <v>6.3089273885478487</v>
      </c>
      <c r="CG25">
        <v>12.72547770700637</v>
      </c>
      <c r="CH25">
        <v>13.06847133757962</v>
      </c>
      <c r="CI25">
        <v>1.6902356902356901</v>
      </c>
      <c r="CJ25">
        <v>1.8050198959289869</v>
      </c>
      <c r="CK25">
        <v>0.105907560453015</v>
      </c>
      <c r="CL25">
        <v>0.1141720232629324</v>
      </c>
    </row>
    <row r="26" spans="1:90" x14ac:dyDescent="0.45">
      <c r="A26" t="s">
        <v>695</v>
      </c>
      <c r="B26">
        <v>1642986000</v>
      </c>
      <c r="C26" t="s">
        <v>447</v>
      </c>
      <c r="D26" t="s">
        <v>65</v>
      </c>
      <c r="E26" t="s">
        <v>66</v>
      </c>
      <c r="F26" t="s">
        <v>73</v>
      </c>
      <c r="G26" t="s">
        <v>72</v>
      </c>
      <c r="H26" t="s">
        <v>138</v>
      </c>
      <c r="I26">
        <v>0.44</v>
      </c>
      <c r="J26">
        <v>0.43953721970181725</v>
      </c>
      <c r="K26">
        <v>0.28970781753596647</v>
      </c>
      <c r="L26">
        <v>0.27075496276221617</v>
      </c>
      <c r="M26">
        <v>3</v>
      </c>
      <c r="N26">
        <v>1.58</v>
      </c>
      <c r="O26">
        <v>0.8</v>
      </c>
      <c r="P26">
        <v>1.58</v>
      </c>
      <c r="Q26">
        <v>1.28</v>
      </c>
      <c r="R26" t="s">
        <v>1351</v>
      </c>
      <c r="S26">
        <v>1</v>
      </c>
      <c r="T26">
        <v>4</v>
      </c>
      <c r="U26">
        <v>5</v>
      </c>
      <c r="V26">
        <v>2</v>
      </c>
      <c r="W26">
        <v>1</v>
      </c>
      <c r="X26">
        <v>1</v>
      </c>
      <c r="Y26">
        <v>36</v>
      </c>
      <c r="Z26" t="s">
        <v>448</v>
      </c>
      <c r="AA26">
        <v>4</v>
      </c>
      <c r="AB26">
        <v>4</v>
      </c>
      <c r="AC26">
        <v>1</v>
      </c>
      <c r="AD26">
        <v>1</v>
      </c>
      <c r="AE26">
        <v>1</v>
      </c>
      <c r="AF26">
        <v>0</v>
      </c>
      <c r="AG26">
        <v>2</v>
      </c>
      <c r="AH26">
        <v>0</v>
      </c>
      <c r="AI26">
        <v>0</v>
      </c>
      <c r="AJ26">
        <v>1</v>
      </c>
      <c r="AK26">
        <v>10</v>
      </c>
      <c r="AL26">
        <v>19</v>
      </c>
      <c r="AM26">
        <v>4</v>
      </c>
      <c r="AN26">
        <v>8</v>
      </c>
      <c r="AO26">
        <v>6</v>
      </c>
      <c r="AP26">
        <v>11</v>
      </c>
      <c r="AQ26">
        <v>9</v>
      </c>
      <c r="AR26">
        <v>19</v>
      </c>
      <c r="AS26">
        <v>39</v>
      </c>
      <c r="AT26">
        <v>61</v>
      </c>
      <c r="AU26">
        <v>1.08</v>
      </c>
      <c r="AV26">
        <v>1.96</v>
      </c>
      <c r="AW26">
        <v>2.0099999999999998</v>
      </c>
      <c r="AX26">
        <v>49</v>
      </c>
      <c r="AY26">
        <v>73</v>
      </c>
      <c r="AZ26">
        <v>38</v>
      </c>
      <c r="BA26">
        <v>4</v>
      </c>
      <c r="BB26">
        <v>0</v>
      </c>
      <c r="BC26">
        <v>9</v>
      </c>
      <c r="BD26">
        <v>52</v>
      </c>
      <c r="BE26">
        <v>54</v>
      </c>
      <c r="BF26">
        <v>78</v>
      </c>
      <c r="BG26">
        <v>11.78</v>
      </c>
      <c r="BH26">
        <v>4.32</v>
      </c>
      <c r="BI26">
        <v>2.14</v>
      </c>
      <c r="BJ26">
        <v>3.15</v>
      </c>
      <c r="BK26">
        <v>3.35</v>
      </c>
      <c r="BL26">
        <v>2.7752499924350953E-2</v>
      </c>
      <c r="BM26">
        <v>1.36</v>
      </c>
      <c r="BN26">
        <v>2.0099999999999998</v>
      </c>
      <c r="BO26">
        <v>3.75</v>
      </c>
      <c r="BP26">
        <v>7.5</v>
      </c>
      <c r="BQ26">
        <v>2</v>
      </c>
      <c r="BR26">
        <v>1.73</v>
      </c>
      <c r="BS26" t="s">
        <v>142</v>
      </c>
      <c r="BT26">
        <v>1.6395459745305552</v>
      </c>
      <c r="BU26">
        <v>1.0758429359324786</v>
      </c>
      <c r="BV26">
        <v>2.4807646356033461</v>
      </c>
      <c r="BW26">
        <v>1.4140979689366791</v>
      </c>
      <c r="BX26">
        <v>1.0666666666666671</v>
      </c>
      <c r="BY26">
        <v>0.62712066905615294</v>
      </c>
      <c r="BZ26">
        <v>0.46009557945041818</v>
      </c>
      <c r="CA26">
        <v>12.56969280146722</v>
      </c>
      <c r="CB26">
        <v>9.8695552498853729</v>
      </c>
      <c r="CC26">
        <v>5.2754256787850897</v>
      </c>
      <c r="CD26">
        <v>4.1279337321675103</v>
      </c>
      <c r="CE26">
        <v>7.2942671226821298</v>
      </c>
      <c r="CF26">
        <v>5.7416215177178627</v>
      </c>
      <c r="CG26">
        <v>12.897246007868549</v>
      </c>
      <c r="CH26">
        <v>13.507058551261281</v>
      </c>
      <c r="CI26">
        <v>1.576522702104098</v>
      </c>
      <c r="CJ26">
        <v>1.917165005537099</v>
      </c>
      <c r="CK26">
        <v>8.4385382059800659E-2</v>
      </c>
      <c r="CL26">
        <v>0.1233665559246955</v>
      </c>
    </row>
    <row r="27" spans="1:90" x14ac:dyDescent="0.45">
      <c r="A27" t="s">
        <v>695</v>
      </c>
      <c r="B27">
        <v>1643425200</v>
      </c>
      <c r="C27" t="s">
        <v>449</v>
      </c>
      <c r="D27" t="s">
        <v>65</v>
      </c>
      <c r="E27" t="s">
        <v>66</v>
      </c>
      <c r="F27" t="s">
        <v>102</v>
      </c>
      <c r="G27" t="s">
        <v>106</v>
      </c>
      <c r="H27" t="s">
        <v>165</v>
      </c>
      <c r="I27">
        <v>0.42</v>
      </c>
      <c r="J27">
        <v>0.41276060008451892</v>
      </c>
      <c r="K27">
        <v>0.29866002253838564</v>
      </c>
      <c r="L27">
        <v>0.28857937737709533</v>
      </c>
      <c r="M27">
        <v>3</v>
      </c>
      <c r="N27">
        <v>1.42</v>
      </c>
      <c r="O27">
        <v>0.56000000000000005</v>
      </c>
      <c r="P27">
        <v>1.38</v>
      </c>
      <c r="Q27">
        <v>0.53</v>
      </c>
      <c r="R27" t="s">
        <v>1352</v>
      </c>
      <c r="S27">
        <v>3</v>
      </c>
      <c r="T27">
        <v>1</v>
      </c>
      <c r="U27">
        <v>4</v>
      </c>
      <c r="V27">
        <v>1</v>
      </c>
      <c r="W27">
        <v>0</v>
      </c>
      <c r="X27">
        <v>1</v>
      </c>
      <c r="Y27" t="s">
        <v>450</v>
      </c>
      <c r="Z27">
        <v>36</v>
      </c>
      <c r="AA27">
        <v>7</v>
      </c>
      <c r="AB27">
        <v>6</v>
      </c>
      <c r="AC27">
        <v>1</v>
      </c>
      <c r="AD27">
        <v>0</v>
      </c>
      <c r="AE27">
        <v>2</v>
      </c>
      <c r="AF27">
        <v>0</v>
      </c>
      <c r="AG27">
        <v>1</v>
      </c>
      <c r="AH27">
        <v>0</v>
      </c>
      <c r="AI27">
        <v>2</v>
      </c>
      <c r="AJ27">
        <v>0</v>
      </c>
      <c r="AK27">
        <v>11</v>
      </c>
      <c r="AL27">
        <v>10</v>
      </c>
      <c r="AM27">
        <v>6</v>
      </c>
      <c r="AN27">
        <v>3</v>
      </c>
      <c r="AO27">
        <v>5</v>
      </c>
      <c r="AP27">
        <v>7</v>
      </c>
      <c r="AQ27">
        <v>10</v>
      </c>
      <c r="AR27">
        <v>7</v>
      </c>
      <c r="AS27">
        <v>55</v>
      </c>
      <c r="AT27">
        <v>45</v>
      </c>
      <c r="AU27">
        <v>1.4</v>
      </c>
      <c r="AV27">
        <v>1.19</v>
      </c>
      <c r="AW27">
        <v>2.52</v>
      </c>
      <c r="AX27">
        <v>57</v>
      </c>
      <c r="AY27">
        <v>88</v>
      </c>
      <c r="AZ27">
        <v>39</v>
      </c>
      <c r="BA27">
        <v>20</v>
      </c>
      <c r="BB27">
        <v>6</v>
      </c>
      <c r="BC27">
        <v>32</v>
      </c>
      <c r="BD27">
        <v>68</v>
      </c>
      <c r="BE27">
        <v>39</v>
      </c>
      <c r="BF27">
        <v>86</v>
      </c>
      <c r="BG27">
        <v>8.61</v>
      </c>
      <c r="BH27">
        <v>5.0599999999999996</v>
      </c>
      <c r="BI27">
        <v>2.29</v>
      </c>
      <c r="BJ27">
        <v>3.1</v>
      </c>
      <c r="BK27">
        <v>3.2</v>
      </c>
      <c r="BL27">
        <v>2.3920622622904657E-2</v>
      </c>
      <c r="BM27">
        <v>1.42</v>
      </c>
      <c r="BN27">
        <v>2.25</v>
      </c>
      <c r="BO27">
        <v>4.5</v>
      </c>
      <c r="BP27">
        <v>8</v>
      </c>
      <c r="BQ27">
        <v>1.91</v>
      </c>
      <c r="BR27">
        <v>1.8</v>
      </c>
      <c r="BS27" t="s">
        <v>124</v>
      </c>
      <c r="BT27">
        <v>1.5780106027030405</v>
      </c>
      <c r="BU27">
        <v>1.1353025412447635</v>
      </c>
      <c r="BV27">
        <v>2.4884649511978703</v>
      </c>
      <c r="BW27">
        <v>1.396960958296362</v>
      </c>
      <c r="BX27">
        <v>1.091503992901508</v>
      </c>
      <c r="BY27">
        <v>0.60765391014975045</v>
      </c>
      <c r="BZ27">
        <v>0.47276760953965608</v>
      </c>
      <c r="CA27">
        <v>12.29504785684561</v>
      </c>
      <c r="CB27">
        <v>10.047232625884311</v>
      </c>
      <c r="CC27">
        <v>5.2917192097519967</v>
      </c>
      <c r="CD27">
        <v>4.2580916351408158</v>
      </c>
      <c r="CE27">
        <v>7.0033286470936131</v>
      </c>
      <c r="CF27">
        <v>5.789140990743495</v>
      </c>
      <c r="CG27">
        <v>12.77041895895049</v>
      </c>
      <c r="CH27">
        <v>13.411129919593741</v>
      </c>
      <c r="CI27">
        <v>1.556141062018646</v>
      </c>
      <c r="CJ27">
        <v>1.9114308877178761</v>
      </c>
      <c r="CK27">
        <v>8.4920956627482766E-2</v>
      </c>
      <c r="CL27">
        <v>0.1323469801378192</v>
      </c>
    </row>
    <row r="28" spans="1:90" x14ac:dyDescent="0.45">
      <c r="A28" t="s">
        <v>695</v>
      </c>
      <c r="B28">
        <v>1644102000</v>
      </c>
      <c r="C28" t="s">
        <v>451</v>
      </c>
      <c r="D28" t="s">
        <v>65</v>
      </c>
      <c r="E28" t="s">
        <v>66</v>
      </c>
      <c r="F28" t="s">
        <v>72</v>
      </c>
      <c r="G28" t="s">
        <v>84</v>
      </c>
      <c r="H28" t="s">
        <v>69</v>
      </c>
      <c r="I28">
        <v>0.4</v>
      </c>
      <c r="J28">
        <v>0.39221776428655009</v>
      </c>
      <c r="K28">
        <v>0.29038976772171143</v>
      </c>
      <c r="L28">
        <v>0.31739246799173843</v>
      </c>
      <c r="M28">
        <v>4</v>
      </c>
      <c r="N28">
        <v>1.33</v>
      </c>
      <c r="O28">
        <v>1</v>
      </c>
      <c r="P28">
        <v>1.24</v>
      </c>
      <c r="Q28">
        <v>1.42</v>
      </c>
      <c r="R28" t="s">
        <v>1351</v>
      </c>
      <c r="S28">
        <v>1</v>
      </c>
      <c r="T28">
        <v>3</v>
      </c>
      <c r="U28">
        <v>4</v>
      </c>
      <c r="V28">
        <v>2</v>
      </c>
      <c r="W28">
        <v>0</v>
      </c>
      <c r="X28">
        <v>2</v>
      </c>
      <c r="Y28" t="s">
        <v>193</v>
      </c>
      <c r="Z28" t="s">
        <v>452</v>
      </c>
      <c r="AA28">
        <v>8</v>
      </c>
      <c r="AB28">
        <v>3</v>
      </c>
      <c r="AC28">
        <v>4</v>
      </c>
      <c r="AD28">
        <v>0</v>
      </c>
      <c r="AE28">
        <v>4</v>
      </c>
      <c r="AF28">
        <v>1</v>
      </c>
      <c r="AG28">
        <v>1</v>
      </c>
      <c r="AH28">
        <v>3</v>
      </c>
      <c r="AI28">
        <v>3</v>
      </c>
      <c r="AJ28">
        <v>2</v>
      </c>
      <c r="AK28">
        <v>17</v>
      </c>
      <c r="AL28">
        <v>14</v>
      </c>
      <c r="AM28">
        <v>7</v>
      </c>
      <c r="AN28">
        <v>6</v>
      </c>
      <c r="AO28">
        <v>10</v>
      </c>
      <c r="AP28">
        <v>8</v>
      </c>
      <c r="AQ28">
        <v>18</v>
      </c>
      <c r="AR28">
        <v>14</v>
      </c>
      <c r="AS28">
        <v>70</v>
      </c>
      <c r="AT28">
        <v>30</v>
      </c>
      <c r="AU28">
        <v>2.08</v>
      </c>
      <c r="AV28">
        <v>1.45</v>
      </c>
      <c r="AW28">
        <v>2.74</v>
      </c>
      <c r="AX28">
        <v>41</v>
      </c>
      <c r="AY28">
        <v>84</v>
      </c>
      <c r="AZ28">
        <v>69</v>
      </c>
      <c r="BA28">
        <v>16</v>
      </c>
      <c r="BB28">
        <v>5</v>
      </c>
      <c r="BC28">
        <v>47</v>
      </c>
      <c r="BD28">
        <v>74</v>
      </c>
      <c r="BE28">
        <v>32</v>
      </c>
      <c r="BF28">
        <v>100</v>
      </c>
      <c r="BG28">
        <v>11.52</v>
      </c>
      <c r="BH28">
        <v>3.18</v>
      </c>
      <c r="BI28">
        <v>2.4700000000000002</v>
      </c>
      <c r="BJ28">
        <v>3.3</v>
      </c>
      <c r="BK28">
        <v>3.03</v>
      </c>
      <c r="BL28">
        <v>1.2640535308591586E-2</v>
      </c>
      <c r="BM28">
        <v>1.36</v>
      </c>
      <c r="BN28">
        <v>2.1</v>
      </c>
      <c r="BO28">
        <v>3.7</v>
      </c>
      <c r="BP28">
        <v>7.1</v>
      </c>
      <c r="BQ28">
        <v>1.8</v>
      </c>
      <c r="BR28">
        <v>1.95</v>
      </c>
      <c r="BS28" t="s">
        <v>76</v>
      </c>
      <c r="BT28">
        <v>1.5181603563290151</v>
      </c>
      <c r="BU28">
        <v>1.1952730370775513</v>
      </c>
      <c r="BV28">
        <v>2.4956155335383219</v>
      </c>
      <c r="BW28">
        <v>1.344038264434575</v>
      </c>
      <c r="BX28">
        <v>1.1515772691037469</v>
      </c>
      <c r="BY28">
        <v>0.59936225942375587</v>
      </c>
      <c r="BZ28">
        <v>0.50723152260562576</v>
      </c>
      <c r="CA28">
        <v>11.99278846153846</v>
      </c>
      <c r="CB28">
        <v>10.0277534965035</v>
      </c>
      <c r="CC28">
        <v>5.2857459543338514</v>
      </c>
      <c r="CD28">
        <v>4.4067834183107957</v>
      </c>
      <c r="CE28">
        <v>6.7070425072046085</v>
      </c>
      <c r="CF28">
        <v>5.6209700781927046</v>
      </c>
      <c r="CG28">
        <v>13.04463690872752</v>
      </c>
      <c r="CH28">
        <v>13.49811236953142</v>
      </c>
      <c r="CI28">
        <v>1.5836526181353769</v>
      </c>
      <c r="CJ28">
        <v>1.8744146445295871</v>
      </c>
      <c r="CK28">
        <v>8.5994040017028525E-2</v>
      </c>
      <c r="CL28">
        <v>0.13452532992762881</v>
      </c>
    </row>
    <row r="29" spans="1:90" x14ac:dyDescent="0.45">
      <c r="A29" t="s">
        <v>695</v>
      </c>
      <c r="B29">
        <v>1644109200</v>
      </c>
      <c r="C29" t="s">
        <v>453</v>
      </c>
      <c r="D29" t="s">
        <v>65</v>
      </c>
      <c r="E29" t="s">
        <v>66</v>
      </c>
      <c r="F29" t="s">
        <v>68</v>
      </c>
      <c r="G29" t="s">
        <v>91</v>
      </c>
      <c r="H29" t="s">
        <v>133</v>
      </c>
      <c r="I29">
        <v>0.57999999999999996</v>
      </c>
      <c r="J29">
        <v>0.58140566341112665</v>
      </c>
      <c r="K29">
        <v>0.25790669860781407</v>
      </c>
      <c r="L29">
        <v>0.16068763798105937</v>
      </c>
      <c r="M29">
        <v>4</v>
      </c>
      <c r="N29">
        <v>2.09</v>
      </c>
      <c r="O29">
        <v>1.27</v>
      </c>
      <c r="P29">
        <v>1.9</v>
      </c>
      <c r="Q29">
        <v>1.25</v>
      </c>
      <c r="R29" t="s">
        <v>1351</v>
      </c>
      <c r="S29">
        <v>2</v>
      </c>
      <c r="T29">
        <v>3</v>
      </c>
      <c r="U29">
        <v>5</v>
      </c>
      <c r="V29">
        <v>1</v>
      </c>
      <c r="W29">
        <v>0</v>
      </c>
      <c r="X29">
        <v>1</v>
      </c>
      <c r="Y29" t="s">
        <v>454</v>
      </c>
      <c r="Z29" t="s">
        <v>455</v>
      </c>
      <c r="AA29">
        <v>9</v>
      </c>
      <c r="AB29">
        <v>3</v>
      </c>
      <c r="AC29">
        <v>2</v>
      </c>
      <c r="AD29">
        <v>1</v>
      </c>
      <c r="AE29">
        <v>7</v>
      </c>
      <c r="AF29">
        <v>0</v>
      </c>
      <c r="AG29">
        <v>1</v>
      </c>
      <c r="AH29">
        <v>2</v>
      </c>
      <c r="AI29">
        <v>5</v>
      </c>
      <c r="AJ29">
        <v>2</v>
      </c>
      <c r="AK29">
        <v>13</v>
      </c>
      <c r="AL29">
        <v>15</v>
      </c>
      <c r="AM29">
        <v>4</v>
      </c>
      <c r="AN29">
        <v>10</v>
      </c>
      <c r="AO29">
        <v>9</v>
      </c>
      <c r="AP29">
        <v>5</v>
      </c>
      <c r="AQ29">
        <v>12</v>
      </c>
      <c r="AR29">
        <v>20</v>
      </c>
      <c r="AS29">
        <v>69</v>
      </c>
      <c r="AT29">
        <v>31</v>
      </c>
      <c r="AU29">
        <v>1.6</v>
      </c>
      <c r="AV29">
        <v>1.84</v>
      </c>
      <c r="AW29">
        <v>1.96</v>
      </c>
      <c r="AX29">
        <v>36</v>
      </c>
      <c r="AY29">
        <v>64</v>
      </c>
      <c r="AZ29">
        <v>36</v>
      </c>
      <c r="BA29">
        <v>18</v>
      </c>
      <c r="BB29">
        <v>0</v>
      </c>
      <c r="BC29">
        <v>18</v>
      </c>
      <c r="BD29">
        <v>50</v>
      </c>
      <c r="BE29">
        <v>36</v>
      </c>
      <c r="BF29">
        <v>69</v>
      </c>
      <c r="BG29">
        <v>7.81</v>
      </c>
      <c r="BH29">
        <v>3.37</v>
      </c>
      <c r="BI29">
        <v>1.68</v>
      </c>
      <c r="BJ29">
        <v>3.68</v>
      </c>
      <c r="BK29">
        <v>5.73</v>
      </c>
      <c r="BL29">
        <v>1.3832431826968547E-2</v>
      </c>
      <c r="BM29">
        <v>1.39</v>
      </c>
      <c r="BN29">
        <v>2.15</v>
      </c>
      <c r="BO29">
        <v>3.98</v>
      </c>
      <c r="BP29">
        <v>7.7</v>
      </c>
      <c r="BQ29">
        <v>2.25</v>
      </c>
      <c r="BR29">
        <v>1.57</v>
      </c>
      <c r="BS29" t="s">
        <v>116</v>
      </c>
      <c r="BT29">
        <v>2.0230889143600308</v>
      </c>
      <c r="BU29">
        <v>0.72731480520165426</v>
      </c>
      <c r="BV29">
        <v>2.6362999299229148</v>
      </c>
      <c r="BW29">
        <v>1.7619715019855171</v>
      </c>
      <c r="BX29">
        <v>0.87432842793739785</v>
      </c>
      <c r="BY29">
        <v>0.78411214953271025</v>
      </c>
      <c r="BZ29">
        <v>0.38060747663551397</v>
      </c>
      <c r="CA29">
        <v>14.215499378367181</v>
      </c>
      <c r="CB29">
        <v>8.9523612261806136</v>
      </c>
      <c r="CC29">
        <v>6.3083121289228163</v>
      </c>
      <c r="CD29">
        <v>3.7757524374735061</v>
      </c>
      <c r="CE29">
        <v>7.9071872494443642</v>
      </c>
      <c r="CF29">
        <v>5.1766087887071075</v>
      </c>
      <c r="CG29">
        <v>12.634239592183521</v>
      </c>
      <c r="CH29">
        <v>13.597706032285471</v>
      </c>
      <c r="CI29">
        <v>1.365400161681487</v>
      </c>
      <c r="CJ29">
        <v>1.963621665319321</v>
      </c>
      <c r="CK29">
        <v>7.1544058205335492E-2</v>
      </c>
      <c r="CL29">
        <v>0.1216653193209378</v>
      </c>
    </row>
    <row r="30" spans="1:90" x14ac:dyDescent="0.45">
      <c r="A30" t="s">
        <v>695</v>
      </c>
      <c r="B30">
        <v>1644116760</v>
      </c>
      <c r="C30" t="s">
        <v>456</v>
      </c>
      <c r="D30" t="s">
        <v>65</v>
      </c>
      <c r="E30" t="s">
        <v>66</v>
      </c>
      <c r="F30" t="s">
        <v>106</v>
      </c>
      <c r="G30" t="s">
        <v>96</v>
      </c>
      <c r="H30" t="s">
        <v>114</v>
      </c>
      <c r="I30">
        <v>0.38</v>
      </c>
      <c r="J30">
        <v>0.37043925715985238</v>
      </c>
      <c r="K30">
        <v>0.29979749470774508</v>
      </c>
      <c r="L30">
        <v>0.3297632481324026</v>
      </c>
      <c r="M30">
        <v>4</v>
      </c>
      <c r="N30">
        <v>1.1000000000000001</v>
      </c>
      <c r="O30">
        <v>1.5</v>
      </c>
      <c r="P30">
        <v>1.35</v>
      </c>
      <c r="Q30">
        <v>1.1000000000000001</v>
      </c>
      <c r="R30" t="s">
        <v>1352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69</v>
      </c>
      <c r="AA30">
        <v>5</v>
      </c>
      <c r="AB30">
        <v>1</v>
      </c>
      <c r="AC30">
        <v>0</v>
      </c>
      <c r="AD30">
        <v>0</v>
      </c>
      <c r="AE30">
        <v>3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25</v>
      </c>
      <c r="AL30">
        <v>11</v>
      </c>
      <c r="AM30">
        <v>10</v>
      </c>
      <c r="AN30">
        <v>3</v>
      </c>
      <c r="AO30">
        <v>15</v>
      </c>
      <c r="AP30">
        <v>8</v>
      </c>
      <c r="AQ30">
        <v>16</v>
      </c>
      <c r="AR30">
        <v>15</v>
      </c>
      <c r="AS30">
        <v>56</v>
      </c>
      <c r="AT30">
        <v>44</v>
      </c>
      <c r="AU30">
        <v>2.69</v>
      </c>
      <c r="AV30">
        <v>1.1399999999999999</v>
      </c>
      <c r="AW30">
        <v>2.39</v>
      </c>
      <c r="AX30">
        <v>59</v>
      </c>
      <c r="AY30">
        <v>77</v>
      </c>
      <c r="AZ30">
        <v>49</v>
      </c>
      <c r="BA30">
        <v>23</v>
      </c>
      <c r="BB30">
        <v>5</v>
      </c>
      <c r="BC30">
        <v>23</v>
      </c>
      <c r="BD30">
        <v>82</v>
      </c>
      <c r="BE30">
        <v>32</v>
      </c>
      <c r="BF30">
        <v>81</v>
      </c>
      <c r="BG30">
        <v>9.3000000000000007</v>
      </c>
      <c r="BH30">
        <v>5.53</v>
      </c>
      <c r="BI30">
        <v>2.61</v>
      </c>
      <c r="BJ30">
        <v>3.2</v>
      </c>
      <c r="BK30">
        <v>2.92</v>
      </c>
      <c r="BL30">
        <v>1.2702505292254918E-2</v>
      </c>
      <c r="BM30">
        <v>1.38</v>
      </c>
      <c r="BN30">
        <v>2.15</v>
      </c>
      <c r="BO30">
        <v>3.88</v>
      </c>
      <c r="BP30">
        <v>7.5</v>
      </c>
      <c r="BQ30">
        <v>1.95</v>
      </c>
      <c r="BR30">
        <v>1.8</v>
      </c>
      <c r="BS30" t="s">
        <v>110</v>
      </c>
      <c r="BT30">
        <v>1.464160929441638</v>
      </c>
      <c r="BU30">
        <v>1.2477119808919459</v>
      </c>
      <c r="BV30">
        <v>2.4900895140664963</v>
      </c>
      <c r="BW30">
        <v>1.330562659846547</v>
      </c>
      <c r="BX30">
        <v>1.1595268542199491</v>
      </c>
      <c r="BY30">
        <v>0.59053607588191415</v>
      </c>
      <c r="BZ30">
        <v>0.50069274219332838</v>
      </c>
      <c r="CA30">
        <v>11.79715236686391</v>
      </c>
      <c r="CB30">
        <v>10.317122781065089</v>
      </c>
      <c r="CC30">
        <v>5.0637025966747622</v>
      </c>
      <c r="CD30">
        <v>4.4674014571268454</v>
      </c>
      <c r="CE30">
        <v>6.7334497701891483</v>
      </c>
      <c r="CF30">
        <v>5.849721323938244</v>
      </c>
      <c r="CG30">
        <v>12.89644194756554</v>
      </c>
      <c r="CH30">
        <v>13.3434456928839</v>
      </c>
      <c r="CI30">
        <v>1.6144382124117971</v>
      </c>
      <c r="CJ30">
        <v>1.9032024606477289</v>
      </c>
      <c r="CK30">
        <v>9.372172969060974E-2</v>
      </c>
      <c r="CL30">
        <v>0.11669983716301791</v>
      </c>
    </row>
    <row r="31" spans="1:90" x14ac:dyDescent="0.45">
      <c r="A31" t="s">
        <v>695</v>
      </c>
      <c r="B31">
        <v>1644184800</v>
      </c>
      <c r="C31" t="s">
        <v>457</v>
      </c>
      <c r="D31" t="s">
        <v>65</v>
      </c>
      <c r="E31" t="s">
        <v>66</v>
      </c>
      <c r="F31" t="s">
        <v>67</v>
      </c>
      <c r="G31" t="s">
        <v>102</v>
      </c>
      <c r="H31" t="s">
        <v>66</v>
      </c>
      <c r="I31">
        <v>0.38</v>
      </c>
      <c r="J31">
        <v>0.38317423209299306</v>
      </c>
      <c r="K31">
        <v>0.31133515163322295</v>
      </c>
      <c r="L31">
        <v>0.30549061627378399</v>
      </c>
      <c r="M31">
        <v>4</v>
      </c>
      <c r="N31">
        <v>1.22</v>
      </c>
      <c r="O31">
        <v>1.5</v>
      </c>
      <c r="P31">
        <v>1.24</v>
      </c>
      <c r="Q31">
        <v>1.42</v>
      </c>
      <c r="R31" t="s">
        <v>1351</v>
      </c>
      <c r="S31">
        <v>0</v>
      </c>
      <c r="T31">
        <v>2</v>
      </c>
      <c r="U31">
        <v>2</v>
      </c>
      <c r="V31">
        <v>2</v>
      </c>
      <c r="W31">
        <v>0</v>
      </c>
      <c r="X31">
        <v>2</v>
      </c>
      <c r="Z31" t="s">
        <v>458</v>
      </c>
      <c r="AA31">
        <v>4</v>
      </c>
      <c r="AB31">
        <v>3</v>
      </c>
      <c r="AC31">
        <v>4</v>
      </c>
      <c r="AD31">
        <v>0</v>
      </c>
      <c r="AE31">
        <v>5</v>
      </c>
      <c r="AF31">
        <v>0</v>
      </c>
      <c r="AG31">
        <v>1</v>
      </c>
      <c r="AH31">
        <v>3</v>
      </c>
      <c r="AI31">
        <v>2</v>
      </c>
      <c r="AJ31">
        <v>3</v>
      </c>
      <c r="AK31">
        <v>20</v>
      </c>
      <c r="AL31">
        <v>16</v>
      </c>
      <c r="AM31">
        <v>7</v>
      </c>
      <c r="AN31">
        <v>4</v>
      </c>
      <c r="AO31">
        <v>13</v>
      </c>
      <c r="AP31">
        <v>12</v>
      </c>
      <c r="AQ31">
        <v>17</v>
      </c>
      <c r="AR31">
        <v>17</v>
      </c>
      <c r="AS31">
        <v>59</v>
      </c>
      <c r="AT31">
        <v>41</v>
      </c>
      <c r="AU31">
        <v>2.1800000000000002</v>
      </c>
      <c r="AV31">
        <v>1.6</v>
      </c>
      <c r="AW31">
        <v>1.96</v>
      </c>
      <c r="AX31">
        <v>32</v>
      </c>
      <c r="AY31">
        <v>68</v>
      </c>
      <c r="AZ31">
        <v>17</v>
      </c>
      <c r="BA31">
        <v>11</v>
      </c>
      <c r="BB31">
        <v>6</v>
      </c>
      <c r="BC31">
        <v>22</v>
      </c>
      <c r="BD31">
        <v>64</v>
      </c>
      <c r="BE31">
        <v>26</v>
      </c>
      <c r="BF31">
        <v>74</v>
      </c>
      <c r="BG31">
        <v>7.37</v>
      </c>
      <c r="BH31">
        <v>5.84</v>
      </c>
      <c r="BI31">
        <v>2.4</v>
      </c>
      <c r="BJ31">
        <v>2.9</v>
      </c>
      <c r="BK31">
        <v>2.95</v>
      </c>
      <c r="BL31">
        <v>3.3492434573673645E-2</v>
      </c>
      <c r="BM31">
        <v>1.45</v>
      </c>
      <c r="BN31">
        <v>2.2999999999999998</v>
      </c>
      <c r="BO31">
        <v>4.54</v>
      </c>
      <c r="BP31">
        <v>8.8000000000000007</v>
      </c>
      <c r="BQ31">
        <v>1.95</v>
      </c>
      <c r="BR31">
        <v>1.8</v>
      </c>
      <c r="BS31" t="s">
        <v>70</v>
      </c>
      <c r="BT31">
        <v>1.464160929441638</v>
      </c>
      <c r="BU31">
        <v>1.2477119808919459</v>
      </c>
      <c r="BV31">
        <v>2.4900895140664963</v>
      </c>
      <c r="BW31">
        <v>1.330562659846547</v>
      </c>
      <c r="BX31">
        <v>1.1595268542199491</v>
      </c>
      <c r="BY31">
        <v>0.59053607588191415</v>
      </c>
      <c r="BZ31">
        <v>0.50069274219332838</v>
      </c>
      <c r="CA31">
        <v>11.79715236686391</v>
      </c>
      <c r="CB31">
        <v>10.317122781065089</v>
      </c>
      <c r="CC31">
        <v>5.0637025966747622</v>
      </c>
      <c r="CD31">
        <v>4.4674014571268454</v>
      </c>
      <c r="CE31">
        <v>6.7334497701891483</v>
      </c>
      <c r="CF31">
        <v>5.849721323938244</v>
      </c>
      <c r="CG31">
        <v>12.89644194756554</v>
      </c>
      <c r="CH31">
        <v>13.3434456928839</v>
      </c>
      <c r="CI31">
        <v>1.6144382124117971</v>
      </c>
      <c r="CJ31">
        <v>1.9032024606477289</v>
      </c>
      <c r="CK31">
        <v>9.372172969060974E-2</v>
      </c>
      <c r="CL31">
        <v>0.11669983716301791</v>
      </c>
    </row>
    <row r="32" spans="1:90" x14ac:dyDescent="0.45">
      <c r="A32" t="s">
        <v>695</v>
      </c>
      <c r="B32">
        <v>1644192000</v>
      </c>
      <c r="C32" t="s">
        <v>459</v>
      </c>
      <c r="D32" t="s">
        <v>65</v>
      </c>
      <c r="E32" t="s">
        <v>66</v>
      </c>
      <c r="F32" t="s">
        <v>97</v>
      </c>
      <c r="G32" t="s">
        <v>73</v>
      </c>
      <c r="H32" t="s">
        <v>74</v>
      </c>
      <c r="I32">
        <v>0.44</v>
      </c>
      <c r="J32">
        <v>0.44285714285714289</v>
      </c>
      <c r="K32">
        <v>0.32380952380952388</v>
      </c>
      <c r="L32">
        <v>0.23333333333333336</v>
      </c>
      <c r="M32">
        <v>4</v>
      </c>
      <c r="N32">
        <v>1.62</v>
      </c>
      <c r="O32">
        <v>1.2</v>
      </c>
      <c r="P32">
        <v>1.55</v>
      </c>
      <c r="Q32">
        <v>1.1100000000000001</v>
      </c>
      <c r="R32" t="s">
        <v>1352</v>
      </c>
      <c r="S32">
        <v>2</v>
      </c>
      <c r="T32">
        <v>1</v>
      </c>
      <c r="U32">
        <v>3</v>
      </c>
      <c r="V32">
        <v>2</v>
      </c>
      <c r="W32">
        <v>2</v>
      </c>
      <c r="X32">
        <v>0</v>
      </c>
      <c r="Y32" t="s">
        <v>460</v>
      </c>
      <c r="Z32">
        <v>84</v>
      </c>
      <c r="AA32">
        <v>2</v>
      </c>
      <c r="AB32">
        <v>2</v>
      </c>
      <c r="AC32">
        <v>1</v>
      </c>
      <c r="AD32">
        <v>0</v>
      </c>
      <c r="AE32">
        <v>3</v>
      </c>
      <c r="AF32">
        <v>0</v>
      </c>
      <c r="AG32">
        <v>0</v>
      </c>
      <c r="AH32">
        <v>1</v>
      </c>
      <c r="AI32">
        <v>0</v>
      </c>
      <c r="AJ32">
        <v>3</v>
      </c>
      <c r="AK32">
        <v>9</v>
      </c>
      <c r="AL32">
        <v>14</v>
      </c>
      <c r="AM32">
        <v>4</v>
      </c>
      <c r="AN32">
        <v>5</v>
      </c>
      <c r="AO32">
        <v>5</v>
      </c>
      <c r="AP32">
        <v>9</v>
      </c>
      <c r="AQ32">
        <v>19</v>
      </c>
      <c r="AR32">
        <v>14</v>
      </c>
      <c r="AS32">
        <v>54</v>
      </c>
      <c r="AT32">
        <v>46</v>
      </c>
      <c r="AU32">
        <v>1.07</v>
      </c>
      <c r="AV32">
        <v>1.54</v>
      </c>
      <c r="AW32">
        <v>2.09</v>
      </c>
      <c r="AX32">
        <v>43</v>
      </c>
      <c r="AY32">
        <v>68</v>
      </c>
      <c r="AZ32">
        <v>34</v>
      </c>
      <c r="BA32">
        <v>10</v>
      </c>
      <c r="BB32">
        <v>5</v>
      </c>
      <c r="BC32">
        <v>15</v>
      </c>
      <c r="BD32">
        <v>54</v>
      </c>
      <c r="BE32">
        <v>42</v>
      </c>
      <c r="BF32">
        <v>89</v>
      </c>
      <c r="BG32">
        <v>11.69</v>
      </c>
      <c r="BH32">
        <v>5.15</v>
      </c>
      <c r="BI32">
        <v>2.1</v>
      </c>
      <c r="BJ32">
        <v>2.8</v>
      </c>
      <c r="BK32">
        <v>3.75</v>
      </c>
      <c r="BL32">
        <v>3.3333333333333291E-2</v>
      </c>
      <c r="BM32">
        <v>1.45</v>
      </c>
      <c r="BN32">
        <v>2.4</v>
      </c>
      <c r="BO32">
        <v>4.54</v>
      </c>
      <c r="BP32">
        <v>8.9</v>
      </c>
      <c r="BQ32">
        <v>2.0499999999999998</v>
      </c>
      <c r="BR32">
        <v>1.7</v>
      </c>
      <c r="BS32" t="s">
        <v>136</v>
      </c>
      <c r="BT32">
        <v>1.6395459745305552</v>
      </c>
      <c r="BU32">
        <v>1.0758429359324786</v>
      </c>
      <c r="BV32">
        <v>2.4807646356033461</v>
      </c>
      <c r="BW32">
        <v>1.4140979689366791</v>
      </c>
      <c r="BX32">
        <v>1.0666666666666671</v>
      </c>
      <c r="BY32">
        <v>0.62712066905615294</v>
      </c>
      <c r="BZ32">
        <v>0.46009557945041818</v>
      </c>
      <c r="CA32">
        <v>12.56969280146722</v>
      </c>
      <c r="CB32">
        <v>9.8695552498853729</v>
      </c>
      <c r="CC32">
        <v>5.2754256787850897</v>
      </c>
      <c r="CD32">
        <v>4.1279337321675103</v>
      </c>
      <c r="CE32">
        <v>7.2942671226821298</v>
      </c>
      <c r="CF32">
        <v>5.7416215177178627</v>
      </c>
      <c r="CG32">
        <v>12.897246007868549</v>
      </c>
      <c r="CH32">
        <v>13.507058551261281</v>
      </c>
      <c r="CI32">
        <v>1.576522702104098</v>
      </c>
      <c r="CJ32">
        <v>1.917165005537099</v>
      </c>
      <c r="CK32">
        <v>8.4385382059800659E-2</v>
      </c>
      <c r="CL32">
        <v>0.1233665559246955</v>
      </c>
    </row>
    <row r="33" spans="1:90" x14ac:dyDescent="0.45">
      <c r="A33" t="s">
        <v>695</v>
      </c>
      <c r="B33">
        <v>1644199200</v>
      </c>
      <c r="C33" t="s">
        <v>461</v>
      </c>
      <c r="D33" t="s">
        <v>65</v>
      </c>
      <c r="E33" t="s">
        <v>66</v>
      </c>
      <c r="F33" t="s">
        <v>107</v>
      </c>
      <c r="G33" t="s">
        <v>113</v>
      </c>
      <c r="H33" t="s">
        <v>130</v>
      </c>
      <c r="I33">
        <v>0.7</v>
      </c>
      <c r="J33">
        <v>0.69170579029733958</v>
      </c>
      <c r="K33">
        <v>0.2097026604068857</v>
      </c>
      <c r="L33">
        <v>9.8591549295774614E-2</v>
      </c>
      <c r="M33">
        <v>4</v>
      </c>
      <c r="N33">
        <v>1.92</v>
      </c>
      <c r="O33">
        <v>0.56000000000000005</v>
      </c>
      <c r="P33">
        <v>2</v>
      </c>
      <c r="Q33">
        <v>0.72</v>
      </c>
      <c r="R33" t="s">
        <v>1352</v>
      </c>
      <c r="S33">
        <v>4</v>
      </c>
      <c r="T33">
        <v>3</v>
      </c>
      <c r="U33">
        <v>7</v>
      </c>
      <c r="V33">
        <v>2</v>
      </c>
      <c r="W33">
        <v>2</v>
      </c>
      <c r="X33">
        <v>0</v>
      </c>
      <c r="Y33" t="s">
        <v>462</v>
      </c>
      <c r="Z33" t="s">
        <v>463</v>
      </c>
      <c r="AA33">
        <v>8</v>
      </c>
      <c r="AB33">
        <v>5</v>
      </c>
      <c r="AC33">
        <v>3</v>
      </c>
      <c r="AD33">
        <v>0</v>
      </c>
      <c r="AE33">
        <v>5</v>
      </c>
      <c r="AF33">
        <v>1</v>
      </c>
      <c r="AG33">
        <v>1</v>
      </c>
      <c r="AH33">
        <v>2</v>
      </c>
      <c r="AI33">
        <v>1</v>
      </c>
      <c r="AJ33">
        <v>5</v>
      </c>
      <c r="AK33">
        <v>10</v>
      </c>
      <c r="AL33">
        <v>9</v>
      </c>
      <c r="AM33">
        <v>6</v>
      </c>
      <c r="AN33">
        <v>4</v>
      </c>
      <c r="AO33">
        <v>4</v>
      </c>
      <c r="AP33">
        <v>5</v>
      </c>
      <c r="AQ33">
        <v>17</v>
      </c>
      <c r="AR33">
        <v>16</v>
      </c>
      <c r="AS33">
        <v>62</v>
      </c>
      <c r="AT33">
        <v>38</v>
      </c>
      <c r="AU33">
        <v>1.59</v>
      </c>
      <c r="AV33">
        <v>1.04</v>
      </c>
      <c r="AW33">
        <v>2.2000000000000002</v>
      </c>
      <c r="AX33">
        <v>32</v>
      </c>
      <c r="AY33">
        <v>77</v>
      </c>
      <c r="AZ33">
        <v>47</v>
      </c>
      <c r="BA33">
        <v>10</v>
      </c>
      <c r="BB33">
        <v>0</v>
      </c>
      <c r="BC33">
        <v>24</v>
      </c>
      <c r="BD33">
        <v>73</v>
      </c>
      <c r="BE33">
        <v>33</v>
      </c>
      <c r="BF33">
        <v>66</v>
      </c>
      <c r="BG33">
        <v>8.5299999999999994</v>
      </c>
      <c r="BH33">
        <v>4.8099999999999996</v>
      </c>
      <c r="BI33">
        <v>1.42</v>
      </c>
      <c r="BJ33">
        <v>4.5</v>
      </c>
      <c r="BK33">
        <v>9</v>
      </c>
      <c r="BL33">
        <v>1.2519561815336496E-2</v>
      </c>
      <c r="BM33">
        <v>0</v>
      </c>
      <c r="BN33">
        <v>1.82</v>
      </c>
      <c r="BO33">
        <v>0</v>
      </c>
      <c r="BP33">
        <v>0</v>
      </c>
      <c r="BQ33">
        <v>0</v>
      </c>
      <c r="BR33">
        <v>0</v>
      </c>
      <c r="BS33" t="s">
        <v>161</v>
      </c>
      <c r="BT33">
        <v>2.3288743096422602</v>
      </c>
      <c r="BU33">
        <v>0.47695922076506025</v>
      </c>
      <c r="BV33">
        <v>2.9925826028320968</v>
      </c>
      <c r="BW33">
        <v>2.224544841537424</v>
      </c>
      <c r="BX33">
        <v>0.76803776129467294</v>
      </c>
      <c r="BY33">
        <v>0.96561024949426832</v>
      </c>
      <c r="BZ33">
        <v>0.34187457855697911</v>
      </c>
      <c r="CA33">
        <v>16.100000000000001</v>
      </c>
      <c r="CB33">
        <v>8.3493506493506491</v>
      </c>
      <c r="CC33">
        <v>7.2678100263852254</v>
      </c>
      <c r="CD33">
        <v>3.2770448548812658</v>
      </c>
      <c r="CE33">
        <v>8.832189973614776</v>
      </c>
      <c r="CF33">
        <v>5.0723057944693828</v>
      </c>
      <c r="CG33">
        <v>11.95872170439414</v>
      </c>
      <c r="CH33">
        <v>13.450066577896139</v>
      </c>
      <c r="CI33">
        <v>1.301526717557252</v>
      </c>
      <c r="CJ33">
        <v>1.9796437659033079</v>
      </c>
      <c r="CK33">
        <v>5.3435114503816793E-2</v>
      </c>
      <c r="CL33">
        <v>0.1183206106870229</v>
      </c>
    </row>
    <row r="34" spans="1:90" x14ac:dyDescent="0.45">
      <c r="A34" t="s">
        <v>695</v>
      </c>
      <c r="B34">
        <v>1644289500</v>
      </c>
      <c r="C34" t="s">
        <v>464</v>
      </c>
      <c r="D34" t="s">
        <v>65</v>
      </c>
      <c r="E34" t="s">
        <v>66</v>
      </c>
      <c r="F34" t="s">
        <v>85</v>
      </c>
      <c r="G34" t="s">
        <v>112</v>
      </c>
      <c r="H34" t="s">
        <v>138</v>
      </c>
      <c r="I34">
        <v>0.48</v>
      </c>
      <c r="J34">
        <v>0.47441966683168935</v>
      </c>
      <c r="K34">
        <v>0.28362478600510727</v>
      </c>
      <c r="L34">
        <v>0.24195554716320347</v>
      </c>
      <c r="M34">
        <v>4</v>
      </c>
      <c r="N34">
        <v>1.92</v>
      </c>
      <c r="O34">
        <v>1.2</v>
      </c>
      <c r="P34">
        <v>1.55</v>
      </c>
      <c r="Q34">
        <v>1.5</v>
      </c>
      <c r="R34" t="s">
        <v>1351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Z34">
        <v>30</v>
      </c>
      <c r="AA34">
        <v>6</v>
      </c>
      <c r="AB34">
        <v>3</v>
      </c>
      <c r="AC34">
        <v>3</v>
      </c>
      <c r="AD34">
        <v>0</v>
      </c>
      <c r="AE34">
        <v>2</v>
      </c>
      <c r="AF34">
        <v>0</v>
      </c>
      <c r="AG34">
        <v>2</v>
      </c>
      <c r="AH34">
        <v>1</v>
      </c>
      <c r="AI34">
        <v>1</v>
      </c>
      <c r="AJ34">
        <v>1</v>
      </c>
      <c r="AK34">
        <v>17</v>
      </c>
      <c r="AL34">
        <v>4</v>
      </c>
      <c r="AM34">
        <v>7</v>
      </c>
      <c r="AN34">
        <v>2</v>
      </c>
      <c r="AO34">
        <v>10</v>
      </c>
      <c r="AP34">
        <v>2</v>
      </c>
      <c r="AQ34">
        <v>16</v>
      </c>
      <c r="AR34">
        <v>18</v>
      </c>
      <c r="AS34">
        <v>69</v>
      </c>
      <c r="AT34">
        <v>31</v>
      </c>
      <c r="AU34">
        <v>2.13</v>
      </c>
      <c r="AV34">
        <v>0.82</v>
      </c>
      <c r="AW34">
        <v>2.4300000000000002</v>
      </c>
      <c r="AX34">
        <v>66</v>
      </c>
      <c r="AY34">
        <v>78</v>
      </c>
      <c r="AZ34">
        <v>47</v>
      </c>
      <c r="BA34">
        <v>14</v>
      </c>
      <c r="BB34">
        <v>9</v>
      </c>
      <c r="BC34">
        <v>36</v>
      </c>
      <c r="BD34">
        <v>78</v>
      </c>
      <c r="BE34">
        <v>34</v>
      </c>
      <c r="BF34">
        <v>68</v>
      </c>
      <c r="BG34">
        <v>8.0500000000000007</v>
      </c>
      <c r="BH34">
        <v>5.94</v>
      </c>
      <c r="BI34">
        <v>2.04</v>
      </c>
      <c r="BJ34">
        <v>3.34</v>
      </c>
      <c r="BK34">
        <v>3.88</v>
      </c>
      <c r="BL34">
        <v>1.5776411599683165E-2</v>
      </c>
      <c r="BM34">
        <v>1.44</v>
      </c>
      <c r="BN34">
        <v>2.15</v>
      </c>
      <c r="BO34">
        <v>4.4000000000000004</v>
      </c>
      <c r="BP34">
        <v>8.4</v>
      </c>
      <c r="BQ34">
        <v>2</v>
      </c>
      <c r="BR34">
        <v>1.75</v>
      </c>
      <c r="BS34" t="s">
        <v>128</v>
      </c>
      <c r="BT34">
        <v>1.743992017160418</v>
      </c>
      <c r="BU34">
        <v>0.97803937284245479</v>
      </c>
      <c r="BV34">
        <v>2.5271929824561399</v>
      </c>
      <c r="BW34">
        <v>1.510877192982456</v>
      </c>
      <c r="BX34">
        <v>1.0163157894736841</v>
      </c>
      <c r="BY34">
        <v>0.67350877192982461</v>
      </c>
      <c r="BZ34">
        <v>0.4442105263157895</v>
      </c>
      <c r="CA34">
        <v>12.80980392156863</v>
      </c>
      <c r="CB34">
        <v>9.6872549019607845</v>
      </c>
      <c r="CC34">
        <v>5.6491169610129957</v>
      </c>
      <c r="CD34">
        <v>4.1379540153282237</v>
      </c>
      <c r="CE34">
        <v>7.1606869605556343</v>
      </c>
      <c r="CF34">
        <v>5.5493008866325608</v>
      </c>
      <c r="CG34">
        <v>12.9029029029029</v>
      </c>
      <c r="CH34">
        <v>13.75508842175509</v>
      </c>
      <c r="CI34">
        <v>1.5287356321839081</v>
      </c>
      <c r="CJ34">
        <v>1.9664750957854411</v>
      </c>
      <c r="CK34">
        <v>8.8441890166028103E-2</v>
      </c>
      <c r="CL34">
        <v>0.13409961685823751</v>
      </c>
    </row>
    <row r="35" spans="1:90" x14ac:dyDescent="0.45">
      <c r="A35" t="s">
        <v>695</v>
      </c>
      <c r="B35">
        <v>1644454800</v>
      </c>
      <c r="C35" t="s">
        <v>465</v>
      </c>
      <c r="D35" t="s">
        <v>65</v>
      </c>
      <c r="E35" t="s">
        <v>66</v>
      </c>
      <c r="F35" t="s">
        <v>78</v>
      </c>
      <c r="G35" t="s">
        <v>90</v>
      </c>
      <c r="H35" t="s">
        <v>175</v>
      </c>
      <c r="I35">
        <v>0.32</v>
      </c>
      <c r="J35">
        <v>0.32532988952139408</v>
      </c>
      <c r="K35">
        <v>0.32409440644751214</v>
      </c>
      <c r="L35">
        <v>0.35057570403109378</v>
      </c>
      <c r="M35">
        <v>4</v>
      </c>
      <c r="N35">
        <v>1.56</v>
      </c>
      <c r="O35">
        <v>1.0900000000000001</v>
      </c>
      <c r="P35">
        <v>0.88</v>
      </c>
      <c r="Q35">
        <v>1.32</v>
      </c>
      <c r="R35" t="s">
        <v>1351</v>
      </c>
      <c r="S35">
        <v>1</v>
      </c>
      <c r="T35">
        <v>3</v>
      </c>
      <c r="U35">
        <v>4</v>
      </c>
      <c r="V35">
        <v>2</v>
      </c>
      <c r="W35">
        <v>1</v>
      </c>
      <c r="X35">
        <v>1</v>
      </c>
      <c r="Y35">
        <v>7</v>
      </c>
      <c r="Z35" t="s">
        <v>466</v>
      </c>
      <c r="AA35">
        <v>5</v>
      </c>
      <c r="AB35">
        <v>3</v>
      </c>
      <c r="AC35">
        <v>2</v>
      </c>
      <c r="AD35">
        <v>0</v>
      </c>
      <c r="AE35">
        <v>1</v>
      </c>
      <c r="AF35">
        <v>1</v>
      </c>
      <c r="AG35">
        <v>0</v>
      </c>
      <c r="AH35">
        <v>2</v>
      </c>
      <c r="AI35">
        <v>1</v>
      </c>
      <c r="AJ35">
        <v>1</v>
      </c>
      <c r="AK35">
        <v>8</v>
      </c>
      <c r="AL35">
        <v>11</v>
      </c>
      <c r="AM35">
        <v>2</v>
      </c>
      <c r="AN35">
        <v>6</v>
      </c>
      <c r="AO35">
        <v>6</v>
      </c>
      <c r="AP35">
        <v>5</v>
      </c>
      <c r="AQ35">
        <v>0</v>
      </c>
      <c r="AR35">
        <v>1</v>
      </c>
      <c r="AS35">
        <v>44</v>
      </c>
      <c r="AT35">
        <v>56</v>
      </c>
      <c r="AU35">
        <v>1.17</v>
      </c>
      <c r="AV35">
        <v>1.66</v>
      </c>
      <c r="AW35">
        <v>1.86</v>
      </c>
      <c r="AX35">
        <v>47</v>
      </c>
      <c r="AY35">
        <v>57</v>
      </c>
      <c r="AZ35">
        <v>42</v>
      </c>
      <c r="BA35">
        <v>16</v>
      </c>
      <c r="BB35">
        <v>0</v>
      </c>
      <c r="BC35">
        <v>37</v>
      </c>
      <c r="BD35">
        <v>53</v>
      </c>
      <c r="BE35">
        <v>30</v>
      </c>
      <c r="BF35">
        <v>56</v>
      </c>
      <c r="BG35">
        <v>7.58</v>
      </c>
      <c r="BH35">
        <v>5.31</v>
      </c>
      <c r="BI35">
        <v>2.84</v>
      </c>
      <c r="BJ35">
        <v>2.85</v>
      </c>
      <c r="BK35">
        <v>2.65</v>
      </c>
      <c r="BL35">
        <v>2.6782786534943998E-2</v>
      </c>
      <c r="BM35">
        <v>1.53</v>
      </c>
      <c r="BN35">
        <v>2.41</v>
      </c>
      <c r="BO35">
        <v>5.05</v>
      </c>
      <c r="BP35">
        <v>9.9</v>
      </c>
      <c r="BQ35">
        <v>2.1</v>
      </c>
      <c r="BR35">
        <v>1.67</v>
      </c>
      <c r="BS35" t="s">
        <v>82</v>
      </c>
      <c r="BT35">
        <v>1.274681051426811</v>
      </c>
      <c r="BU35">
        <v>1.4392482240810365</v>
      </c>
      <c r="BV35">
        <v>2.5313454284174597</v>
      </c>
      <c r="BW35">
        <v>1.210167055864918</v>
      </c>
      <c r="BX35">
        <v>1.3211783725525419</v>
      </c>
      <c r="BY35">
        <v>0.53135669362084459</v>
      </c>
      <c r="BZ35">
        <v>0.55633423180592989</v>
      </c>
      <c r="CA35">
        <v>11.21109010712035</v>
      </c>
      <c r="CB35">
        <v>11.01700787401575</v>
      </c>
      <c r="CC35">
        <v>4.6792332268370611</v>
      </c>
      <c r="CD35">
        <v>4.7080804854679013</v>
      </c>
      <c r="CE35">
        <v>6.5318568802832893</v>
      </c>
      <c r="CF35">
        <v>6.3089273885478487</v>
      </c>
      <c r="CG35">
        <v>12.72547770700637</v>
      </c>
      <c r="CH35">
        <v>13.06847133757962</v>
      </c>
      <c r="CI35">
        <v>1.6902356902356901</v>
      </c>
      <c r="CJ35">
        <v>1.8050198959289869</v>
      </c>
      <c r="CK35">
        <v>0.105907560453015</v>
      </c>
      <c r="CL35">
        <v>0.1141720232629324</v>
      </c>
    </row>
    <row r="36" spans="1:90" x14ac:dyDescent="0.45">
      <c r="A36" t="s">
        <v>695</v>
      </c>
      <c r="B36">
        <v>1644627600</v>
      </c>
      <c r="C36" t="s">
        <v>467</v>
      </c>
      <c r="D36" t="s">
        <v>65</v>
      </c>
      <c r="E36" t="s">
        <v>66</v>
      </c>
      <c r="F36" t="s">
        <v>113</v>
      </c>
      <c r="G36" t="s">
        <v>106</v>
      </c>
      <c r="H36" t="s">
        <v>122</v>
      </c>
      <c r="I36">
        <v>0.38</v>
      </c>
      <c r="J36">
        <v>0.37495646116335768</v>
      </c>
      <c r="K36">
        <v>0.30311738070358757</v>
      </c>
      <c r="L36">
        <v>0.32192615813305464</v>
      </c>
      <c r="M36">
        <v>5</v>
      </c>
      <c r="N36">
        <v>1.5</v>
      </c>
      <c r="O36">
        <v>0.5</v>
      </c>
      <c r="P36">
        <v>1.71</v>
      </c>
      <c r="Q36">
        <v>0.53</v>
      </c>
      <c r="R36" t="s">
        <v>1352</v>
      </c>
      <c r="S36">
        <v>2</v>
      </c>
      <c r="T36">
        <v>0</v>
      </c>
      <c r="U36">
        <v>2</v>
      </c>
      <c r="V36">
        <v>1</v>
      </c>
      <c r="W36">
        <v>1</v>
      </c>
      <c r="X36">
        <v>0</v>
      </c>
      <c r="Y36" t="s">
        <v>468</v>
      </c>
      <c r="AA36">
        <v>1</v>
      </c>
      <c r="AB36">
        <v>4</v>
      </c>
      <c r="AC36">
        <v>2</v>
      </c>
      <c r="AD36">
        <v>0</v>
      </c>
      <c r="AE36">
        <v>3</v>
      </c>
      <c r="AF36">
        <v>0</v>
      </c>
      <c r="AG36">
        <v>1</v>
      </c>
      <c r="AH36">
        <v>1</v>
      </c>
      <c r="AI36">
        <v>1</v>
      </c>
      <c r="AJ36">
        <v>2</v>
      </c>
      <c r="AK36">
        <v>5</v>
      </c>
      <c r="AL36">
        <v>9</v>
      </c>
      <c r="AM36">
        <v>2</v>
      </c>
      <c r="AN36">
        <v>4</v>
      </c>
      <c r="AO36">
        <v>3</v>
      </c>
      <c r="AP36">
        <v>5</v>
      </c>
      <c r="AQ36">
        <v>18</v>
      </c>
      <c r="AR36">
        <v>15</v>
      </c>
      <c r="AS36">
        <v>46</v>
      </c>
      <c r="AT36">
        <v>54</v>
      </c>
      <c r="AU36">
        <v>0.69</v>
      </c>
      <c r="AV36">
        <v>1.21</v>
      </c>
      <c r="AW36">
        <v>2.85</v>
      </c>
      <c r="AX36">
        <v>65</v>
      </c>
      <c r="AY36">
        <v>90</v>
      </c>
      <c r="AZ36">
        <v>60</v>
      </c>
      <c r="BA36">
        <v>30</v>
      </c>
      <c r="BB36">
        <v>5</v>
      </c>
      <c r="BC36">
        <v>30</v>
      </c>
      <c r="BD36">
        <v>80</v>
      </c>
      <c r="BE36">
        <v>55</v>
      </c>
      <c r="BF36">
        <v>85</v>
      </c>
      <c r="BG36">
        <v>5.6</v>
      </c>
      <c r="BH36">
        <v>5.2</v>
      </c>
      <c r="BI36">
        <v>2.4</v>
      </c>
      <c r="BJ36">
        <v>2.9</v>
      </c>
      <c r="BK36">
        <v>2.75</v>
      </c>
      <c r="BL36">
        <v>4.1710205503309027E-2</v>
      </c>
      <c r="BM36">
        <v>0</v>
      </c>
      <c r="BN36">
        <v>2.15</v>
      </c>
      <c r="BO36">
        <v>0</v>
      </c>
      <c r="BP36">
        <v>0</v>
      </c>
      <c r="BQ36">
        <v>0</v>
      </c>
      <c r="BR36">
        <v>0</v>
      </c>
      <c r="BS36" t="s">
        <v>120</v>
      </c>
      <c r="BT36">
        <v>1.464160929441638</v>
      </c>
      <c r="BU36">
        <v>1.2477119808919459</v>
      </c>
      <c r="BV36">
        <v>2.4900895140664963</v>
      </c>
      <c r="BW36">
        <v>1.330562659846547</v>
      </c>
      <c r="BX36">
        <v>1.1595268542199491</v>
      </c>
      <c r="BY36">
        <v>0.59053607588191415</v>
      </c>
      <c r="BZ36">
        <v>0.50069274219332838</v>
      </c>
      <c r="CA36">
        <v>11.79715236686391</v>
      </c>
      <c r="CB36">
        <v>10.317122781065089</v>
      </c>
      <c r="CC36">
        <v>5.0637025966747622</v>
      </c>
      <c r="CD36">
        <v>4.4674014571268454</v>
      </c>
      <c r="CE36">
        <v>6.7334497701891483</v>
      </c>
      <c r="CF36">
        <v>5.849721323938244</v>
      </c>
      <c r="CG36">
        <v>12.89644194756554</v>
      </c>
      <c r="CH36">
        <v>13.3434456928839</v>
      </c>
      <c r="CI36">
        <v>1.6144382124117971</v>
      </c>
      <c r="CJ36">
        <v>1.9032024606477289</v>
      </c>
      <c r="CK36">
        <v>9.372172969060974E-2</v>
      </c>
      <c r="CL36">
        <v>0.11669983716301791</v>
      </c>
    </row>
    <row r="37" spans="1:90" x14ac:dyDescent="0.45">
      <c r="A37" t="s">
        <v>695</v>
      </c>
      <c r="B37">
        <v>1644634800</v>
      </c>
      <c r="C37" t="s">
        <v>469</v>
      </c>
      <c r="D37" t="s">
        <v>65</v>
      </c>
      <c r="E37" t="s">
        <v>66</v>
      </c>
      <c r="F37" t="s">
        <v>102</v>
      </c>
      <c r="G37" t="s">
        <v>97</v>
      </c>
      <c r="H37" t="s">
        <v>138</v>
      </c>
      <c r="I37">
        <v>0.36</v>
      </c>
      <c r="J37">
        <v>0.35226683265898961</v>
      </c>
      <c r="K37">
        <v>0.31725282705674868</v>
      </c>
      <c r="L37">
        <v>0.33048034028426188</v>
      </c>
      <c r="M37">
        <v>5</v>
      </c>
      <c r="N37">
        <v>1.54</v>
      </c>
      <c r="O37">
        <v>1.77</v>
      </c>
      <c r="P37">
        <v>1.38</v>
      </c>
      <c r="Q37">
        <v>1.68</v>
      </c>
      <c r="R37" t="s">
        <v>1348</v>
      </c>
      <c r="S37">
        <v>1</v>
      </c>
      <c r="T37">
        <v>1</v>
      </c>
      <c r="U37">
        <v>2</v>
      </c>
      <c r="V37">
        <v>0</v>
      </c>
      <c r="W37">
        <v>0</v>
      </c>
      <c r="X37">
        <v>0</v>
      </c>
      <c r="Y37" t="s">
        <v>308</v>
      </c>
      <c r="Z37">
        <v>85</v>
      </c>
      <c r="AA37">
        <v>5</v>
      </c>
      <c r="AB37">
        <v>5</v>
      </c>
      <c r="AC37">
        <v>2</v>
      </c>
      <c r="AD37">
        <v>0</v>
      </c>
      <c r="AE37">
        <v>2</v>
      </c>
      <c r="AF37">
        <v>0</v>
      </c>
      <c r="AG37">
        <v>0</v>
      </c>
      <c r="AH37">
        <v>2</v>
      </c>
      <c r="AI37">
        <v>1</v>
      </c>
      <c r="AJ37">
        <v>1</v>
      </c>
      <c r="AK37">
        <v>18</v>
      </c>
      <c r="AL37">
        <v>14</v>
      </c>
      <c r="AM37">
        <v>6</v>
      </c>
      <c r="AN37">
        <v>4</v>
      </c>
      <c r="AO37">
        <v>12</v>
      </c>
      <c r="AP37">
        <v>10</v>
      </c>
      <c r="AQ37">
        <v>11</v>
      </c>
      <c r="AR37">
        <v>10</v>
      </c>
      <c r="AS37">
        <v>49</v>
      </c>
      <c r="AT37">
        <v>51</v>
      </c>
      <c r="AU37">
        <v>1.81</v>
      </c>
      <c r="AV37">
        <v>1.48</v>
      </c>
      <c r="AW37">
        <v>2.27</v>
      </c>
      <c r="AX37">
        <v>50</v>
      </c>
      <c r="AY37">
        <v>66</v>
      </c>
      <c r="AZ37">
        <v>31</v>
      </c>
      <c r="BA37">
        <v>19</v>
      </c>
      <c r="BB37">
        <v>8</v>
      </c>
      <c r="BC37">
        <v>31</v>
      </c>
      <c r="BD37">
        <v>70</v>
      </c>
      <c r="BE37">
        <v>31</v>
      </c>
      <c r="BF37">
        <v>70</v>
      </c>
      <c r="BG37">
        <v>10.54</v>
      </c>
      <c r="BH37">
        <v>4.53</v>
      </c>
      <c r="BI37">
        <v>2.5499999999999998</v>
      </c>
      <c r="BJ37">
        <v>2.8</v>
      </c>
      <c r="BK37">
        <v>2.7</v>
      </c>
      <c r="BL37">
        <v>3.9890030086108474E-2</v>
      </c>
      <c r="BM37">
        <v>1.5</v>
      </c>
      <c r="BN37">
        <v>2.44</v>
      </c>
      <c r="BO37">
        <v>4</v>
      </c>
      <c r="BP37">
        <v>9</v>
      </c>
      <c r="BQ37">
        <v>2.1</v>
      </c>
      <c r="BR37">
        <v>1.7</v>
      </c>
      <c r="BS37" t="s">
        <v>124</v>
      </c>
      <c r="BT37">
        <v>1.4023864615972674</v>
      </c>
      <c r="BU37">
        <v>1.3093265904245279</v>
      </c>
      <c r="BV37">
        <v>2.5110350525197691</v>
      </c>
      <c r="BW37">
        <v>1.269326094653606</v>
      </c>
      <c r="BX37">
        <v>1.2417089578661631</v>
      </c>
      <c r="BY37">
        <v>0.56586402266288949</v>
      </c>
      <c r="BZ37">
        <v>0.55158168083097259</v>
      </c>
      <c r="CA37">
        <v>11.49400826446281</v>
      </c>
      <c r="CB37">
        <v>10.507231404958681</v>
      </c>
      <c r="CC37">
        <v>4.9238790406673623</v>
      </c>
      <c r="CD37">
        <v>4.6296141814389991</v>
      </c>
      <c r="CE37">
        <v>6.5701292237954476</v>
      </c>
      <c r="CF37">
        <v>5.8776172235196817</v>
      </c>
      <c r="CG37">
        <v>12.798739495798319</v>
      </c>
      <c r="CH37">
        <v>12.98844537815126</v>
      </c>
      <c r="CI37">
        <v>1.604928297313674</v>
      </c>
      <c r="CJ37">
        <v>1.791961219955565</v>
      </c>
      <c r="CK37">
        <v>8.887093516461321E-2</v>
      </c>
      <c r="CL37">
        <v>0.11694607150070691</v>
      </c>
    </row>
    <row r="38" spans="1:90" x14ac:dyDescent="0.45">
      <c r="A38" t="s">
        <v>695</v>
      </c>
      <c r="B38">
        <v>1644706800</v>
      </c>
      <c r="C38" t="s">
        <v>470</v>
      </c>
      <c r="D38" t="s">
        <v>65</v>
      </c>
      <c r="E38" t="s">
        <v>66</v>
      </c>
      <c r="F38" t="s">
        <v>91</v>
      </c>
      <c r="G38" t="s">
        <v>79</v>
      </c>
      <c r="H38" t="s">
        <v>66</v>
      </c>
      <c r="I38">
        <v>0.36</v>
      </c>
      <c r="J38">
        <v>0.36543209876543215</v>
      </c>
      <c r="K38">
        <v>0.29876543209876544</v>
      </c>
      <c r="L38">
        <v>0.33580246913580247</v>
      </c>
      <c r="M38">
        <v>5</v>
      </c>
      <c r="N38">
        <v>0.6</v>
      </c>
      <c r="O38">
        <v>1.27</v>
      </c>
      <c r="P38">
        <v>1.1100000000000001</v>
      </c>
      <c r="Q38">
        <v>1.29</v>
      </c>
      <c r="R38" t="s">
        <v>1351</v>
      </c>
      <c r="S38">
        <v>0</v>
      </c>
      <c r="T38">
        <v>1</v>
      </c>
      <c r="U38">
        <v>1</v>
      </c>
      <c r="V38">
        <v>1</v>
      </c>
      <c r="W38">
        <v>0</v>
      </c>
      <c r="X38">
        <v>1</v>
      </c>
      <c r="Z38">
        <v>4</v>
      </c>
      <c r="AA38">
        <v>9</v>
      </c>
      <c r="AB38">
        <v>3</v>
      </c>
      <c r="AC38">
        <v>2</v>
      </c>
      <c r="AD38">
        <v>0</v>
      </c>
      <c r="AE38">
        <v>1</v>
      </c>
      <c r="AF38">
        <v>1</v>
      </c>
      <c r="AG38">
        <v>2</v>
      </c>
      <c r="AH38">
        <v>0</v>
      </c>
      <c r="AI38">
        <v>2</v>
      </c>
      <c r="AJ38">
        <v>0</v>
      </c>
      <c r="AK38">
        <v>20</v>
      </c>
      <c r="AL38">
        <v>8</v>
      </c>
      <c r="AM38">
        <v>8</v>
      </c>
      <c r="AN38">
        <v>3</v>
      </c>
      <c r="AO38">
        <v>12</v>
      </c>
      <c r="AP38">
        <v>5</v>
      </c>
      <c r="AQ38">
        <v>16</v>
      </c>
      <c r="AR38">
        <v>13</v>
      </c>
      <c r="AS38">
        <v>59</v>
      </c>
      <c r="AT38">
        <v>41</v>
      </c>
      <c r="AU38">
        <v>2.27</v>
      </c>
      <c r="AV38">
        <v>0.9</v>
      </c>
      <c r="AW38">
        <v>2.67</v>
      </c>
      <c r="AX38">
        <v>38</v>
      </c>
      <c r="AY38">
        <v>76</v>
      </c>
      <c r="AZ38">
        <v>43</v>
      </c>
      <c r="BA38">
        <v>28</v>
      </c>
      <c r="BB38">
        <v>15</v>
      </c>
      <c r="BC38">
        <v>24</v>
      </c>
      <c r="BD38">
        <v>71</v>
      </c>
      <c r="BE38">
        <v>33</v>
      </c>
      <c r="BF38">
        <v>91</v>
      </c>
      <c r="BG38">
        <v>7.95</v>
      </c>
      <c r="BH38">
        <v>5.34</v>
      </c>
      <c r="BI38">
        <v>2.5</v>
      </c>
      <c r="BJ38">
        <v>3</v>
      </c>
      <c r="BK38">
        <v>2.7</v>
      </c>
      <c r="BL38">
        <v>3.4567901234567877E-2</v>
      </c>
      <c r="BM38">
        <v>1.4</v>
      </c>
      <c r="BN38">
        <v>2.15</v>
      </c>
      <c r="BO38">
        <v>4.2</v>
      </c>
      <c r="BP38">
        <v>7.5</v>
      </c>
      <c r="BQ38">
        <v>1.9</v>
      </c>
      <c r="BR38">
        <v>1.83</v>
      </c>
      <c r="BS38" t="s">
        <v>144</v>
      </c>
      <c r="BT38">
        <v>1.4023864615972674</v>
      </c>
      <c r="BU38">
        <v>1.3093265904245279</v>
      </c>
      <c r="BV38">
        <v>2.5110350525197691</v>
      </c>
      <c r="BW38">
        <v>1.269326094653606</v>
      </c>
      <c r="BX38">
        <v>1.2417089578661631</v>
      </c>
      <c r="BY38">
        <v>0.56586402266288949</v>
      </c>
      <c r="BZ38">
        <v>0.55158168083097259</v>
      </c>
      <c r="CA38">
        <v>11.49400826446281</v>
      </c>
      <c r="CB38">
        <v>10.507231404958681</v>
      </c>
      <c r="CC38">
        <v>4.9238790406673623</v>
      </c>
      <c r="CD38">
        <v>4.6296141814389991</v>
      </c>
      <c r="CE38">
        <v>6.5701292237954476</v>
      </c>
      <c r="CF38">
        <v>5.8776172235196817</v>
      </c>
      <c r="CG38">
        <v>12.798739495798319</v>
      </c>
      <c r="CH38">
        <v>12.98844537815126</v>
      </c>
      <c r="CI38">
        <v>1.604928297313674</v>
      </c>
      <c r="CJ38">
        <v>1.791961219955565</v>
      </c>
      <c r="CK38">
        <v>8.887093516461321E-2</v>
      </c>
      <c r="CL38">
        <v>0.11694607150070691</v>
      </c>
    </row>
    <row r="39" spans="1:90" x14ac:dyDescent="0.45">
      <c r="A39" t="s">
        <v>695</v>
      </c>
      <c r="B39">
        <v>1644706800</v>
      </c>
      <c r="C39" t="s">
        <v>470</v>
      </c>
      <c r="D39" t="s">
        <v>65</v>
      </c>
      <c r="E39" t="s">
        <v>66</v>
      </c>
      <c r="F39" t="s">
        <v>90</v>
      </c>
      <c r="G39" t="s">
        <v>107</v>
      </c>
      <c r="H39" t="s">
        <v>74</v>
      </c>
      <c r="I39">
        <v>0.32</v>
      </c>
      <c r="J39">
        <v>0.32315270935960583</v>
      </c>
      <c r="K39">
        <v>0.31083743842364525</v>
      </c>
      <c r="L39">
        <v>0.3660098522167487</v>
      </c>
      <c r="M39">
        <v>5</v>
      </c>
      <c r="N39">
        <v>1.5</v>
      </c>
      <c r="O39">
        <v>1.25</v>
      </c>
      <c r="P39">
        <v>1.47</v>
      </c>
      <c r="Q39">
        <v>1.48</v>
      </c>
      <c r="R39" t="s">
        <v>1351</v>
      </c>
      <c r="S39">
        <v>1</v>
      </c>
      <c r="T39">
        <v>3</v>
      </c>
      <c r="U39">
        <v>4</v>
      </c>
      <c r="V39">
        <v>2</v>
      </c>
      <c r="W39">
        <v>0</v>
      </c>
      <c r="X39">
        <v>2</v>
      </c>
      <c r="Y39">
        <v>73</v>
      </c>
      <c r="Z39" t="s">
        <v>471</v>
      </c>
      <c r="AA39">
        <v>4</v>
      </c>
      <c r="AB39">
        <v>6</v>
      </c>
      <c r="AC39">
        <v>2</v>
      </c>
      <c r="AD39">
        <v>0</v>
      </c>
      <c r="AE39">
        <v>2</v>
      </c>
      <c r="AF39">
        <v>0</v>
      </c>
      <c r="AG39">
        <v>1</v>
      </c>
      <c r="AH39">
        <v>1</v>
      </c>
      <c r="AI39">
        <v>2</v>
      </c>
      <c r="AJ39">
        <v>0</v>
      </c>
      <c r="AK39">
        <v>13</v>
      </c>
      <c r="AL39">
        <v>19</v>
      </c>
      <c r="AM39">
        <v>5</v>
      </c>
      <c r="AN39">
        <v>7</v>
      </c>
      <c r="AO39">
        <v>8</v>
      </c>
      <c r="AP39">
        <v>12</v>
      </c>
      <c r="AQ39">
        <v>8</v>
      </c>
      <c r="AR39">
        <v>12</v>
      </c>
      <c r="AS39">
        <v>57</v>
      </c>
      <c r="AT39">
        <v>43</v>
      </c>
      <c r="AU39">
        <v>1.55</v>
      </c>
      <c r="AV39">
        <v>1.99</v>
      </c>
      <c r="AW39">
        <v>2.4900000000000002</v>
      </c>
      <c r="AX39">
        <v>59</v>
      </c>
      <c r="AY39">
        <v>86</v>
      </c>
      <c r="AZ39">
        <v>54</v>
      </c>
      <c r="BA39">
        <v>9</v>
      </c>
      <c r="BB39">
        <v>0</v>
      </c>
      <c r="BC39">
        <v>32</v>
      </c>
      <c r="BD39">
        <v>83</v>
      </c>
      <c r="BE39">
        <v>45</v>
      </c>
      <c r="BF39">
        <v>81</v>
      </c>
      <c r="BG39">
        <v>9.32</v>
      </c>
      <c r="BH39">
        <v>4.72</v>
      </c>
      <c r="BI39">
        <v>2.8</v>
      </c>
      <c r="BJ39">
        <v>2.9</v>
      </c>
      <c r="BK39">
        <v>2.5</v>
      </c>
      <c r="BL39">
        <v>3.3990147783251302E-2</v>
      </c>
      <c r="BM39">
        <v>1.4</v>
      </c>
      <c r="BN39">
        <v>2.2999999999999998</v>
      </c>
      <c r="BO39">
        <v>4</v>
      </c>
      <c r="BP39">
        <v>7.5</v>
      </c>
      <c r="BQ39">
        <v>1.91</v>
      </c>
      <c r="BR39">
        <v>1.8</v>
      </c>
      <c r="BS39" t="s">
        <v>94</v>
      </c>
      <c r="BT39">
        <v>1.274681051426811</v>
      </c>
      <c r="BU39">
        <v>1.4392482240810365</v>
      </c>
      <c r="BV39">
        <v>2.5313454284174597</v>
      </c>
      <c r="BW39">
        <v>1.210167055864918</v>
      </c>
      <c r="BX39">
        <v>1.3211783725525419</v>
      </c>
      <c r="BY39">
        <v>0.53135669362084459</v>
      </c>
      <c r="BZ39">
        <v>0.55633423180592989</v>
      </c>
      <c r="CA39">
        <v>11.21109010712035</v>
      </c>
      <c r="CB39">
        <v>11.01700787401575</v>
      </c>
      <c r="CC39">
        <v>4.6792332268370611</v>
      </c>
      <c r="CD39">
        <v>4.7080804854679013</v>
      </c>
      <c r="CE39">
        <v>6.5318568802832893</v>
      </c>
      <c r="CF39">
        <v>6.3089273885478487</v>
      </c>
      <c r="CG39">
        <v>12.72547770700637</v>
      </c>
      <c r="CH39">
        <v>13.06847133757962</v>
      </c>
      <c r="CI39">
        <v>1.6902356902356901</v>
      </c>
      <c r="CJ39">
        <v>1.8050198959289869</v>
      </c>
      <c r="CK39">
        <v>0.105907560453015</v>
      </c>
      <c r="CL39">
        <v>0.1141720232629324</v>
      </c>
    </row>
    <row r="40" spans="1:90" x14ac:dyDescent="0.45">
      <c r="A40" t="s">
        <v>695</v>
      </c>
      <c r="B40">
        <v>1644714000</v>
      </c>
      <c r="C40" t="s">
        <v>472</v>
      </c>
      <c r="D40" t="s">
        <v>65</v>
      </c>
      <c r="E40" t="s">
        <v>66</v>
      </c>
      <c r="F40" t="s">
        <v>112</v>
      </c>
      <c r="G40" t="s">
        <v>72</v>
      </c>
      <c r="H40" t="s">
        <v>215</v>
      </c>
      <c r="I40">
        <v>0.57999999999999996</v>
      </c>
      <c r="J40">
        <v>0.58621069078585419</v>
      </c>
      <c r="K40">
        <v>0.26304438722739376</v>
      </c>
      <c r="L40">
        <v>0.15074492198675207</v>
      </c>
      <c r="M40">
        <v>5</v>
      </c>
      <c r="N40">
        <v>1.64</v>
      </c>
      <c r="O40">
        <v>1</v>
      </c>
      <c r="P40">
        <v>1.25</v>
      </c>
      <c r="Q40">
        <v>1.28</v>
      </c>
      <c r="R40" t="s">
        <v>1351</v>
      </c>
      <c r="S40">
        <v>1</v>
      </c>
      <c r="T40">
        <v>2</v>
      </c>
      <c r="U40">
        <v>3</v>
      </c>
      <c r="V40">
        <v>1</v>
      </c>
      <c r="W40">
        <v>1</v>
      </c>
      <c r="X40">
        <v>0</v>
      </c>
      <c r="Y40">
        <v>34</v>
      </c>
      <c r="Z40" t="s">
        <v>473</v>
      </c>
      <c r="AA40">
        <v>6</v>
      </c>
      <c r="AB40">
        <v>5</v>
      </c>
      <c r="AC40">
        <v>1</v>
      </c>
      <c r="AD40">
        <v>0</v>
      </c>
      <c r="AE40">
        <v>4</v>
      </c>
      <c r="AF40">
        <v>0</v>
      </c>
      <c r="AG40">
        <v>0</v>
      </c>
      <c r="AH40">
        <v>1</v>
      </c>
      <c r="AI40">
        <v>1</v>
      </c>
      <c r="AJ40">
        <v>3</v>
      </c>
      <c r="AK40">
        <v>10</v>
      </c>
      <c r="AL40">
        <v>20</v>
      </c>
      <c r="AM40">
        <v>3</v>
      </c>
      <c r="AN40">
        <v>9</v>
      </c>
      <c r="AO40">
        <v>7</v>
      </c>
      <c r="AP40">
        <v>11</v>
      </c>
      <c r="AQ40">
        <v>6</v>
      </c>
      <c r="AR40">
        <v>14</v>
      </c>
      <c r="AS40">
        <v>48</v>
      </c>
      <c r="AT40">
        <v>52</v>
      </c>
      <c r="AU40">
        <v>1.1000000000000001</v>
      </c>
      <c r="AV40">
        <v>2.38</v>
      </c>
      <c r="AW40">
        <v>2.36</v>
      </c>
      <c r="AX40">
        <v>45</v>
      </c>
      <c r="AY40">
        <v>78</v>
      </c>
      <c r="AZ40">
        <v>41</v>
      </c>
      <c r="BA40">
        <v>14</v>
      </c>
      <c r="BB40">
        <v>9</v>
      </c>
      <c r="BC40">
        <v>23</v>
      </c>
      <c r="BD40">
        <v>82</v>
      </c>
      <c r="BE40">
        <v>41</v>
      </c>
      <c r="BF40">
        <v>78</v>
      </c>
      <c r="BG40">
        <v>9.4499999999999993</v>
      </c>
      <c r="BH40">
        <v>4.91</v>
      </c>
      <c r="BI40">
        <v>1.62</v>
      </c>
      <c r="BJ40">
        <v>3.4</v>
      </c>
      <c r="BK40">
        <v>5.5</v>
      </c>
      <c r="BL40">
        <v>3.1073259831429761E-2</v>
      </c>
      <c r="BM40">
        <v>1.36</v>
      </c>
      <c r="BN40">
        <v>2.2000000000000002</v>
      </c>
      <c r="BO40">
        <v>3.75</v>
      </c>
      <c r="BP40">
        <v>7</v>
      </c>
      <c r="BQ40">
        <v>2.0499999999999998</v>
      </c>
      <c r="BR40">
        <v>1.72</v>
      </c>
      <c r="BS40" t="s">
        <v>116</v>
      </c>
      <c r="BT40">
        <v>2.0230889143600308</v>
      </c>
      <c r="BU40">
        <v>0.72731480520165426</v>
      </c>
      <c r="BV40">
        <v>2.6362999299229148</v>
      </c>
      <c r="BW40">
        <v>1.7619715019855171</v>
      </c>
      <c r="BX40">
        <v>0.87432842793739785</v>
      </c>
      <c r="BY40">
        <v>0.78411214953271025</v>
      </c>
      <c r="BZ40">
        <v>0.38060747663551397</v>
      </c>
      <c r="CA40">
        <v>14.215499378367181</v>
      </c>
      <c r="CB40">
        <v>8.9523612261806136</v>
      </c>
      <c r="CC40">
        <v>6.3083121289228163</v>
      </c>
      <c r="CD40">
        <v>3.7757524374735061</v>
      </c>
      <c r="CE40">
        <v>7.9071872494443642</v>
      </c>
      <c r="CF40">
        <v>5.1766087887071075</v>
      </c>
      <c r="CG40">
        <v>12.634239592183521</v>
      </c>
      <c r="CH40">
        <v>13.597706032285471</v>
      </c>
      <c r="CI40">
        <v>1.365400161681487</v>
      </c>
      <c r="CJ40">
        <v>1.963621665319321</v>
      </c>
      <c r="CK40">
        <v>7.1544058205335492E-2</v>
      </c>
      <c r="CL40">
        <v>0.1216653193209378</v>
      </c>
    </row>
    <row r="41" spans="1:90" x14ac:dyDescent="0.45">
      <c r="A41" t="s">
        <v>695</v>
      </c>
      <c r="B41">
        <v>1644721200</v>
      </c>
      <c r="C41" t="s">
        <v>474</v>
      </c>
      <c r="D41" t="s">
        <v>65</v>
      </c>
      <c r="E41" t="s">
        <v>66</v>
      </c>
      <c r="F41" t="s">
        <v>73</v>
      </c>
      <c r="G41" t="s">
        <v>68</v>
      </c>
      <c r="H41" t="s">
        <v>98</v>
      </c>
      <c r="I41">
        <v>0.32</v>
      </c>
      <c r="J41">
        <v>0.32315270935960583</v>
      </c>
      <c r="K41">
        <v>0.31083743842364525</v>
      </c>
      <c r="L41">
        <v>0.3660098522167487</v>
      </c>
      <c r="M41">
        <v>5</v>
      </c>
      <c r="N41">
        <v>1.46</v>
      </c>
      <c r="O41">
        <v>1.4</v>
      </c>
      <c r="P41">
        <v>1.58</v>
      </c>
      <c r="Q41">
        <v>1.53</v>
      </c>
      <c r="R41" t="s">
        <v>1351</v>
      </c>
      <c r="S41">
        <v>2</v>
      </c>
      <c r="T41">
        <v>3</v>
      </c>
      <c r="U41">
        <v>5</v>
      </c>
      <c r="V41">
        <v>4</v>
      </c>
      <c r="W41">
        <v>2</v>
      </c>
      <c r="X41">
        <v>2</v>
      </c>
      <c r="Y41" t="s">
        <v>475</v>
      </c>
      <c r="Z41" t="s">
        <v>476</v>
      </c>
      <c r="AA41">
        <v>5</v>
      </c>
      <c r="AB41">
        <v>3</v>
      </c>
      <c r="AC41">
        <v>1</v>
      </c>
      <c r="AD41">
        <v>0</v>
      </c>
      <c r="AE41">
        <v>3</v>
      </c>
      <c r="AF41">
        <v>0</v>
      </c>
      <c r="AG41">
        <v>1</v>
      </c>
      <c r="AH41">
        <v>0</v>
      </c>
      <c r="AI41">
        <v>2</v>
      </c>
      <c r="AJ41">
        <v>1</v>
      </c>
      <c r="AK41">
        <v>16</v>
      </c>
      <c r="AL41">
        <v>14</v>
      </c>
      <c r="AM41">
        <v>8</v>
      </c>
      <c r="AN41">
        <v>4</v>
      </c>
      <c r="AO41">
        <v>8</v>
      </c>
      <c r="AP41">
        <v>10</v>
      </c>
      <c r="AQ41">
        <v>19</v>
      </c>
      <c r="AR41">
        <v>14</v>
      </c>
      <c r="AS41">
        <v>61</v>
      </c>
      <c r="AT41">
        <v>39</v>
      </c>
      <c r="AU41">
        <v>1.83</v>
      </c>
      <c r="AV41">
        <v>1.37</v>
      </c>
      <c r="AW41">
        <v>1.98</v>
      </c>
      <c r="AX41">
        <v>61</v>
      </c>
      <c r="AY41">
        <v>69</v>
      </c>
      <c r="AZ41">
        <v>31</v>
      </c>
      <c r="BA41">
        <v>13</v>
      </c>
      <c r="BB41">
        <v>4</v>
      </c>
      <c r="BC41">
        <v>33</v>
      </c>
      <c r="BD41">
        <v>49</v>
      </c>
      <c r="BE41">
        <v>36</v>
      </c>
      <c r="BF41">
        <v>64</v>
      </c>
      <c r="BG41">
        <v>10.28</v>
      </c>
      <c r="BH41">
        <v>4.34</v>
      </c>
      <c r="BI41">
        <v>2.8</v>
      </c>
      <c r="BJ41">
        <v>2.9</v>
      </c>
      <c r="BK41">
        <v>2.5</v>
      </c>
      <c r="BL41">
        <v>3.3990147783251302E-2</v>
      </c>
      <c r="BM41">
        <v>1.4</v>
      </c>
      <c r="BN41">
        <v>2.25</v>
      </c>
      <c r="BO41">
        <v>4</v>
      </c>
      <c r="BP41">
        <v>7.5</v>
      </c>
      <c r="BQ41">
        <v>1.91</v>
      </c>
      <c r="BR41">
        <v>1.8</v>
      </c>
      <c r="BS41" t="s">
        <v>142</v>
      </c>
      <c r="BT41">
        <v>1.274681051426811</v>
      </c>
      <c r="BU41">
        <v>1.4392482240810365</v>
      </c>
      <c r="BV41">
        <v>2.5313454284174597</v>
      </c>
      <c r="BW41">
        <v>1.210167055864918</v>
      </c>
      <c r="BX41">
        <v>1.3211783725525419</v>
      </c>
      <c r="BY41">
        <v>0.53135669362084459</v>
      </c>
      <c r="BZ41">
        <v>0.55633423180592989</v>
      </c>
      <c r="CA41">
        <v>11.21109010712035</v>
      </c>
      <c r="CB41">
        <v>11.01700787401575</v>
      </c>
      <c r="CC41">
        <v>4.6792332268370611</v>
      </c>
      <c r="CD41">
        <v>4.7080804854679013</v>
      </c>
      <c r="CE41">
        <v>6.5318568802832893</v>
      </c>
      <c r="CF41">
        <v>6.3089273885478487</v>
      </c>
      <c r="CG41">
        <v>12.72547770700637</v>
      </c>
      <c r="CH41">
        <v>13.06847133757962</v>
      </c>
      <c r="CI41">
        <v>1.6902356902356901</v>
      </c>
      <c r="CJ41">
        <v>1.8050198959289869</v>
      </c>
      <c r="CK41">
        <v>0.105907560453015</v>
      </c>
      <c r="CL41">
        <v>0.1141720232629324</v>
      </c>
    </row>
    <row r="42" spans="1:90" x14ac:dyDescent="0.45">
      <c r="A42" t="s">
        <v>695</v>
      </c>
      <c r="B42">
        <v>1644775200</v>
      </c>
      <c r="C42" t="s">
        <v>477</v>
      </c>
      <c r="D42" t="s">
        <v>65</v>
      </c>
      <c r="E42" t="s">
        <v>66</v>
      </c>
      <c r="F42" t="s">
        <v>96</v>
      </c>
      <c r="G42" t="s">
        <v>85</v>
      </c>
      <c r="H42" t="s">
        <v>165</v>
      </c>
      <c r="I42">
        <v>0.34</v>
      </c>
      <c r="J42">
        <v>0.33608778518992088</v>
      </c>
      <c r="K42">
        <v>0.29383587243441095</v>
      </c>
      <c r="L42">
        <v>0.37007634237566828</v>
      </c>
      <c r="M42">
        <v>5</v>
      </c>
      <c r="N42">
        <v>1.46</v>
      </c>
      <c r="O42">
        <v>1.38</v>
      </c>
      <c r="P42">
        <v>1.58</v>
      </c>
      <c r="Q42">
        <v>1.4</v>
      </c>
      <c r="R42" t="s">
        <v>1352</v>
      </c>
      <c r="S42">
        <v>2</v>
      </c>
      <c r="T42">
        <v>1</v>
      </c>
      <c r="U42">
        <v>3</v>
      </c>
      <c r="V42">
        <v>3</v>
      </c>
      <c r="W42">
        <v>2</v>
      </c>
      <c r="X42">
        <v>1</v>
      </c>
      <c r="Y42" t="s">
        <v>478</v>
      </c>
      <c r="Z42">
        <v>20</v>
      </c>
      <c r="AA42">
        <v>5</v>
      </c>
      <c r="AB42">
        <v>5</v>
      </c>
      <c r="AC42">
        <v>2</v>
      </c>
      <c r="AD42">
        <v>1</v>
      </c>
      <c r="AE42">
        <v>0</v>
      </c>
      <c r="AF42">
        <v>1</v>
      </c>
      <c r="AG42">
        <v>0</v>
      </c>
      <c r="AH42">
        <v>3</v>
      </c>
      <c r="AI42">
        <v>0</v>
      </c>
      <c r="AJ42">
        <v>1</v>
      </c>
      <c r="AK42">
        <v>13</v>
      </c>
      <c r="AL42">
        <v>14</v>
      </c>
      <c r="AM42">
        <v>5</v>
      </c>
      <c r="AN42">
        <v>5</v>
      </c>
      <c r="AO42">
        <v>8</v>
      </c>
      <c r="AP42">
        <v>9</v>
      </c>
      <c r="AQ42">
        <v>10</v>
      </c>
      <c r="AR42">
        <v>7</v>
      </c>
      <c r="AS42">
        <v>37</v>
      </c>
      <c r="AT42">
        <v>63</v>
      </c>
      <c r="AU42">
        <v>1.44</v>
      </c>
      <c r="AV42">
        <v>1.46</v>
      </c>
      <c r="AW42">
        <v>2.16</v>
      </c>
      <c r="AX42">
        <v>31</v>
      </c>
      <c r="AY42">
        <v>54</v>
      </c>
      <c r="AZ42">
        <v>42</v>
      </c>
      <c r="BA42">
        <v>23</v>
      </c>
      <c r="BB42">
        <v>8</v>
      </c>
      <c r="BC42">
        <v>15</v>
      </c>
      <c r="BD42">
        <v>58</v>
      </c>
      <c r="BE42">
        <v>35</v>
      </c>
      <c r="BF42">
        <v>66</v>
      </c>
      <c r="BG42">
        <v>9.4600000000000009</v>
      </c>
      <c r="BH42">
        <v>4.6900000000000004</v>
      </c>
      <c r="BI42">
        <v>2.78</v>
      </c>
      <c r="BJ42">
        <v>3.15</v>
      </c>
      <c r="BK42">
        <v>2.54</v>
      </c>
      <c r="BL42">
        <v>2.362444502590651E-2</v>
      </c>
      <c r="BM42">
        <v>1.36</v>
      </c>
      <c r="BN42">
        <v>2.1</v>
      </c>
      <c r="BO42">
        <v>3.75</v>
      </c>
      <c r="BP42">
        <v>7</v>
      </c>
      <c r="BQ42">
        <v>1.85</v>
      </c>
      <c r="BR42">
        <v>1.85</v>
      </c>
      <c r="BS42" t="s">
        <v>99</v>
      </c>
      <c r="BT42">
        <v>1.3382439854569812</v>
      </c>
      <c r="BU42">
        <v>1.3740319615582339</v>
      </c>
      <c r="BV42">
        <v>2.5229727551184897</v>
      </c>
      <c r="BW42">
        <v>1.228921489601805</v>
      </c>
      <c r="BX42">
        <v>1.2940512655166849</v>
      </c>
      <c r="BY42">
        <v>0.53240890035472432</v>
      </c>
      <c r="BZ42">
        <v>0.56514027732989358</v>
      </c>
      <c r="CA42">
        <v>11.417888124439131</v>
      </c>
      <c r="CB42">
        <v>10.76308704756207</v>
      </c>
      <c r="CC42">
        <v>4.8317672021824798</v>
      </c>
      <c r="CD42">
        <v>4.6698999696877843</v>
      </c>
      <c r="CE42">
        <v>6.5861209222566508</v>
      </c>
      <c r="CF42">
        <v>6.093187077874286</v>
      </c>
      <c r="CG42">
        <v>12.685679611650491</v>
      </c>
      <c r="CH42">
        <v>13.02639563106796</v>
      </c>
      <c r="CI42">
        <v>1.6481211768132831</v>
      </c>
      <c r="CJ42">
        <v>1.8572676958928049</v>
      </c>
      <c r="CK42">
        <v>9.641712787649287E-2</v>
      </c>
      <c r="CL42">
        <v>0.11302068161957469</v>
      </c>
    </row>
    <row r="43" spans="1:90" x14ac:dyDescent="0.45">
      <c r="A43" t="s">
        <v>695</v>
      </c>
      <c r="B43">
        <v>1644894000</v>
      </c>
      <c r="C43" t="s">
        <v>479</v>
      </c>
      <c r="D43" t="s">
        <v>65</v>
      </c>
      <c r="E43" t="s">
        <v>66</v>
      </c>
      <c r="F43" t="s">
        <v>84</v>
      </c>
      <c r="G43" t="s">
        <v>67</v>
      </c>
      <c r="H43" t="s">
        <v>66</v>
      </c>
      <c r="I43">
        <v>0.6</v>
      </c>
      <c r="J43">
        <v>0.60179231031435487</v>
      </c>
      <c r="K43">
        <v>0.24316397128117251</v>
      </c>
      <c r="L43">
        <v>0.15504371840447265</v>
      </c>
      <c r="M43">
        <v>5</v>
      </c>
      <c r="N43">
        <v>1.4</v>
      </c>
      <c r="O43">
        <v>0.55000000000000004</v>
      </c>
      <c r="P43">
        <v>1.89</v>
      </c>
      <c r="Q43">
        <v>0.65</v>
      </c>
      <c r="R43" t="s">
        <v>1348</v>
      </c>
      <c r="S43">
        <v>2</v>
      </c>
      <c r="T43">
        <v>2</v>
      </c>
      <c r="U43">
        <v>4</v>
      </c>
      <c r="V43">
        <v>3</v>
      </c>
      <c r="W43">
        <v>2</v>
      </c>
      <c r="X43">
        <v>1</v>
      </c>
      <c r="Y43" t="s">
        <v>480</v>
      </c>
      <c r="Z43" t="s">
        <v>481</v>
      </c>
      <c r="AA43">
        <v>8</v>
      </c>
      <c r="AB43">
        <v>4</v>
      </c>
      <c r="AC43">
        <v>0</v>
      </c>
      <c r="AD43">
        <v>0</v>
      </c>
      <c r="AE43">
        <v>3</v>
      </c>
      <c r="AF43">
        <v>0</v>
      </c>
      <c r="AG43">
        <v>0</v>
      </c>
      <c r="AH43">
        <v>0</v>
      </c>
      <c r="AI43">
        <v>2</v>
      </c>
      <c r="AJ43">
        <v>1</v>
      </c>
      <c r="AK43">
        <v>14</v>
      </c>
      <c r="AL43">
        <v>12</v>
      </c>
      <c r="AM43">
        <v>6</v>
      </c>
      <c r="AN43">
        <v>5</v>
      </c>
      <c r="AO43">
        <v>8</v>
      </c>
      <c r="AP43">
        <v>7</v>
      </c>
      <c r="AQ43">
        <v>14</v>
      </c>
      <c r="AR43">
        <v>13</v>
      </c>
      <c r="AS43">
        <v>52</v>
      </c>
      <c r="AT43">
        <v>48</v>
      </c>
      <c r="AU43">
        <v>1.61</v>
      </c>
      <c r="AV43">
        <v>1.34</v>
      </c>
      <c r="AW43">
        <v>1.78</v>
      </c>
      <c r="AX43">
        <v>48</v>
      </c>
      <c r="AY43">
        <v>67</v>
      </c>
      <c r="AZ43">
        <v>24</v>
      </c>
      <c r="BA43">
        <v>5</v>
      </c>
      <c r="BB43">
        <v>0</v>
      </c>
      <c r="BC43">
        <v>20</v>
      </c>
      <c r="BD43">
        <v>58</v>
      </c>
      <c r="BE43">
        <v>28</v>
      </c>
      <c r="BF43">
        <v>62</v>
      </c>
      <c r="BG43">
        <v>9.85</v>
      </c>
      <c r="BH43">
        <v>5.47</v>
      </c>
      <c r="BI43">
        <v>1.55</v>
      </c>
      <c r="BJ43">
        <v>3.49</v>
      </c>
      <c r="BK43">
        <v>5.04</v>
      </c>
      <c r="BL43">
        <v>4.3368980008225755E-2</v>
      </c>
      <c r="BM43">
        <v>1.33</v>
      </c>
      <c r="BN43">
        <v>2.1</v>
      </c>
      <c r="BO43">
        <v>3.54</v>
      </c>
      <c r="BP43">
        <v>6.65</v>
      </c>
      <c r="BQ43">
        <v>2.1</v>
      </c>
      <c r="BR43">
        <v>1.67</v>
      </c>
      <c r="BS43" t="s">
        <v>88</v>
      </c>
      <c r="BT43">
        <v>2.0749792289385525</v>
      </c>
      <c r="BU43">
        <v>0.68220664089703831</v>
      </c>
      <c r="BV43">
        <v>2.7310090702947849</v>
      </c>
      <c r="BW43">
        <v>1.841836734693878</v>
      </c>
      <c r="BX43">
        <v>0.88917233560090703</v>
      </c>
      <c r="BY43">
        <v>0.804822695035461</v>
      </c>
      <c r="BZ43">
        <v>0.38099290780141842</v>
      </c>
      <c r="CA43">
        <v>14.25174825174825</v>
      </c>
      <c r="CB43">
        <v>8.8316683316683324</v>
      </c>
      <c r="CC43">
        <v>6.2901265822784813</v>
      </c>
      <c r="CD43">
        <v>3.6162025316455702</v>
      </c>
      <c r="CE43">
        <v>7.9616216694697686</v>
      </c>
      <c r="CF43">
        <v>5.2154658000227627</v>
      </c>
      <c r="CG43">
        <v>12.444895886236671</v>
      </c>
      <c r="CH43">
        <v>13.620619603859829</v>
      </c>
      <c r="CI43">
        <v>1.406084017382907</v>
      </c>
      <c r="CJ43">
        <v>2.070980202800579</v>
      </c>
      <c r="CK43">
        <v>6.1323032351521013E-2</v>
      </c>
      <c r="CL43">
        <v>0.1313375181071946</v>
      </c>
    </row>
    <row r="44" spans="1:90" x14ac:dyDescent="0.45">
      <c r="A44" t="s">
        <v>695</v>
      </c>
      <c r="B44">
        <v>1645059600</v>
      </c>
      <c r="C44" t="s">
        <v>482</v>
      </c>
      <c r="D44" t="s">
        <v>65</v>
      </c>
      <c r="E44" t="s">
        <v>66</v>
      </c>
      <c r="F44" t="s">
        <v>113</v>
      </c>
      <c r="G44" t="s">
        <v>68</v>
      </c>
      <c r="H44" t="s">
        <v>74</v>
      </c>
      <c r="I44">
        <v>0.24</v>
      </c>
      <c r="J44">
        <v>0.24839001078182824</v>
      </c>
      <c r="K44">
        <v>0.29319287816534079</v>
      </c>
      <c r="L44">
        <v>0.45841711105283101</v>
      </c>
      <c r="M44">
        <v>2</v>
      </c>
      <c r="N44">
        <v>1.64</v>
      </c>
      <c r="O44">
        <v>1.55</v>
      </c>
      <c r="P44">
        <v>1.71</v>
      </c>
      <c r="Q44">
        <v>1.53</v>
      </c>
      <c r="R44" t="s">
        <v>1352</v>
      </c>
      <c r="S44">
        <v>2</v>
      </c>
      <c r="T44">
        <v>1</v>
      </c>
      <c r="U44">
        <v>3</v>
      </c>
      <c r="V44">
        <v>2</v>
      </c>
      <c r="W44">
        <v>2</v>
      </c>
      <c r="X44">
        <v>0</v>
      </c>
      <c r="Y44" t="s">
        <v>483</v>
      </c>
      <c r="Z44" t="s">
        <v>419</v>
      </c>
      <c r="AA44">
        <v>1</v>
      </c>
      <c r="AB44">
        <v>6</v>
      </c>
      <c r="AC44">
        <v>4</v>
      </c>
      <c r="AD44">
        <v>1</v>
      </c>
      <c r="AE44">
        <v>2</v>
      </c>
      <c r="AF44">
        <v>0</v>
      </c>
      <c r="AG44">
        <v>2</v>
      </c>
      <c r="AH44">
        <v>3</v>
      </c>
      <c r="AI44">
        <v>0</v>
      </c>
      <c r="AJ44">
        <v>2</v>
      </c>
      <c r="AK44">
        <v>5</v>
      </c>
      <c r="AL44">
        <v>8</v>
      </c>
      <c r="AM44">
        <v>2</v>
      </c>
      <c r="AN44">
        <v>2</v>
      </c>
      <c r="AO44">
        <v>3</v>
      </c>
      <c r="AP44">
        <v>6</v>
      </c>
      <c r="AQ44">
        <v>18</v>
      </c>
      <c r="AR44">
        <v>14</v>
      </c>
      <c r="AS44">
        <v>38</v>
      </c>
      <c r="AT44">
        <v>62</v>
      </c>
      <c r="AU44">
        <v>0.68</v>
      </c>
      <c r="AV44">
        <v>1.0900000000000001</v>
      </c>
      <c r="AW44">
        <v>2.41</v>
      </c>
      <c r="AX44">
        <v>64</v>
      </c>
      <c r="AY44">
        <v>73</v>
      </c>
      <c r="AZ44">
        <v>50</v>
      </c>
      <c r="BA44">
        <v>23</v>
      </c>
      <c r="BB44">
        <v>5</v>
      </c>
      <c r="BC44">
        <v>46</v>
      </c>
      <c r="BD44">
        <v>73</v>
      </c>
      <c r="BE44">
        <v>32</v>
      </c>
      <c r="BF44">
        <v>69</v>
      </c>
      <c r="BG44">
        <v>5.91</v>
      </c>
      <c r="BH44">
        <v>5.46</v>
      </c>
      <c r="BI44">
        <v>3.6</v>
      </c>
      <c r="BJ44">
        <v>3.1</v>
      </c>
      <c r="BK44">
        <v>2.0499999999999998</v>
      </c>
      <c r="BL44">
        <v>2.9387766995949544E-2</v>
      </c>
      <c r="BM44">
        <v>0</v>
      </c>
      <c r="BN44">
        <v>2.11</v>
      </c>
      <c r="BO44">
        <v>0</v>
      </c>
      <c r="BP44">
        <v>0</v>
      </c>
      <c r="BQ44">
        <v>0</v>
      </c>
      <c r="BR44">
        <v>0</v>
      </c>
      <c r="BS44" t="s">
        <v>120</v>
      </c>
      <c r="BT44">
        <v>1.0221684690062811</v>
      </c>
      <c r="BU44">
        <v>1.7036119427882386</v>
      </c>
      <c r="BV44">
        <v>2.6014437689969609</v>
      </c>
      <c r="BW44">
        <v>1.067249240121581</v>
      </c>
      <c r="BX44">
        <v>1.53419452887538</v>
      </c>
      <c r="BY44">
        <v>0.45589353612167299</v>
      </c>
      <c r="BZ44">
        <v>0.65133079847908748</v>
      </c>
      <c r="CA44">
        <v>10.75886524822695</v>
      </c>
      <c r="CB44">
        <v>12.46679561573179</v>
      </c>
      <c r="CC44">
        <v>4.1157347204161248</v>
      </c>
      <c r="CD44">
        <v>5.1072821846553964</v>
      </c>
      <c r="CE44">
        <v>6.6431305278108255</v>
      </c>
      <c r="CF44">
        <v>7.3595134310763939</v>
      </c>
      <c r="CG44">
        <v>13.11140235910878</v>
      </c>
      <c r="CH44">
        <v>12.93184796854522</v>
      </c>
      <c r="CI44">
        <v>1.8341677096370459</v>
      </c>
      <c r="CJ44">
        <v>1.7903629536921151</v>
      </c>
      <c r="CK44">
        <v>0.1095118898623279</v>
      </c>
      <c r="CL44">
        <v>9.3241551939924908E-2</v>
      </c>
    </row>
    <row r="45" spans="1:90" x14ac:dyDescent="0.45">
      <c r="A45" t="s">
        <v>695</v>
      </c>
      <c r="B45">
        <v>1645232400</v>
      </c>
      <c r="C45" t="s">
        <v>484</v>
      </c>
      <c r="D45" t="s">
        <v>65</v>
      </c>
      <c r="E45" t="s">
        <v>66</v>
      </c>
      <c r="F45" t="s">
        <v>102</v>
      </c>
      <c r="G45" t="s">
        <v>101</v>
      </c>
      <c r="H45" t="s">
        <v>103</v>
      </c>
      <c r="I45">
        <v>0.36</v>
      </c>
      <c r="J45">
        <v>0.35495283018867924</v>
      </c>
      <c r="K45">
        <v>0.29009433962264147</v>
      </c>
      <c r="L45">
        <v>0.35495283018867924</v>
      </c>
      <c r="M45">
        <v>6</v>
      </c>
      <c r="N45">
        <v>1.5</v>
      </c>
      <c r="O45">
        <v>1.25</v>
      </c>
      <c r="P45">
        <v>1.38</v>
      </c>
      <c r="Q45">
        <v>1.05</v>
      </c>
      <c r="R45" t="s">
        <v>1352</v>
      </c>
      <c r="S45">
        <v>1</v>
      </c>
      <c r="T45">
        <v>0</v>
      </c>
      <c r="U45">
        <v>1</v>
      </c>
      <c r="V45">
        <v>1</v>
      </c>
      <c r="W45">
        <v>1</v>
      </c>
      <c r="X45">
        <v>0</v>
      </c>
      <c r="Y45">
        <v>3</v>
      </c>
      <c r="AA45">
        <v>3</v>
      </c>
      <c r="AB45">
        <v>11</v>
      </c>
      <c r="AC45">
        <v>4</v>
      </c>
      <c r="AD45">
        <v>1</v>
      </c>
      <c r="AE45">
        <v>4</v>
      </c>
      <c r="AF45">
        <v>0</v>
      </c>
      <c r="AG45">
        <v>2</v>
      </c>
      <c r="AH45">
        <v>3</v>
      </c>
      <c r="AI45">
        <v>1</v>
      </c>
      <c r="AJ45">
        <v>3</v>
      </c>
      <c r="AK45">
        <v>14</v>
      </c>
      <c r="AL45">
        <v>25</v>
      </c>
      <c r="AM45">
        <v>8</v>
      </c>
      <c r="AN45">
        <v>5</v>
      </c>
      <c r="AO45">
        <v>6</v>
      </c>
      <c r="AP45">
        <v>20</v>
      </c>
      <c r="AQ45">
        <v>16</v>
      </c>
      <c r="AR45">
        <v>7</v>
      </c>
      <c r="AS45">
        <v>38</v>
      </c>
      <c r="AT45">
        <v>62</v>
      </c>
      <c r="AU45">
        <v>1.64</v>
      </c>
      <c r="AV45">
        <v>2.42</v>
      </c>
      <c r="AW45">
        <v>2.52</v>
      </c>
      <c r="AX45">
        <v>70</v>
      </c>
      <c r="AY45">
        <v>81</v>
      </c>
      <c r="AZ45">
        <v>43</v>
      </c>
      <c r="BA45">
        <v>27</v>
      </c>
      <c r="BB45">
        <v>4</v>
      </c>
      <c r="BC45">
        <v>39</v>
      </c>
      <c r="BD45">
        <v>66</v>
      </c>
      <c r="BE45">
        <v>38</v>
      </c>
      <c r="BF45">
        <v>81</v>
      </c>
      <c r="BG45">
        <v>10.15</v>
      </c>
      <c r="BH45">
        <v>5.28</v>
      </c>
      <c r="BI45">
        <v>2.65</v>
      </c>
      <c r="BJ45">
        <v>3.2</v>
      </c>
      <c r="BK45">
        <v>2.65</v>
      </c>
      <c r="BL45">
        <v>2.240566037735851E-2</v>
      </c>
      <c r="BM45">
        <v>1.38</v>
      </c>
      <c r="BN45">
        <v>1.92</v>
      </c>
      <c r="BO45">
        <v>4</v>
      </c>
      <c r="BP45">
        <v>7</v>
      </c>
      <c r="BQ45">
        <v>1.87</v>
      </c>
      <c r="BR45">
        <v>1.87</v>
      </c>
      <c r="BS45" t="s">
        <v>124</v>
      </c>
      <c r="BT45">
        <v>1.4023864615972674</v>
      </c>
      <c r="BU45">
        <v>1.3093265904245279</v>
      </c>
      <c r="BV45">
        <v>2.5110350525197691</v>
      </c>
      <c r="BW45">
        <v>1.269326094653606</v>
      </c>
      <c r="BX45">
        <v>1.2417089578661631</v>
      </c>
      <c r="BY45">
        <v>0.56586402266288949</v>
      </c>
      <c r="BZ45">
        <v>0.55158168083097259</v>
      </c>
      <c r="CA45">
        <v>11.49400826446281</v>
      </c>
      <c r="CB45">
        <v>10.507231404958681</v>
      </c>
      <c r="CC45">
        <v>4.9238790406673623</v>
      </c>
      <c r="CD45">
        <v>4.6296141814389991</v>
      </c>
      <c r="CE45">
        <v>6.5701292237954476</v>
      </c>
      <c r="CF45">
        <v>5.8776172235196817</v>
      </c>
      <c r="CG45">
        <v>12.798739495798319</v>
      </c>
      <c r="CH45">
        <v>12.98844537815126</v>
      </c>
      <c r="CI45">
        <v>1.604928297313674</v>
      </c>
      <c r="CJ45">
        <v>1.791961219955565</v>
      </c>
      <c r="CK45">
        <v>8.887093516461321E-2</v>
      </c>
      <c r="CL45">
        <v>0.11694607150070691</v>
      </c>
    </row>
    <row r="46" spans="1:90" x14ac:dyDescent="0.45">
      <c r="A46" t="s">
        <v>695</v>
      </c>
      <c r="B46">
        <v>1645239600</v>
      </c>
      <c r="C46" t="s">
        <v>485</v>
      </c>
      <c r="D46" t="s">
        <v>65</v>
      </c>
      <c r="E46" t="s">
        <v>66</v>
      </c>
      <c r="F46" t="s">
        <v>78</v>
      </c>
      <c r="G46" t="s">
        <v>73</v>
      </c>
      <c r="H46" t="s">
        <v>130</v>
      </c>
      <c r="I46">
        <v>0.34</v>
      </c>
      <c r="J46">
        <v>0.34001820560960344</v>
      </c>
      <c r="K46">
        <v>0.28710815269955053</v>
      </c>
      <c r="L46">
        <v>0.37287364169084602</v>
      </c>
      <c r="M46">
        <v>6</v>
      </c>
      <c r="N46">
        <v>1.4</v>
      </c>
      <c r="O46">
        <v>1.0900000000000001</v>
      </c>
      <c r="P46">
        <v>0.88</v>
      </c>
      <c r="Q46">
        <v>1.1100000000000001</v>
      </c>
      <c r="R46" t="s">
        <v>1348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AA46">
        <v>0</v>
      </c>
      <c r="AB46">
        <v>8</v>
      </c>
      <c r="AC46">
        <v>4</v>
      </c>
      <c r="AD46">
        <v>0</v>
      </c>
      <c r="AE46">
        <v>4</v>
      </c>
      <c r="AF46">
        <v>0</v>
      </c>
      <c r="AG46">
        <v>1</v>
      </c>
      <c r="AH46">
        <v>3</v>
      </c>
      <c r="AI46">
        <v>2</v>
      </c>
      <c r="AJ46">
        <v>2</v>
      </c>
      <c r="AK46">
        <v>9</v>
      </c>
      <c r="AL46">
        <v>12</v>
      </c>
      <c r="AM46">
        <v>2</v>
      </c>
      <c r="AN46">
        <v>4</v>
      </c>
      <c r="AO46">
        <v>7</v>
      </c>
      <c r="AP46">
        <v>8</v>
      </c>
      <c r="AQ46">
        <v>15</v>
      </c>
      <c r="AR46">
        <v>16</v>
      </c>
      <c r="AS46">
        <v>52</v>
      </c>
      <c r="AT46">
        <v>48</v>
      </c>
      <c r="AU46">
        <v>0.96</v>
      </c>
      <c r="AV46">
        <v>1.45</v>
      </c>
      <c r="AW46">
        <v>2.71</v>
      </c>
      <c r="AX46">
        <v>72</v>
      </c>
      <c r="AY46">
        <v>86</v>
      </c>
      <c r="AZ46">
        <v>62</v>
      </c>
      <c r="BA46">
        <v>24</v>
      </c>
      <c r="BB46">
        <v>5</v>
      </c>
      <c r="BC46">
        <v>48</v>
      </c>
      <c r="BD46">
        <v>77</v>
      </c>
      <c r="BE46">
        <v>48</v>
      </c>
      <c r="BF46">
        <v>80</v>
      </c>
      <c r="BG46">
        <v>9.9499999999999993</v>
      </c>
      <c r="BH46">
        <v>5.6</v>
      </c>
      <c r="BI46">
        <v>2.7</v>
      </c>
      <c r="BJ46">
        <v>3.15</v>
      </c>
      <c r="BK46">
        <v>2.48</v>
      </c>
      <c r="BL46">
        <v>3.0352164760766891E-2</v>
      </c>
      <c r="BM46">
        <v>1.5</v>
      </c>
      <c r="BN46">
        <v>2.12</v>
      </c>
      <c r="BO46">
        <v>3.5</v>
      </c>
      <c r="BP46">
        <v>6.5</v>
      </c>
      <c r="BQ46">
        <v>1.8</v>
      </c>
      <c r="BR46">
        <v>1.91</v>
      </c>
      <c r="BS46" t="s">
        <v>82</v>
      </c>
      <c r="BT46">
        <v>1.3382439854569812</v>
      </c>
      <c r="BU46">
        <v>1.3740319615582339</v>
      </c>
      <c r="BV46">
        <v>2.5229727551184897</v>
      </c>
      <c r="BW46">
        <v>1.228921489601805</v>
      </c>
      <c r="BX46">
        <v>1.2940512655166849</v>
      </c>
      <c r="BY46">
        <v>0.53240890035472432</v>
      </c>
      <c r="BZ46">
        <v>0.56514027732989358</v>
      </c>
      <c r="CA46">
        <v>11.417888124439131</v>
      </c>
      <c r="CB46">
        <v>10.76308704756207</v>
      </c>
      <c r="CC46">
        <v>4.8317672021824798</v>
      </c>
      <c r="CD46">
        <v>4.6698999696877843</v>
      </c>
      <c r="CE46">
        <v>6.5861209222566508</v>
      </c>
      <c r="CF46">
        <v>6.093187077874286</v>
      </c>
      <c r="CG46">
        <v>12.685679611650491</v>
      </c>
      <c r="CH46">
        <v>13.02639563106796</v>
      </c>
      <c r="CI46">
        <v>1.6481211768132831</v>
      </c>
      <c r="CJ46">
        <v>1.8572676958928049</v>
      </c>
      <c r="CK46">
        <v>9.641712787649287E-2</v>
      </c>
      <c r="CL46">
        <v>0.11302068161957469</v>
      </c>
    </row>
    <row r="47" spans="1:90" x14ac:dyDescent="0.45">
      <c r="A47" t="s">
        <v>695</v>
      </c>
      <c r="B47">
        <v>1645239960</v>
      </c>
      <c r="C47" t="s">
        <v>486</v>
      </c>
      <c r="D47" t="s">
        <v>65</v>
      </c>
      <c r="E47" t="s">
        <v>66</v>
      </c>
      <c r="F47" t="s">
        <v>106</v>
      </c>
      <c r="G47" t="s">
        <v>72</v>
      </c>
      <c r="H47" t="s">
        <v>66</v>
      </c>
      <c r="I47">
        <v>0.46</v>
      </c>
      <c r="J47">
        <v>0.46724549158355161</v>
      </c>
      <c r="K47">
        <v>0.26205105909682469</v>
      </c>
      <c r="L47">
        <v>0.2707034493196237</v>
      </c>
      <c r="M47">
        <v>6</v>
      </c>
      <c r="N47">
        <v>1.27</v>
      </c>
      <c r="O47">
        <v>1.17</v>
      </c>
      <c r="P47">
        <v>1.35</v>
      </c>
      <c r="Q47">
        <v>1.28</v>
      </c>
      <c r="R47" t="s">
        <v>1348</v>
      </c>
      <c r="S47">
        <v>1</v>
      </c>
      <c r="T47">
        <v>1</v>
      </c>
      <c r="U47">
        <v>2</v>
      </c>
      <c r="V47">
        <v>0</v>
      </c>
      <c r="W47">
        <v>0</v>
      </c>
      <c r="X47">
        <v>0</v>
      </c>
      <c r="Y47">
        <v>57</v>
      </c>
      <c r="Z47">
        <v>69</v>
      </c>
      <c r="AA47">
        <v>3</v>
      </c>
      <c r="AB47">
        <v>5</v>
      </c>
      <c r="AC47">
        <v>2</v>
      </c>
      <c r="AD47">
        <v>0</v>
      </c>
      <c r="AE47">
        <v>2</v>
      </c>
      <c r="AF47">
        <v>0</v>
      </c>
      <c r="AG47">
        <v>0</v>
      </c>
      <c r="AH47">
        <v>2</v>
      </c>
      <c r="AI47">
        <v>0</v>
      </c>
      <c r="AJ47">
        <v>2</v>
      </c>
      <c r="AK47">
        <v>16</v>
      </c>
      <c r="AL47">
        <v>10</v>
      </c>
      <c r="AM47">
        <v>4</v>
      </c>
      <c r="AN47">
        <v>4</v>
      </c>
      <c r="AO47">
        <v>12</v>
      </c>
      <c r="AP47">
        <v>6</v>
      </c>
      <c r="AQ47">
        <v>15</v>
      </c>
      <c r="AR47">
        <v>12</v>
      </c>
      <c r="AS47">
        <v>53</v>
      </c>
      <c r="AT47">
        <v>47</v>
      </c>
      <c r="AU47">
        <v>1.6</v>
      </c>
      <c r="AV47">
        <v>1.44</v>
      </c>
      <c r="AW47">
        <v>2.2599999999999998</v>
      </c>
      <c r="AX47">
        <v>53</v>
      </c>
      <c r="AY47">
        <v>70</v>
      </c>
      <c r="AZ47">
        <v>47</v>
      </c>
      <c r="BA47">
        <v>13</v>
      </c>
      <c r="BB47">
        <v>9</v>
      </c>
      <c r="BC47">
        <v>18</v>
      </c>
      <c r="BD47">
        <v>74</v>
      </c>
      <c r="BE47">
        <v>43</v>
      </c>
      <c r="BF47">
        <v>78</v>
      </c>
      <c r="BG47">
        <v>10.35</v>
      </c>
      <c r="BH47">
        <v>4.83</v>
      </c>
      <c r="BI47">
        <v>2.02</v>
      </c>
      <c r="BJ47">
        <v>3.45</v>
      </c>
      <c r="BK47">
        <v>3.35</v>
      </c>
      <c r="BL47">
        <v>2.7804013366943419E-2</v>
      </c>
      <c r="BM47">
        <v>1.28</v>
      </c>
      <c r="BN47">
        <v>1.8</v>
      </c>
      <c r="BO47">
        <v>3.3</v>
      </c>
      <c r="BP47">
        <v>5</v>
      </c>
      <c r="BQ47">
        <v>1.72</v>
      </c>
      <c r="BR47">
        <v>2.0499999999999998</v>
      </c>
      <c r="BS47" t="s">
        <v>110</v>
      </c>
      <c r="BT47">
        <v>1.6955772349985931</v>
      </c>
      <c r="BU47">
        <v>1.0239029519551039</v>
      </c>
      <c r="BV47">
        <v>2.5405629139072849</v>
      </c>
      <c r="BW47">
        <v>1.4888836329233679</v>
      </c>
      <c r="BX47">
        <v>1.0516792809839171</v>
      </c>
      <c r="BY47">
        <v>0.64581362346263005</v>
      </c>
      <c r="BZ47">
        <v>0.45364238410596031</v>
      </c>
      <c r="CA47">
        <v>12.686892177589851</v>
      </c>
      <c r="CB47">
        <v>9.8059196617336148</v>
      </c>
      <c r="CC47">
        <v>5.3198121263877027</v>
      </c>
      <c r="CD47">
        <v>4.0954312553373189</v>
      </c>
      <c r="CE47">
        <v>7.3670800512021479</v>
      </c>
      <c r="CF47">
        <v>5.710488406396296</v>
      </c>
      <c r="CG47">
        <v>13.0488908033599</v>
      </c>
      <c r="CH47">
        <v>13.714839543398661</v>
      </c>
      <c r="CI47">
        <v>1.567523459812322</v>
      </c>
      <c r="CJ47">
        <v>1.951040391676867</v>
      </c>
      <c r="CK47">
        <v>8.3027335781313744E-2</v>
      </c>
      <c r="CL47">
        <v>0.13117095063239501</v>
      </c>
    </row>
    <row r="48" spans="1:90" x14ac:dyDescent="0.45">
      <c r="A48" t="s">
        <v>695</v>
      </c>
      <c r="B48">
        <v>1645311600</v>
      </c>
      <c r="C48" t="s">
        <v>487</v>
      </c>
      <c r="D48" t="s">
        <v>65</v>
      </c>
      <c r="E48" t="s">
        <v>66</v>
      </c>
      <c r="F48" t="s">
        <v>67</v>
      </c>
      <c r="G48" t="s">
        <v>113</v>
      </c>
      <c r="H48" t="s">
        <v>98</v>
      </c>
      <c r="I48">
        <v>0.44</v>
      </c>
      <c r="J48">
        <v>0.44721944721944717</v>
      </c>
      <c r="K48">
        <v>0.27405927405927405</v>
      </c>
      <c r="L48">
        <v>0.27872127872127872</v>
      </c>
      <c r="M48">
        <v>6</v>
      </c>
      <c r="N48">
        <v>1.1000000000000001</v>
      </c>
      <c r="O48">
        <v>0.5</v>
      </c>
      <c r="P48">
        <v>1.24</v>
      </c>
      <c r="Q48">
        <v>0.72</v>
      </c>
      <c r="R48" t="s">
        <v>1352</v>
      </c>
      <c r="S48">
        <v>2</v>
      </c>
      <c r="T48">
        <v>0</v>
      </c>
      <c r="U48">
        <v>2</v>
      </c>
      <c r="V48">
        <v>0</v>
      </c>
      <c r="W48">
        <v>0</v>
      </c>
      <c r="X48">
        <v>0</v>
      </c>
      <c r="Y48" t="s">
        <v>488</v>
      </c>
      <c r="AA48">
        <v>8</v>
      </c>
      <c r="AB48">
        <v>3</v>
      </c>
      <c r="AC48">
        <v>2</v>
      </c>
      <c r="AD48">
        <v>0</v>
      </c>
      <c r="AE48">
        <v>3</v>
      </c>
      <c r="AF48">
        <v>0</v>
      </c>
      <c r="AG48">
        <v>1</v>
      </c>
      <c r="AH48">
        <v>1</v>
      </c>
      <c r="AI48">
        <v>2</v>
      </c>
      <c r="AJ48">
        <v>1</v>
      </c>
      <c r="AK48">
        <v>6</v>
      </c>
      <c r="AL48">
        <v>4</v>
      </c>
      <c r="AM48">
        <v>0</v>
      </c>
      <c r="AN48">
        <v>4</v>
      </c>
      <c r="AO48">
        <v>6</v>
      </c>
      <c r="AP48">
        <v>0</v>
      </c>
      <c r="AQ48">
        <v>5</v>
      </c>
      <c r="AR48">
        <v>8</v>
      </c>
      <c r="AS48">
        <v>63</v>
      </c>
      <c r="AT48">
        <v>37</v>
      </c>
      <c r="AU48">
        <v>0.77</v>
      </c>
      <c r="AV48">
        <v>0.74</v>
      </c>
      <c r="AW48">
        <v>2.4</v>
      </c>
      <c r="AX48">
        <v>30</v>
      </c>
      <c r="AY48">
        <v>70</v>
      </c>
      <c r="AZ48">
        <v>40</v>
      </c>
      <c r="BA48">
        <v>20</v>
      </c>
      <c r="BB48">
        <v>10</v>
      </c>
      <c r="BC48">
        <v>35</v>
      </c>
      <c r="BD48">
        <v>80</v>
      </c>
      <c r="BE48">
        <v>25</v>
      </c>
      <c r="BF48">
        <v>60</v>
      </c>
      <c r="BG48">
        <v>6.1</v>
      </c>
      <c r="BH48">
        <v>5.5</v>
      </c>
      <c r="BI48">
        <v>2.1</v>
      </c>
      <c r="BJ48">
        <v>3.3</v>
      </c>
      <c r="BK48">
        <v>3.25</v>
      </c>
      <c r="BL48">
        <v>2.8971028971028989E-2</v>
      </c>
      <c r="BM48">
        <v>0</v>
      </c>
      <c r="BN48">
        <v>1.78</v>
      </c>
      <c r="BO48">
        <v>0</v>
      </c>
      <c r="BP48">
        <v>0</v>
      </c>
      <c r="BQ48">
        <v>0</v>
      </c>
      <c r="BR48">
        <v>0</v>
      </c>
      <c r="BS48" t="s">
        <v>70</v>
      </c>
      <c r="BT48">
        <v>1.6395459745305552</v>
      </c>
      <c r="BU48">
        <v>1.0758429359324786</v>
      </c>
      <c r="BV48">
        <v>2.4807646356033461</v>
      </c>
      <c r="BW48">
        <v>1.4140979689366791</v>
      </c>
      <c r="BX48">
        <v>1.0666666666666671</v>
      </c>
      <c r="BY48">
        <v>0.62712066905615294</v>
      </c>
      <c r="BZ48">
        <v>0.46009557945041818</v>
      </c>
      <c r="CA48">
        <v>12.56969280146722</v>
      </c>
      <c r="CB48">
        <v>9.8695552498853729</v>
      </c>
      <c r="CC48">
        <v>5.2754256787850897</v>
      </c>
      <c r="CD48">
        <v>4.1279337321675103</v>
      </c>
      <c r="CE48">
        <v>7.2942671226821298</v>
      </c>
      <c r="CF48">
        <v>5.7416215177178627</v>
      </c>
      <c r="CG48">
        <v>12.897246007868549</v>
      </c>
      <c r="CH48">
        <v>13.507058551261281</v>
      </c>
      <c r="CI48">
        <v>1.576522702104098</v>
      </c>
      <c r="CJ48">
        <v>1.917165005537099</v>
      </c>
      <c r="CK48">
        <v>8.4385382059800659E-2</v>
      </c>
      <c r="CL48">
        <v>0.1233665559246955</v>
      </c>
    </row>
    <row r="49" spans="1:90" x14ac:dyDescent="0.45">
      <c r="A49" t="s">
        <v>695</v>
      </c>
      <c r="B49">
        <v>1645318800</v>
      </c>
      <c r="C49" t="s">
        <v>489</v>
      </c>
      <c r="D49" t="s">
        <v>65</v>
      </c>
      <c r="E49" t="s">
        <v>66</v>
      </c>
      <c r="F49" t="s">
        <v>107</v>
      </c>
      <c r="G49" t="s">
        <v>91</v>
      </c>
      <c r="H49" t="s">
        <v>69</v>
      </c>
      <c r="I49">
        <v>0.64</v>
      </c>
      <c r="J49">
        <v>0.64289848853607245</v>
      </c>
      <c r="K49">
        <v>0.23149780867901673</v>
      </c>
      <c r="L49">
        <v>0.12560370278491087</v>
      </c>
      <c r="M49">
        <v>6</v>
      </c>
      <c r="N49">
        <v>2</v>
      </c>
      <c r="O49">
        <v>1.42</v>
      </c>
      <c r="P49">
        <v>2</v>
      </c>
      <c r="Q49">
        <v>1.25</v>
      </c>
      <c r="R49" t="s">
        <v>1352</v>
      </c>
      <c r="S49">
        <v>2</v>
      </c>
      <c r="T49">
        <v>1</v>
      </c>
      <c r="U49">
        <v>3</v>
      </c>
      <c r="V49">
        <v>0</v>
      </c>
      <c r="W49">
        <v>0</v>
      </c>
      <c r="X49">
        <v>0</v>
      </c>
      <c r="Y49" t="s">
        <v>490</v>
      </c>
      <c r="Z49">
        <v>56</v>
      </c>
      <c r="AA49">
        <v>15</v>
      </c>
      <c r="AB49">
        <v>2</v>
      </c>
      <c r="AC49">
        <v>4</v>
      </c>
      <c r="AD49">
        <v>0</v>
      </c>
      <c r="AE49">
        <v>6</v>
      </c>
      <c r="AF49">
        <v>1</v>
      </c>
      <c r="AG49">
        <v>2</v>
      </c>
      <c r="AH49">
        <v>2</v>
      </c>
      <c r="AI49">
        <v>4</v>
      </c>
      <c r="AJ49">
        <v>3</v>
      </c>
      <c r="AK49">
        <v>17</v>
      </c>
      <c r="AL49">
        <v>6</v>
      </c>
      <c r="AM49">
        <v>9</v>
      </c>
      <c r="AN49">
        <v>3</v>
      </c>
      <c r="AO49">
        <v>8</v>
      </c>
      <c r="AP49">
        <v>3</v>
      </c>
      <c r="AQ49">
        <v>8</v>
      </c>
      <c r="AR49">
        <v>11</v>
      </c>
      <c r="AS49">
        <v>63</v>
      </c>
      <c r="AT49">
        <v>37</v>
      </c>
      <c r="AU49">
        <v>2.0099999999999998</v>
      </c>
      <c r="AV49">
        <v>0.78</v>
      </c>
      <c r="AW49">
        <v>2.4</v>
      </c>
      <c r="AX49">
        <v>48</v>
      </c>
      <c r="AY49">
        <v>68</v>
      </c>
      <c r="AZ49">
        <v>52</v>
      </c>
      <c r="BA49">
        <v>24</v>
      </c>
      <c r="BB49">
        <v>8</v>
      </c>
      <c r="BC49">
        <v>28</v>
      </c>
      <c r="BD49">
        <v>64</v>
      </c>
      <c r="BE49">
        <v>40</v>
      </c>
      <c r="BF49">
        <v>68</v>
      </c>
      <c r="BG49">
        <v>9.8699999999999992</v>
      </c>
      <c r="BH49">
        <v>4.5599999999999996</v>
      </c>
      <c r="BI49">
        <v>1.49</v>
      </c>
      <c r="BJ49">
        <v>3.85</v>
      </c>
      <c r="BK49">
        <v>6.5</v>
      </c>
      <c r="BL49">
        <v>2.8242451061242974E-2</v>
      </c>
      <c r="BM49">
        <v>1.33</v>
      </c>
      <c r="BN49">
        <v>1.98</v>
      </c>
      <c r="BO49">
        <v>3.4</v>
      </c>
      <c r="BP49">
        <v>6.5</v>
      </c>
      <c r="BQ49">
        <v>2.1</v>
      </c>
      <c r="BR49">
        <v>1.67</v>
      </c>
      <c r="BS49" t="s">
        <v>161</v>
      </c>
      <c r="BT49">
        <v>2.1745910991837163</v>
      </c>
      <c r="BU49">
        <v>0.59796358565236019</v>
      </c>
      <c r="BV49">
        <v>2.8343749999999996</v>
      </c>
      <c r="BW49">
        <v>1.980803571428571</v>
      </c>
      <c r="BX49">
        <v>0.85357142857142854</v>
      </c>
      <c r="BY49">
        <v>0.8683035714285714</v>
      </c>
      <c r="BZ49">
        <v>0.36607142857142849</v>
      </c>
      <c r="CA49">
        <v>15.03980099502488</v>
      </c>
      <c r="CB49">
        <v>8.6326699834162515</v>
      </c>
      <c r="CC49">
        <v>6.5189234650967203</v>
      </c>
      <c r="CD49">
        <v>3.4507989907485279</v>
      </c>
      <c r="CE49">
        <v>8.5208775299281605</v>
      </c>
      <c r="CF49">
        <v>5.181870992667724</v>
      </c>
      <c r="CG49">
        <v>12.48566610455312</v>
      </c>
      <c r="CH49">
        <v>13.573355817875211</v>
      </c>
      <c r="CI49">
        <v>1.395273023634882</v>
      </c>
      <c r="CJ49">
        <v>2.0586797066014668</v>
      </c>
      <c r="CK49">
        <v>6.8459657701711488E-2</v>
      </c>
      <c r="CL49">
        <v>0.12713936430317849</v>
      </c>
    </row>
    <row r="50" spans="1:90" x14ac:dyDescent="0.45">
      <c r="A50" t="s">
        <v>695</v>
      </c>
      <c r="B50">
        <v>1645326000</v>
      </c>
      <c r="C50" t="s">
        <v>491</v>
      </c>
      <c r="D50" t="s">
        <v>65</v>
      </c>
      <c r="E50" t="s">
        <v>66</v>
      </c>
      <c r="F50" t="s">
        <v>85</v>
      </c>
      <c r="G50" t="s">
        <v>90</v>
      </c>
      <c r="H50" t="s">
        <v>122</v>
      </c>
      <c r="I50">
        <v>0.46</v>
      </c>
      <c r="J50">
        <v>0.45795295367821093</v>
      </c>
      <c r="K50">
        <v>0.27102352316089456</v>
      </c>
      <c r="L50">
        <v>0.27102352316089456</v>
      </c>
      <c r="M50">
        <v>6</v>
      </c>
      <c r="N50">
        <v>1.79</v>
      </c>
      <c r="O50">
        <v>1.25</v>
      </c>
      <c r="P50">
        <v>1.55</v>
      </c>
      <c r="Q50">
        <v>1.32</v>
      </c>
      <c r="R50" t="s">
        <v>1352</v>
      </c>
      <c r="S50">
        <v>2</v>
      </c>
      <c r="T50">
        <v>1</v>
      </c>
      <c r="U50">
        <v>3</v>
      </c>
      <c r="V50">
        <v>1</v>
      </c>
      <c r="W50">
        <v>1</v>
      </c>
      <c r="X50">
        <v>0</v>
      </c>
      <c r="Y50" t="s">
        <v>492</v>
      </c>
      <c r="Z50">
        <v>81</v>
      </c>
      <c r="AA50">
        <v>2</v>
      </c>
      <c r="AB50">
        <v>4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7</v>
      </c>
      <c r="AL50">
        <v>11</v>
      </c>
      <c r="AM50">
        <v>4</v>
      </c>
      <c r="AN50">
        <v>7</v>
      </c>
      <c r="AO50">
        <v>3</v>
      </c>
      <c r="AP50">
        <v>4</v>
      </c>
      <c r="AQ50">
        <v>15</v>
      </c>
      <c r="AR50">
        <v>10</v>
      </c>
      <c r="AS50">
        <v>44</v>
      </c>
      <c r="AT50">
        <v>56</v>
      </c>
      <c r="AU50">
        <v>1</v>
      </c>
      <c r="AV50">
        <v>1.49</v>
      </c>
      <c r="AW50">
        <v>1.93</v>
      </c>
      <c r="AX50">
        <v>45</v>
      </c>
      <c r="AY50">
        <v>61</v>
      </c>
      <c r="AZ50">
        <v>42</v>
      </c>
      <c r="BA50">
        <v>12</v>
      </c>
      <c r="BB50">
        <v>4</v>
      </c>
      <c r="BC50">
        <v>27</v>
      </c>
      <c r="BD50">
        <v>60</v>
      </c>
      <c r="BE50">
        <v>35</v>
      </c>
      <c r="BF50">
        <v>69</v>
      </c>
      <c r="BG50">
        <v>9.18</v>
      </c>
      <c r="BH50">
        <v>5.15</v>
      </c>
      <c r="BI50">
        <v>2.06</v>
      </c>
      <c r="BJ50">
        <v>3.35</v>
      </c>
      <c r="BK50">
        <v>3.35</v>
      </c>
      <c r="BL50">
        <v>2.7483939525672591E-2</v>
      </c>
      <c r="BM50">
        <v>1.24</v>
      </c>
      <c r="BN50">
        <v>1.83</v>
      </c>
      <c r="BO50">
        <v>2.85</v>
      </c>
      <c r="BP50">
        <v>5.15</v>
      </c>
      <c r="BQ50">
        <v>1.7</v>
      </c>
      <c r="BR50">
        <v>2.0499999999999998</v>
      </c>
      <c r="BS50" t="s">
        <v>128</v>
      </c>
      <c r="BT50">
        <v>1.6955772349985931</v>
      </c>
      <c r="BU50">
        <v>1.0239029519551039</v>
      </c>
      <c r="BV50">
        <v>2.5405629139072849</v>
      </c>
      <c r="BW50">
        <v>1.4888836329233679</v>
      </c>
      <c r="BX50">
        <v>1.0516792809839171</v>
      </c>
      <c r="BY50">
        <v>0.64581362346263005</v>
      </c>
      <c r="BZ50">
        <v>0.45364238410596031</v>
      </c>
      <c r="CA50">
        <v>12.686892177589851</v>
      </c>
      <c r="CB50">
        <v>9.8059196617336148</v>
      </c>
      <c r="CC50">
        <v>5.3198121263877027</v>
      </c>
      <c r="CD50">
        <v>4.0954312553373189</v>
      </c>
      <c r="CE50">
        <v>7.3670800512021479</v>
      </c>
      <c r="CF50">
        <v>5.710488406396296</v>
      </c>
      <c r="CG50">
        <v>13.0488908033599</v>
      </c>
      <c r="CH50">
        <v>13.714839543398661</v>
      </c>
      <c r="CI50">
        <v>1.567523459812322</v>
      </c>
      <c r="CJ50">
        <v>1.951040391676867</v>
      </c>
      <c r="CK50">
        <v>8.3027335781313744E-2</v>
      </c>
      <c r="CL50">
        <v>0.13117095063239501</v>
      </c>
    </row>
    <row r="51" spans="1:90" x14ac:dyDescent="0.45">
      <c r="A51" t="s">
        <v>695</v>
      </c>
      <c r="B51">
        <v>1645394400</v>
      </c>
      <c r="C51" t="s">
        <v>493</v>
      </c>
      <c r="D51" t="s">
        <v>65</v>
      </c>
      <c r="E51" t="s">
        <v>66</v>
      </c>
      <c r="F51" t="s">
        <v>68</v>
      </c>
      <c r="G51" t="s">
        <v>84</v>
      </c>
      <c r="H51" t="s">
        <v>114</v>
      </c>
      <c r="I51">
        <v>0.46</v>
      </c>
      <c r="J51">
        <v>0.46724549158355161</v>
      </c>
      <c r="K51">
        <v>0.2707034493196237</v>
      </c>
      <c r="L51">
        <v>0.26205105909682469</v>
      </c>
      <c r="M51">
        <v>6</v>
      </c>
      <c r="N51">
        <v>1.92</v>
      </c>
      <c r="O51">
        <v>1.18</v>
      </c>
      <c r="P51">
        <v>1.9</v>
      </c>
      <c r="Q51">
        <v>1.42</v>
      </c>
      <c r="R51" t="s">
        <v>1351</v>
      </c>
      <c r="S51">
        <v>1</v>
      </c>
      <c r="T51">
        <v>3</v>
      </c>
      <c r="U51">
        <v>4</v>
      </c>
      <c r="V51">
        <v>2</v>
      </c>
      <c r="W51">
        <v>0</v>
      </c>
      <c r="X51">
        <v>2</v>
      </c>
      <c r="Y51">
        <v>55</v>
      </c>
      <c r="Z51" t="s">
        <v>494</v>
      </c>
      <c r="AA51">
        <v>12</v>
      </c>
      <c r="AB51">
        <v>3</v>
      </c>
      <c r="AC51">
        <v>1</v>
      </c>
      <c r="AD51">
        <v>0</v>
      </c>
      <c r="AE51">
        <v>2</v>
      </c>
      <c r="AF51">
        <v>0</v>
      </c>
      <c r="AG51">
        <v>0</v>
      </c>
      <c r="AH51">
        <v>1</v>
      </c>
      <c r="AI51">
        <v>0</v>
      </c>
      <c r="AJ51">
        <v>2</v>
      </c>
      <c r="AK51">
        <v>13</v>
      </c>
      <c r="AL51">
        <v>10</v>
      </c>
      <c r="AM51">
        <v>6</v>
      </c>
      <c r="AN51">
        <v>3</v>
      </c>
      <c r="AO51">
        <v>7</v>
      </c>
      <c r="AP51">
        <v>7</v>
      </c>
      <c r="AQ51">
        <v>7</v>
      </c>
      <c r="AR51">
        <v>13</v>
      </c>
      <c r="AS51">
        <v>54</v>
      </c>
      <c r="AT51">
        <v>46</v>
      </c>
      <c r="AU51">
        <v>0</v>
      </c>
      <c r="AV51">
        <v>0</v>
      </c>
      <c r="AW51">
        <v>2.54</v>
      </c>
      <c r="AX51">
        <v>49</v>
      </c>
      <c r="AY51">
        <v>83</v>
      </c>
      <c r="AZ51">
        <v>49</v>
      </c>
      <c r="BA51">
        <v>22</v>
      </c>
      <c r="BB51">
        <v>9</v>
      </c>
      <c r="BC51">
        <v>32</v>
      </c>
      <c r="BD51">
        <v>66</v>
      </c>
      <c r="BE51">
        <v>39</v>
      </c>
      <c r="BF51">
        <v>92</v>
      </c>
      <c r="BG51">
        <v>10.83</v>
      </c>
      <c r="BH51">
        <v>4.4800000000000004</v>
      </c>
      <c r="BI51">
        <v>2.02</v>
      </c>
      <c r="BJ51">
        <v>3.35</v>
      </c>
      <c r="BK51">
        <v>3.45</v>
      </c>
      <c r="BL51">
        <v>2.7804013366943419E-2</v>
      </c>
      <c r="BM51">
        <v>1.25</v>
      </c>
      <c r="BN51">
        <v>1.78</v>
      </c>
      <c r="BO51">
        <v>3</v>
      </c>
      <c r="BP51">
        <v>5</v>
      </c>
      <c r="BQ51">
        <v>1.62</v>
      </c>
      <c r="BR51">
        <v>2.2000000000000002</v>
      </c>
      <c r="BS51" t="s">
        <v>116</v>
      </c>
      <c r="BT51">
        <v>1.6955772349985931</v>
      </c>
      <c r="BU51">
        <v>1.0239029519551039</v>
      </c>
      <c r="BV51">
        <v>2.5405629139072849</v>
      </c>
      <c r="BW51">
        <v>1.4888836329233679</v>
      </c>
      <c r="BX51">
        <v>1.0516792809839171</v>
      </c>
      <c r="BY51">
        <v>0.64581362346263005</v>
      </c>
      <c r="BZ51">
        <v>0.45364238410596031</v>
      </c>
      <c r="CA51">
        <v>12.686892177589851</v>
      </c>
      <c r="CB51">
        <v>9.8059196617336148</v>
      </c>
      <c r="CC51">
        <v>5.3198121263877027</v>
      </c>
      <c r="CD51">
        <v>4.0954312553373189</v>
      </c>
      <c r="CE51">
        <v>7.3670800512021479</v>
      </c>
      <c r="CF51">
        <v>5.710488406396296</v>
      </c>
      <c r="CG51">
        <v>13.0488908033599</v>
      </c>
      <c r="CH51">
        <v>13.714839543398661</v>
      </c>
      <c r="CI51">
        <v>1.567523459812322</v>
      </c>
      <c r="CJ51">
        <v>1.951040391676867</v>
      </c>
      <c r="CK51">
        <v>8.3027335781313744E-2</v>
      </c>
      <c r="CL51">
        <v>0.13117095063239501</v>
      </c>
    </row>
    <row r="52" spans="1:90" x14ac:dyDescent="0.45">
      <c r="A52" t="s">
        <v>695</v>
      </c>
      <c r="B52">
        <v>1645401900</v>
      </c>
      <c r="C52" t="s">
        <v>495</v>
      </c>
      <c r="D52" t="s">
        <v>65</v>
      </c>
      <c r="E52" t="s">
        <v>66</v>
      </c>
      <c r="F52" t="s">
        <v>79</v>
      </c>
      <c r="G52" t="s">
        <v>112</v>
      </c>
      <c r="H52" t="s">
        <v>74</v>
      </c>
      <c r="I52">
        <v>0.32</v>
      </c>
      <c r="J52">
        <v>0.31556775509426055</v>
      </c>
      <c r="K52">
        <v>0.26924763157393111</v>
      </c>
      <c r="L52">
        <v>0.41518461333180839</v>
      </c>
      <c r="M52">
        <v>6</v>
      </c>
      <c r="N52">
        <v>1.6</v>
      </c>
      <c r="O52">
        <v>1.36</v>
      </c>
      <c r="P52">
        <v>1.17</v>
      </c>
      <c r="Q52">
        <v>1.5</v>
      </c>
      <c r="R52" t="s">
        <v>1351</v>
      </c>
      <c r="S52">
        <v>1</v>
      </c>
      <c r="T52">
        <v>4</v>
      </c>
      <c r="U52">
        <v>5</v>
      </c>
      <c r="V52">
        <v>2</v>
      </c>
      <c r="W52">
        <v>1</v>
      </c>
      <c r="X52">
        <v>1</v>
      </c>
      <c r="Y52">
        <v>20</v>
      </c>
      <c r="Z52" t="s">
        <v>496</v>
      </c>
      <c r="AA52">
        <v>1</v>
      </c>
      <c r="AB52">
        <v>5</v>
      </c>
      <c r="AC52">
        <v>3</v>
      </c>
      <c r="AD52">
        <v>0</v>
      </c>
      <c r="AE52">
        <v>4</v>
      </c>
      <c r="AF52">
        <v>0</v>
      </c>
      <c r="AG52">
        <v>2</v>
      </c>
      <c r="AH52">
        <v>1</v>
      </c>
      <c r="AI52">
        <v>2</v>
      </c>
      <c r="AJ52">
        <v>2</v>
      </c>
      <c r="AK52">
        <v>10</v>
      </c>
      <c r="AL52">
        <v>4</v>
      </c>
      <c r="AM52">
        <v>5</v>
      </c>
      <c r="AN52">
        <v>2</v>
      </c>
      <c r="AO52">
        <v>5</v>
      </c>
      <c r="AP52">
        <v>2</v>
      </c>
      <c r="AQ52">
        <v>17</v>
      </c>
      <c r="AR52">
        <v>14</v>
      </c>
      <c r="AS52">
        <v>45</v>
      </c>
      <c r="AT52">
        <v>55</v>
      </c>
      <c r="AU52">
        <v>0</v>
      </c>
      <c r="AV52">
        <v>0</v>
      </c>
      <c r="AW52">
        <v>2.59</v>
      </c>
      <c r="AX52">
        <v>77</v>
      </c>
      <c r="AY52">
        <v>77</v>
      </c>
      <c r="AZ52">
        <v>53</v>
      </c>
      <c r="BA52">
        <v>29</v>
      </c>
      <c r="BB52">
        <v>5</v>
      </c>
      <c r="BC52">
        <v>48</v>
      </c>
      <c r="BD52">
        <v>72</v>
      </c>
      <c r="BE52">
        <v>39</v>
      </c>
      <c r="BF52">
        <v>58</v>
      </c>
      <c r="BG52">
        <v>7.68</v>
      </c>
      <c r="BH52">
        <v>6.27</v>
      </c>
      <c r="BI52">
        <v>2.9</v>
      </c>
      <c r="BJ52">
        <v>3.35</v>
      </c>
      <c r="BK52">
        <v>2.25</v>
      </c>
      <c r="BL52">
        <v>2.9259831112636043E-2</v>
      </c>
      <c r="BM52">
        <v>1.3</v>
      </c>
      <c r="BN52">
        <v>1.93</v>
      </c>
      <c r="BO52">
        <v>3.5</v>
      </c>
      <c r="BP52">
        <v>6</v>
      </c>
      <c r="BQ52">
        <v>1.75</v>
      </c>
      <c r="BR52">
        <v>2</v>
      </c>
      <c r="BS52" t="s">
        <v>140</v>
      </c>
      <c r="BT52">
        <v>1.274681051426811</v>
      </c>
      <c r="BU52">
        <v>1.4392482240810365</v>
      </c>
      <c r="BV52">
        <v>2.5313454284174597</v>
      </c>
      <c r="BW52">
        <v>1.210167055864918</v>
      </c>
      <c r="BX52">
        <v>1.3211783725525419</v>
      </c>
      <c r="BY52">
        <v>0.53135669362084459</v>
      </c>
      <c r="BZ52">
        <v>0.55633423180592989</v>
      </c>
      <c r="CA52">
        <v>11.21109010712035</v>
      </c>
      <c r="CB52">
        <v>11.01700787401575</v>
      </c>
      <c r="CC52">
        <v>4.6792332268370611</v>
      </c>
      <c r="CD52">
        <v>4.7080804854679013</v>
      </c>
      <c r="CE52">
        <v>6.5318568802832893</v>
      </c>
      <c r="CF52">
        <v>6.3089273885478487</v>
      </c>
      <c r="CG52">
        <v>12.72547770700637</v>
      </c>
      <c r="CH52">
        <v>13.06847133757962</v>
      </c>
      <c r="CI52">
        <v>1.6902356902356901</v>
      </c>
      <c r="CJ52">
        <v>1.8050198959289869</v>
      </c>
      <c r="CK52">
        <v>0.105907560453015</v>
      </c>
      <c r="CL52">
        <v>0.1141720232629324</v>
      </c>
    </row>
    <row r="53" spans="1:90" x14ac:dyDescent="0.45">
      <c r="A53" t="s">
        <v>695</v>
      </c>
      <c r="B53">
        <v>1645408800</v>
      </c>
      <c r="C53" t="s">
        <v>497</v>
      </c>
      <c r="D53" t="s">
        <v>65</v>
      </c>
      <c r="E53" t="s">
        <v>66</v>
      </c>
      <c r="F53" t="s">
        <v>97</v>
      </c>
      <c r="G53" t="s">
        <v>96</v>
      </c>
      <c r="H53" t="s">
        <v>66</v>
      </c>
      <c r="I53">
        <v>0.48</v>
      </c>
      <c r="J53">
        <v>0.47908861614445369</v>
      </c>
      <c r="K53">
        <v>0.27916671063879189</v>
      </c>
      <c r="L53">
        <v>0.24174467321675444</v>
      </c>
      <c r="M53">
        <v>6</v>
      </c>
      <c r="N53">
        <v>1.71</v>
      </c>
      <c r="O53">
        <v>1.38</v>
      </c>
      <c r="P53">
        <v>1.55</v>
      </c>
      <c r="Q53">
        <v>1.1000000000000001</v>
      </c>
      <c r="R53" t="s">
        <v>1348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AA53">
        <v>2</v>
      </c>
      <c r="AB53">
        <v>4</v>
      </c>
      <c r="AC53">
        <v>2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6</v>
      </c>
      <c r="AL53">
        <v>13</v>
      </c>
      <c r="AM53">
        <v>5</v>
      </c>
      <c r="AN53">
        <v>8</v>
      </c>
      <c r="AO53">
        <v>1</v>
      </c>
      <c r="AP53">
        <v>5</v>
      </c>
      <c r="AQ53">
        <v>7</v>
      </c>
      <c r="AR53">
        <v>13</v>
      </c>
      <c r="AS53">
        <v>50</v>
      </c>
      <c r="AT53">
        <v>50</v>
      </c>
      <c r="AU53">
        <v>0</v>
      </c>
      <c r="AV53">
        <v>0</v>
      </c>
      <c r="AW53">
        <v>1.98</v>
      </c>
      <c r="AX53">
        <v>38</v>
      </c>
      <c r="AY53">
        <v>64</v>
      </c>
      <c r="AZ53">
        <v>34</v>
      </c>
      <c r="BA53">
        <v>12</v>
      </c>
      <c r="BB53">
        <v>0</v>
      </c>
      <c r="BC53">
        <v>15</v>
      </c>
      <c r="BD53">
        <v>60</v>
      </c>
      <c r="BE53">
        <v>26</v>
      </c>
      <c r="BF53">
        <v>86</v>
      </c>
      <c r="BG53">
        <v>8.27</v>
      </c>
      <c r="BH53">
        <v>5.38</v>
      </c>
      <c r="BI53">
        <v>1.97</v>
      </c>
      <c r="BJ53">
        <v>3.25</v>
      </c>
      <c r="BK53">
        <v>3.7</v>
      </c>
      <c r="BL53">
        <v>2.8525597053515799E-2</v>
      </c>
      <c r="BM53">
        <v>1.44</v>
      </c>
      <c r="BN53">
        <v>2.3199999999999998</v>
      </c>
      <c r="BO53">
        <v>4.5</v>
      </c>
      <c r="BP53">
        <v>8</v>
      </c>
      <c r="BQ53">
        <v>2</v>
      </c>
      <c r="BR53">
        <v>1.75</v>
      </c>
      <c r="BS53" t="s">
        <v>136</v>
      </c>
      <c r="BT53">
        <v>1.743992017160418</v>
      </c>
      <c r="BU53">
        <v>0.97803937284245479</v>
      </c>
      <c r="BV53">
        <v>2.5271929824561399</v>
      </c>
      <c r="BW53">
        <v>1.510877192982456</v>
      </c>
      <c r="BX53">
        <v>1.0163157894736841</v>
      </c>
      <c r="BY53">
        <v>0.67350877192982461</v>
      </c>
      <c r="BZ53">
        <v>0.4442105263157895</v>
      </c>
      <c r="CA53">
        <v>12.80980392156863</v>
      </c>
      <c r="CB53">
        <v>9.6872549019607845</v>
      </c>
      <c r="CC53">
        <v>5.6491169610129957</v>
      </c>
      <c r="CD53">
        <v>4.1379540153282237</v>
      </c>
      <c r="CE53">
        <v>7.1606869605556343</v>
      </c>
      <c r="CF53">
        <v>5.5493008866325608</v>
      </c>
      <c r="CG53">
        <v>12.9029029029029</v>
      </c>
      <c r="CH53">
        <v>13.75508842175509</v>
      </c>
      <c r="CI53">
        <v>1.5287356321839081</v>
      </c>
      <c r="CJ53">
        <v>1.9664750957854411</v>
      </c>
      <c r="CK53">
        <v>8.8441890166028103E-2</v>
      </c>
      <c r="CL53">
        <v>0.13409961685823751</v>
      </c>
    </row>
    <row r="54" spans="1:90" x14ac:dyDescent="0.45">
      <c r="A54" t="s">
        <v>695</v>
      </c>
      <c r="B54">
        <v>1645750800</v>
      </c>
      <c r="C54" t="s">
        <v>498</v>
      </c>
      <c r="D54" t="s">
        <v>65</v>
      </c>
      <c r="E54" t="s">
        <v>66</v>
      </c>
      <c r="F54" t="s">
        <v>84</v>
      </c>
      <c r="G54" t="s">
        <v>113</v>
      </c>
      <c r="H54" t="s">
        <v>66</v>
      </c>
      <c r="I54">
        <v>0.57999999999999996</v>
      </c>
      <c r="J54">
        <v>0.57509959919598475</v>
      </c>
      <c r="K54">
        <v>0.23243022038202754</v>
      </c>
      <c r="L54">
        <v>0.1924701804219876</v>
      </c>
      <c r="M54">
        <v>7</v>
      </c>
      <c r="N54">
        <v>1.36</v>
      </c>
      <c r="O54">
        <v>0.45</v>
      </c>
      <c r="P54">
        <v>1.89</v>
      </c>
      <c r="Q54">
        <v>0.72</v>
      </c>
      <c r="R54" t="s">
        <v>1352</v>
      </c>
      <c r="S54">
        <v>3</v>
      </c>
      <c r="T54">
        <v>1</v>
      </c>
      <c r="U54">
        <v>4</v>
      </c>
      <c r="V54">
        <v>3</v>
      </c>
      <c r="W54">
        <v>2</v>
      </c>
      <c r="X54">
        <v>1</v>
      </c>
      <c r="Y54" t="s">
        <v>499</v>
      </c>
      <c r="Z54" t="s">
        <v>149</v>
      </c>
      <c r="AA54">
        <v>3</v>
      </c>
      <c r="AB54">
        <v>1</v>
      </c>
      <c r="AC54">
        <v>2</v>
      </c>
      <c r="AD54">
        <v>0</v>
      </c>
      <c r="AE54">
        <v>4</v>
      </c>
      <c r="AF54">
        <v>0</v>
      </c>
      <c r="AG54">
        <v>0</v>
      </c>
      <c r="AH54">
        <v>2</v>
      </c>
      <c r="AI54">
        <v>1</v>
      </c>
      <c r="AJ54">
        <v>3</v>
      </c>
      <c r="AK54">
        <v>12</v>
      </c>
      <c r="AL54">
        <v>10</v>
      </c>
      <c r="AM54">
        <v>5</v>
      </c>
      <c r="AN54">
        <v>4</v>
      </c>
      <c r="AO54">
        <v>7</v>
      </c>
      <c r="AP54">
        <v>6</v>
      </c>
      <c r="AQ54">
        <v>22</v>
      </c>
      <c r="AR54">
        <v>10</v>
      </c>
      <c r="AS54">
        <v>58</v>
      </c>
      <c r="AT54">
        <v>42</v>
      </c>
      <c r="AU54">
        <v>1.42</v>
      </c>
      <c r="AV54">
        <v>1.1599999999999999</v>
      </c>
      <c r="AW54">
        <v>2.41</v>
      </c>
      <c r="AX54">
        <v>46</v>
      </c>
      <c r="AY54">
        <v>78</v>
      </c>
      <c r="AZ54">
        <v>41</v>
      </c>
      <c r="BA54">
        <v>18</v>
      </c>
      <c r="BB54">
        <v>5</v>
      </c>
      <c r="BC54">
        <v>32</v>
      </c>
      <c r="BD54">
        <v>73</v>
      </c>
      <c r="BE54">
        <v>32</v>
      </c>
      <c r="BF54">
        <v>64</v>
      </c>
      <c r="BG54">
        <v>8.09</v>
      </c>
      <c r="BH54">
        <v>4.91</v>
      </c>
      <c r="BI54">
        <v>1.66</v>
      </c>
      <c r="BJ54">
        <v>3.85</v>
      </c>
      <c r="BK54">
        <v>4.55</v>
      </c>
      <c r="BL54">
        <v>2.7310039358232174E-2</v>
      </c>
      <c r="BM54">
        <v>0</v>
      </c>
      <c r="BN54">
        <v>1.84</v>
      </c>
      <c r="BO54">
        <v>0</v>
      </c>
      <c r="BP54">
        <v>0</v>
      </c>
      <c r="BQ54">
        <v>0</v>
      </c>
      <c r="BR54">
        <v>0</v>
      </c>
      <c r="BS54" t="s">
        <v>88</v>
      </c>
      <c r="BT54">
        <v>2.0230889143600308</v>
      </c>
      <c r="BU54">
        <v>0.72731480520165426</v>
      </c>
      <c r="BV54">
        <v>2.6362999299229148</v>
      </c>
      <c r="BW54">
        <v>1.7619715019855171</v>
      </c>
      <c r="BX54">
        <v>0.87432842793739785</v>
      </c>
      <c r="BY54">
        <v>0.78411214953271025</v>
      </c>
      <c r="BZ54">
        <v>0.38060747663551397</v>
      </c>
      <c r="CA54">
        <v>14.215499378367181</v>
      </c>
      <c r="CB54">
        <v>8.9523612261806136</v>
      </c>
      <c r="CC54">
        <v>6.3083121289228163</v>
      </c>
      <c r="CD54">
        <v>3.7757524374735061</v>
      </c>
      <c r="CE54">
        <v>7.9071872494443642</v>
      </c>
      <c r="CF54">
        <v>5.1766087887071075</v>
      </c>
      <c r="CG54">
        <v>12.634239592183521</v>
      </c>
      <c r="CH54">
        <v>13.597706032285471</v>
      </c>
      <c r="CI54">
        <v>1.365400161681487</v>
      </c>
      <c r="CJ54">
        <v>1.963621665319321</v>
      </c>
      <c r="CK54">
        <v>7.1544058205335492E-2</v>
      </c>
      <c r="CL54">
        <v>0.1216653193209378</v>
      </c>
    </row>
    <row r="55" spans="1:90" x14ac:dyDescent="0.45">
      <c r="A55" t="s">
        <v>695</v>
      </c>
      <c r="B55">
        <v>1645758300</v>
      </c>
      <c r="C55" t="s">
        <v>500</v>
      </c>
      <c r="D55" t="s">
        <v>65</v>
      </c>
      <c r="E55" t="s">
        <v>66</v>
      </c>
      <c r="F55" t="s">
        <v>67</v>
      </c>
      <c r="G55" t="s">
        <v>79</v>
      </c>
      <c r="H55" t="s">
        <v>103</v>
      </c>
      <c r="I55">
        <v>0.38</v>
      </c>
      <c r="J55">
        <v>0.37842309562655208</v>
      </c>
      <c r="K55">
        <v>0.27207225871797752</v>
      </c>
      <c r="L55">
        <v>0.34950464565547051</v>
      </c>
      <c r="M55">
        <v>7</v>
      </c>
      <c r="N55">
        <v>1.27</v>
      </c>
      <c r="O55">
        <v>1.42</v>
      </c>
      <c r="P55">
        <v>1.24</v>
      </c>
      <c r="Q55">
        <v>1.29</v>
      </c>
      <c r="R55" t="s">
        <v>1348</v>
      </c>
      <c r="S55">
        <v>1</v>
      </c>
      <c r="T55">
        <v>1</v>
      </c>
      <c r="U55">
        <v>2</v>
      </c>
      <c r="V55">
        <v>1</v>
      </c>
      <c r="W55">
        <v>1</v>
      </c>
      <c r="X55">
        <v>0</v>
      </c>
      <c r="Y55">
        <v>10</v>
      </c>
      <c r="Z55" t="s">
        <v>308</v>
      </c>
      <c r="AA55">
        <v>5</v>
      </c>
      <c r="AB55">
        <v>5</v>
      </c>
      <c r="AC55">
        <v>4</v>
      </c>
      <c r="AD55">
        <v>1</v>
      </c>
      <c r="AE55">
        <v>1</v>
      </c>
      <c r="AF55">
        <v>0</v>
      </c>
      <c r="AG55">
        <v>0</v>
      </c>
      <c r="AH55">
        <v>5</v>
      </c>
      <c r="AI55">
        <v>1</v>
      </c>
      <c r="AJ55">
        <v>0</v>
      </c>
      <c r="AK55">
        <v>6</v>
      </c>
      <c r="AL55">
        <v>15</v>
      </c>
      <c r="AM55">
        <v>4</v>
      </c>
      <c r="AN55">
        <v>8</v>
      </c>
      <c r="AO55">
        <v>2</v>
      </c>
      <c r="AP55">
        <v>7</v>
      </c>
      <c r="AQ55">
        <v>14</v>
      </c>
      <c r="AR55">
        <v>14</v>
      </c>
      <c r="AS55">
        <v>39</v>
      </c>
      <c r="AT55">
        <v>61</v>
      </c>
      <c r="AU55">
        <v>0.81</v>
      </c>
      <c r="AV55">
        <v>1.77</v>
      </c>
      <c r="AW55">
        <v>2.34</v>
      </c>
      <c r="AX55">
        <v>30</v>
      </c>
      <c r="AY55">
        <v>70</v>
      </c>
      <c r="AZ55">
        <v>39</v>
      </c>
      <c r="BA55">
        <v>26</v>
      </c>
      <c r="BB55">
        <v>9</v>
      </c>
      <c r="BC55">
        <v>31</v>
      </c>
      <c r="BD55">
        <v>78</v>
      </c>
      <c r="BE55">
        <v>26</v>
      </c>
      <c r="BF55">
        <v>74</v>
      </c>
      <c r="BG55">
        <v>7.51</v>
      </c>
      <c r="BH55">
        <v>5.22</v>
      </c>
      <c r="BI55">
        <v>2.4700000000000002</v>
      </c>
      <c r="BJ55">
        <v>3.35</v>
      </c>
      <c r="BK55">
        <v>2.66</v>
      </c>
      <c r="BL55">
        <v>2.6435203968589633E-2</v>
      </c>
      <c r="BM55">
        <v>1.3</v>
      </c>
      <c r="BN55">
        <v>1.98</v>
      </c>
      <c r="BO55">
        <v>3.2</v>
      </c>
      <c r="BP55">
        <v>6</v>
      </c>
      <c r="BQ55">
        <v>1.67</v>
      </c>
      <c r="BR55">
        <v>2.1</v>
      </c>
      <c r="BS55" t="s">
        <v>70</v>
      </c>
      <c r="BT55">
        <v>1.464160929441638</v>
      </c>
      <c r="BU55">
        <v>1.2477119808919459</v>
      </c>
      <c r="BV55">
        <v>2.4900895140664963</v>
      </c>
      <c r="BW55">
        <v>1.330562659846547</v>
      </c>
      <c r="BX55">
        <v>1.1595268542199491</v>
      </c>
      <c r="BY55">
        <v>0.59053607588191415</v>
      </c>
      <c r="BZ55">
        <v>0.50069274219332838</v>
      </c>
      <c r="CA55">
        <v>11.79715236686391</v>
      </c>
      <c r="CB55">
        <v>10.317122781065089</v>
      </c>
      <c r="CC55">
        <v>5.0637025966747622</v>
      </c>
      <c r="CD55">
        <v>4.4674014571268454</v>
      </c>
      <c r="CE55">
        <v>6.7334497701891483</v>
      </c>
      <c r="CF55">
        <v>5.849721323938244</v>
      </c>
      <c r="CG55">
        <v>12.89644194756554</v>
      </c>
      <c r="CH55">
        <v>13.3434456928839</v>
      </c>
      <c r="CI55">
        <v>1.6144382124117971</v>
      </c>
      <c r="CJ55">
        <v>1.9032024606477289</v>
      </c>
      <c r="CK55">
        <v>9.372172969060974E-2</v>
      </c>
      <c r="CL55">
        <v>0.11669983716301791</v>
      </c>
    </row>
    <row r="56" spans="1:90" x14ac:dyDescent="0.45">
      <c r="A56" t="s">
        <v>695</v>
      </c>
      <c r="B56">
        <v>1645837200</v>
      </c>
      <c r="C56" t="s">
        <v>501</v>
      </c>
      <c r="D56" t="s">
        <v>65</v>
      </c>
      <c r="E56" t="s">
        <v>66</v>
      </c>
      <c r="F56" t="s">
        <v>72</v>
      </c>
      <c r="G56" t="s">
        <v>85</v>
      </c>
      <c r="H56" t="s">
        <v>108</v>
      </c>
      <c r="I56">
        <v>0.32</v>
      </c>
      <c r="J56">
        <v>0.32305275933461841</v>
      </c>
      <c r="K56">
        <v>0.26393945884200753</v>
      </c>
      <c r="L56">
        <v>0.41300778182337405</v>
      </c>
      <c r="M56">
        <v>7</v>
      </c>
      <c r="N56">
        <v>1.2</v>
      </c>
      <c r="O56">
        <v>1.29</v>
      </c>
      <c r="P56">
        <v>1.24</v>
      </c>
      <c r="Q56">
        <v>1.4</v>
      </c>
      <c r="R56" t="s">
        <v>1351</v>
      </c>
      <c r="S56">
        <v>0</v>
      </c>
      <c r="T56">
        <v>1</v>
      </c>
      <c r="U56">
        <v>1</v>
      </c>
      <c r="V56">
        <v>1</v>
      </c>
      <c r="W56">
        <v>0</v>
      </c>
      <c r="X56">
        <v>1</v>
      </c>
      <c r="Z56">
        <v>33</v>
      </c>
      <c r="AA56">
        <v>7</v>
      </c>
      <c r="AB56">
        <v>4</v>
      </c>
      <c r="AC56">
        <v>5</v>
      </c>
      <c r="AD56">
        <v>0</v>
      </c>
      <c r="AE56">
        <v>3</v>
      </c>
      <c r="AF56">
        <v>0</v>
      </c>
      <c r="AG56">
        <v>0</v>
      </c>
      <c r="AH56">
        <v>5</v>
      </c>
      <c r="AI56">
        <v>0</v>
      </c>
      <c r="AJ56">
        <v>3</v>
      </c>
      <c r="AK56">
        <v>15</v>
      </c>
      <c r="AL56">
        <v>9</v>
      </c>
      <c r="AM56">
        <v>9</v>
      </c>
      <c r="AN56">
        <v>3</v>
      </c>
      <c r="AO56">
        <v>6</v>
      </c>
      <c r="AP56">
        <v>6</v>
      </c>
      <c r="AQ56">
        <v>22</v>
      </c>
      <c r="AR56">
        <v>11</v>
      </c>
      <c r="AS56">
        <v>44</v>
      </c>
      <c r="AT56">
        <v>56</v>
      </c>
      <c r="AU56">
        <v>1.87</v>
      </c>
      <c r="AV56">
        <v>1</v>
      </c>
      <c r="AW56">
        <v>2.44</v>
      </c>
      <c r="AX56">
        <v>33</v>
      </c>
      <c r="AY56">
        <v>69</v>
      </c>
      <c r="AZ56">
        <v>62</v>
      </c>
      <c r="BA56">
        <v>17</v>
      </c>
      <c r="BB56">
        <v>0</v>
      </c>
      <c r="BC56">
        <v>36</v>
      </c>
      <c r="BD56">
        <v>67</v>
      </c>
      <c r="BE56">
        <v>31</v>
      </c>
      <c r="BF56">
        <v>82</v>
      </c>
      <c r="BG56">
        <v>9.7100000000000009</v>
      </c>
      <c r="BH56">
        <v>3.74</v>
      </c>
      <c r="BI56">
        <v>2.9</v>
      </c>
      <c r="BJ56">
        <v>3.5</v>
      </c>
      <c r="BK56">
        <v>2.2999999999999998</v>
      </c>
      <c r="BL56">
        <v>2.1774826872278163E-2</v>
      </c>
      <c r="BM56">
        <v>1.28</v>
      </c>
      <c r="BN56">
        <v>1.83</v>
      </c>
      <c r="BO56">
        <v>3.2</v>
      </c>
      <c r="BP56">
        <v>5.5</v>
      </c>
      <c r="BQ56">
        <v>1.67</v>
      </c>
      <c r="BR56">
        <v>2.1</v>
      </c>
      <c r="BS56" t="s">
        <v>76</v>
      </c>
      <c r="BT56">
        <v>1.274681051426811</v>
      </c>
      <c r="BU56">
        <v>1.4392482240810365</v>
      </c>
      <c r="BV56">
        <v>2.5313454284174597</v>
      </c>
      <c r="BW56">
        <v>1.210167055864918</v>
      </c>
      <c r="BX56">
        <v>1.3211783725525419</v>
      </c>
      <c r="BY56">
        <v>0.53135669362084459</v>
      </c>
      <c r="BZ56">
        <v>0.55633423180592989</v>
      </c>
      <c r="CA56">
        <v>11.21109010712035</v>
      </c>
      <c r="CB56">
        <v>11.01700787401575</v>
      </c>
      <c r="CC56">
        <v>4.6792332268370611</v>
      </c>
      <c r="CD56">
        <v>4.7080804854679013</v>
      </c>
      <c r="CE56">
        <v>6.5318568802832893</v>
      </c>
      <c r="CF56">
        <v>6.3089273885478487</v>
      </c>
      <c r="CG56">
        <v>12.72547770700637</v>
      </c>
      <c r="CH56">
        <v>13.06847133757962</v>
      </c>
      <c r="CI56">
        <v>1.6902356902356901</v>
      </c>
      <c r="CJ56">
        <v>1.8050198959289869</v>
      </c>
      <c r="CK56">
        <v>0.105907560453015</v>
      </c>
      <c r="CL56">
        <v>0.1141720232629324</v>
      </c>
    </row>
    <row r="57" spans="1:90" x14ac:dyDescent="0.45">
      <c r="A57" t="s">
        <v>695</v>
      </c>
      <c r="B57">
        <v>1645844400</v>
      </c>
      <c r="C57" t="s">
        <v>502</v>
      </c>
      <c r="D57" t="s">
        <v>65</v>
      </c>
      <c r="E57" t="s">
        <v>66</v>
      </c>
      <c r="F57" t="s">
        <v>78</v>
      </c>
      <c r="G57" t="s">
        <v>107</v>
      </c>
      <c r="H57" t="s">
        <v>66</v>
      </c>
      <c r="I57">
        <v>0.28000000000000003</v>
      </c>
      <c r="J57">
        <v>0.28763828763828764</v>
      </c>
      <c r="K57">
        <v>0.28763828763828764</v>
      </c>
      <c r="L57">
        <v>0.42472342472342473</v>
      </c>
      <c r="M57">
        <v>7</v>
      </c>
      <c r="N57">
        <v>1.36</v>
      </c>
      <c r="O57">
        <v>1.38</v>
      </c>
      <c r="P57">
        <v>0.88</v>
      </c>
      <c r="Q57">
        <v>1.48</v>
      </c>
      <c r="R57" t="s">
        <v>1351</v>
      </c>
      <c r="S57">
        <v>2</v>
      </c>
      <c r="T57">
        <v>3</v>
      </c>
      <c r="U57">
        <v>5</v>
      </c>
      <c r="V57">
        <v>3</v>
      </c>
      <c r="W57">
        <v>0</v>
      </c>
      <c r="X57">
        <v>3</v>
      </c>
      <c r="Y57" t="s">
        <v>503</v>
      </c>
      <c r="Z57" t="s">
        <v>504</v>
      </c>
      <c r="AA57">
        <v>3</v>
      </c>
      <c r="AB57">
        <v>7</v>
      </c>
      <c r="AC57">
        <v>2</v>
      </c>
      <c r="AD57">
        <v>0</v>
      </c>
      <c r="AE57">
        <v>3</v>
      </c>
      <c r="AF57">
        <v>0</v>
      </c>
      <c r="AG57">
        <v>0</v>
      </c>
      <c r="AH57">
        <v>2</v>
      </c>
      <c r="AI57">
        <v>0</v>
      </c>
      <c r="AJ57">
        <v>3</v>
      </c>
      <c r="AK57">
        <v>6</v>
      </c>
      <c r="AL57">
        <v>9</v>
      </c>
      <c r="AM57">
        <v>3</v>
      </c>
      <c r="AN57">
        <v>6</v>
      </c>
      <c r="AO57">
        <v>3</v>
      </c>
      <c r="AP57">
        <v>3</v>
      </c>
      <c r="AQ57">
        <v>12</v>
      </c>
      <c r="AR57">
        <v>15</v>
      </c>
      <c r="AS57">
        <v>40</v>
      </c>
      <c r="AT57">
        <v>60</v>
      </c>
      <c r="AU57">
        <v>0.83</v>
      </c>
      <c r="AV57">
        <v>1.28</v>
      </c>
      <c r="AW57">
        <v>2.5299999999999998</v>
      </c>
      <c r="AX57">
        <v>67</v>
      </c>
      <c r="AY57">
        <v>83</v>
      </c>
      <c r="AZ57">
        <v>59</v>
      </c>
      <c r="BA57">
        <v>21</v>
      </c>
      <c r="BB57">
        <v>0</v>
      </c>
      <c r="BC57">
        <v>47</v>
      </c>
      <c r="BD57">
        <v>75</v>
      </c>
      <c r="BE57">
        <v>45</v>
      </c>
      <c r="BF57">
        <v>74</v>
      </c>
      <c r="BG57">
        <v>7.17</v>
      </c>
      <c r="BH57">
        <v>5.1100000000000003</v>
      </c>
      <c r="BI57">
        <v>3.15</v>
      </c>
      <c r="BJ57">
        <v>3.15</v>
      </c>
      <c r="BK57">
        <v>2.2000000000000002</v>
      </c>
      <c r="BL57">
        <v>2.9822029822029823E-2</v>
      </c>
      <c r="BM57">
        <v>1.36</v>
      </c>
      <c r="BN57">
        <v>1.9</v>
      </c>
      <c r="BO57">
        <v>4</v>
      </c>
      <c r="BP57">
        <v>7</v>
      </c>
      <c r="BQ57">
        <v>1.8</v>
      </c>
      <c r="BR57">
        <v>1.95</v>
      </c>
      <c r="BS57" t="s">
        <v>82</v>
      </c>
      <c r="BT57">
        <v>1.1529533168233341</v>
      </c>
      <c r="BU57">
        <v>1.5628535554286829</v>
      </c>
      <c r="BV57">
        <v>2.5445607358071678</v>
      </c>
      <c r="BW57">
        <v>1.128766254360926</v>
      </c>
      <c r="BX57">
        <v>1.415794481446242</v>
      </c>
      <c r="BY57">
        <v>0.49635267998731369</v>
      </c>
      <c r="BZ57">
        <v>0.61084681255946716</v>
      </c>
      <c r="CA57">
        <v>11.04442036836403</v>
      </c>
      <c r="CB57">
        <v>11.38840736728061</v>
      </c>
      <c r="CC57">
        <v>4.5379574003276897</v>
      </c>
      <c r="CD57">
        <v>4.8481703986892413</v>
      </c>
      <c r="CE57">
        <v>6.5064629680363399</v>
      </c>
      <c r="CF57">
        <v>6.540236968591369</v>
      </c>
      <c r="CG57">
        <v>13.117582417582421</v>
      </c>
      <c r="CH57">
        <v>13.28241758241758</v>
      </c>
      <c r="CI57">
        <v>1.792592592592593</v>
      </c>
      <c r="CJ57">
        <v>1.806980433632998</v>
      </c>
      <c r="CK57">
        <v>0.1047065044949762</v>
      </c>
      <c r="CL57">
        <v>0.1073506081438392</v>
      </c>
    </row>
    <row r="58" spans="1:90" x14ac:dyDescent="0.45">
      <c r="A58" t="s">
        <v>695</v>
      </c>
      <c r="B58">
        <v>1645844760</v>
      </c>
      <c r="C58" t="s">
        <v>505</v>
      </c>
      <c r="D58" t="s">
        <v>65</v>
      </c>
      <c r="E58" t="s">
        <v>66</v>
      </c>
      <c r="F58" t="s">
        <v>106</v>
      </c>
      <c r="G58" t="s">
        <v>97</v>
      </c>
      <c r="H58" t="s">
        <v>74</v>
      </c>
      <c r="I58">
        <v>0.24</v>
      </c>
      <c r="J58">
        <v>0.24897249077576952</v>
      </c>
      <c r="K58">
        <v>0.29906356545700813</v>
      </c>
      <c r="L58">
        <v>0.45196394376722243</v>
      </c>
      <c r="M58">
        <v>7</v>
      </c>
      <c r="N58">
        <v>1.25</v>
      </c>
      <c r="O58">
        <v>1.71</v>
      </c>
      <c r="P58">
        <v>1.35</v>
      </c>
      <c r="Q58">
        <v>1.68</v>
      </c>
      <c r="R58" t="s">
        <v>1352</v>
      </c>
      <c r="S58">
        <v>2</v>
      </c>
      <c r="T58">
        <v>0</v>
      </c>
      <c r="U58">
        <v>2</v>
      </c>
      <c r="V58">
        <v>2</v>
      </c>
      <c r="W58">
        <v>2</v>
      </c>
      <c r="X58">
        <v>0</v>
      </c>
      <c r="Y58" t="s">
        <v>506</v>
      </c>
      <c r="AA58">
        <v>1</v>
      </c>
      <c r="AB58">
        <v>6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12</v>
      </c>
      <c r="AL58">
        <v>5</v>
      </c>
      <c r="AM58">
        <v>6</v>
      </c>
      <c r="AN58">
        <v>0</v>
      </c>
      <c r="AO58">
        <v>6</v>
      </c>
      <c r="AP58">
        <v>5</v>
      </c>
      <c r="AQ58">
        <v>13</v>
      </c>
      <c r="AR58">
        <v>10</v>
      </c>
      <c r="AS58">
        <v>47</v>
      </c>
      <c r="AT58">
        <v>53</v>
      </c>
      <c r="AU58">
        <v>1.43</v>
      </c>
      <c r="AV58">
        <v>0.72</v>
      </c>
      <c r="AW58">
        <v>2.11</v>
      </c>
      <c r="AX58">
        <v>51</v>
      </c>
      <c r="AY58">
        <v>62</v>
      </c>
      <c r="AZ58">
        <v>27</v>
      </c>
      <c r="BA58">
        <v>16</v>
      </c>
      <c r="BB58">
        <v>11</v>
      </c>
      <c r="BC58">
        <v>19</v>
      </c>
      <c r="BD58">
        <v>69</v>
      </c>
      <c r="BE58">
        <v>31</v>
      </c>
      <c r="BF58">
        <v>66</v>
      </c>
      <c r="BG58">
        <v>10.01</v>
      </c>
      <c r="BH58">
        <v>4.1399999999999997</v>
      </c>
      <c r="BI58">
        <v>3.6</v>
      </c>
      <c r="BJ58">
        <v>3.05</v>
      </c>
      <c r="BK58">
        <v>2.08</v>
      </c>
      <c r="BL58">
        <v>2.8805287002008278E-2</v>
      </c>
      <c r="BM58">
        <v>1.53</v>
      </c>
      <c r="BN58">
        <v>2.16</v>
      </c>
      <c r="BO58">
        <v>4.33</v>
      </c>
      <c r="BP58">
        <v>8</v>
      </c>
      <c r="BQ58">
        <v>1.95</v>
      </c>
      <c r="BR58">
        <v>1.8</v>
      </c>
      <c r="BS58" t="s">
        <v>110</v>
      </c>
      <c r="BT58">
        <v>1.0221684690062811</v>
      </c>
      <c r="BU58">
        <v>1.7036119427882386</v>
      </c>
      <c r="BV58">
        <v>2.6014437689969609</v>
      </c>
      <c r="BW58">
        <v>1.067249240121581</v>
      </c>
      <c r="BX58">
        <v>1.53419452887538</v>
      </c>
      <c r="BY58">
        <v>0.45589353612167299</v>
      </c>
      <c r="BZ58">
        <v>0.65133079847908748</v>
      </c>
      <c r="CA58">
        <v>10.75886524822695</v>
      </c>
      <c r="CB58">
        <v>12.46679561573179</v>
      </c>
      <c r="CC58">
        <v>4.1157347204161248</v>
      </c>
      <c r="CD58">
        <v>5.1072821846553964</v>
      </c>
      <c r="CE58">
        <v>6.6431305278108255</v>
      </c>
      <c r="CF58">
        <v>7.3595134310763939</v>
      </c>
      <c r="CG58">
        <v>13.11140235910878</v>
      </c>
      <c r="CH58">
        <v>12.93184796854522</v>
      </c>
      <c r="CI58">
        <v>1.8341677096370459</v>
      </c>
      <c r="CJ58">
        <v>1.7903629536921151</v>
      </c>
      <c r="CK58">
        <v>0.1095118898623279</v>
      </c>
      <c r="CL58">
        <v>9.3241551939924908E-2</v>
      </c>
    </row>
    <row r="59" spans="1:90" x14ac:dyDescent="0.45">
      <c r="A59" t="s">
        <v>695</v>
      </c>
      <c r="B59">
        <v>1645916760</v>
      </c>
      <c r="C59" t="s">
        <v>507</v>
      </c>
      <c r="D59" t="s">
        <v>65</v>
      </c>
      <c r="E59" t="s">
        <v>66</v>
      </c>
      <c r="F59" t="s">
        <v>101</v>
      </c>
      <c r="G59" t="s">
        <v>91</v>
      </c>
      <c r="H59" t="s">
        <v>114</v>
      </c>
      <c r="I59">
        <v>0.52</v>
      </c>
      <c r="J59">
        <v>0.52209107764663321</v>
      </c>
      <c r="K59">
        <v>0.25835481391036946</v>
      </c>
      <c r="L59">
        <v>0.21955410844299739</v>
      </c>
      <c r="M59">
        <v>7</v>
      </c>
      <c r="N59">
        <v>1.55</v>
      </c>
      <c r="O59">
        <v>1.31</v>
      </c>
      <c r="P59">
        <v>1.79</v>
      </c>
      <c r="Q59">
        <v>1.25</v>
      </c>
      <c r="R59" t="s">
        <v>1351</v>
      </c>
      <c r="S59">
        <v>0</v>
      </c>
      <c r="T59">
        <v>2</v>
      </c>
      <c r="U59">
        <v>2</v>
      </c>
      <c r="V59">
        <v>1</v>
      </c>
      <c r="W59">
        <v>0</v>
      </c>
      <c r="X59">
        <v>1</v>
      </c>
      <c r="Z59" t="s">
        <v>508</v>
      </c>
      <c r="AA59">
        <v>11</v>
      </c>
      <c r="AB59">
        <v>2</v>
      </c>
      <c r="AC59">
        <v>3</v>
      </c>
      <c r="AD59">
        <v>0</v>
      </c>
      <c r="AE59">
        <v>1</v>
      </c>
      <c r="AF59">
        <v>0</v>
      </c>
      <c r="AG59">
        <v>1</v>
      </c>
      <c r="AH59">
        <v>2</v>
      </c>
      <c r="AI59">
        <v>0</v>
      </c>
      <c r="AJ59">
        <v>1</v>
      </c>
      <c r="AK59">
        <v>18</v>
      </c>
      <c r="AL59">
        <v>8</v>
      </c>
      <c r="AM59">
        <v>9</v>
      </c>
      <c r="AN59">
        <v>4</v>
      </c>
      <c r="AO59">
        <v>9</v>
      </c>
      <c r="AP59">
        <v>4</v>
      </c>
      <c r="AQ59">
        <v>16</v>
      </c>
      <c r="AR59">
        <v>13</v>
      </c>
      <c r="AS59">
        <v>59</v>
      </c>
      <c r="AT59">
        <v>41</v>
      </c>
      <c r="AU59">
        <v>2.31</v>
      </c>
      <c r="AV59">
        <v>0.92</v>
      </c>
      <c r="AW59">
        <v>1.98</v>
      </c>
      <c r="AX59">
        <v>41</v>
      </c>
      <c r="AY59">
        <v>59</v>
      </c>
      <c r="AZ59">
        <v>36</v>
      </c>
      <c r="BA59">
        <v>25</v>
      </c>
      <c r="BB59">
        <v>4</v>
      </c>
      <c r="BC59">
        <v>12</v>
      </c>
      <c r="BD59">
        <v>55</v>
      </c>
      <c r="BE59">
        <v>37</v>
      </c>
      <c r="BF59">
        <v>63</v>
      </c>
      <c r="BG59">
        <v>7.96</v>
      </c>
      <c r="BH59">
        <v>5.07</v>
      </c>
      <c r="BI59">
        <v>1.82</v>
      </c>
      <c r="BJ59">
        <v>3.5</v>
      </c>
      <c r="BK59">
        <v>4.05</v>
      </c>
      <c r="BL59">
        <v>2.7359471803916218E-2</v>
      </c>
      <c r="BM59">
        <v>1.33</v>
      </c>
      <c r="BN59">
        <v>1.95</v>
      </c>
      <c r="BO59">
        <v>3.75</v>
      </c>
      <c r="BP59">
        <v>7</v>
      </c>
      <c r="BQ59">
        <v>2</v>
      </c>
      <c r="BR59">
        <v>1.75</v>
      </c>
      <c r="BS59" t="s">
        <v>104</v>
      </c>
      <c r="BT59">
        <v>1.8614830167843088</v>
      </c>
      <c r="BU59">
        <v>0.87079851622593896</v>
      </c>
      <c r="BV59">
        <v>2.5967403582378576</v>
      </c>
      <c r="BW59">
        <v>1.625948039373891</v>
      </c>
      <c r="BX59">
        <v>0.97079231886396644</v>
      </c>
      <c r="BY59">
        <v>0.71433182698515174</v>
      </c>
      <c r="BZ59">
        <v>0.43011620400258233</v>
      </c>
      <c r="CA59">
        <v>13.39951055368614</v>
      </c>
      <c r="CB59">
        <v>9.4252064851636579</v>
      </c>
      <c r="CC59">
        <v>5.7628422023992618</v>
      </c>
      <c r="CD59">
        <v>3.9375576745616732</v>
      </c>
      <c r="CE59">
        <v>7.636668351286878</v>
      </c>
      <c r="CF59">
        <v>5.4876488106019847</v>
      </c>
      <c r="CG59">
        <v>12.460420531849101</v>
      </c>
      <c r="CH59">
        <v>13.44897959183673</v>
      </c>
      <c r="CI59">
        <v>1.462202380952381</v>
      </c>
      <c r="CJ59">
        <v>2.01547619047619</v>
      </c>
      <c r="CK59">
        <v>7.7380952380952384E-2</v>
      </c>
      <c r="CL59">
        <v>0.13754093480202439</v>
      </c>
    </row>
    <row r="60" spans="1:90" x14ac:dyDescent="0.45">
      <c r="A60" t="s">
        <v>695</v>
      </c>
      <c r="B60">
        <v>1645923600</v>
      </c>
      <c r="C60" t="s">
        <v>509</v>
      </c>
      <c r="D60" t="s">
        <v>65</v>
      </c>
      <c r="E60" t="s">
        <v>66</v>
      </c>
      <c r="F60" t="s">
        <v>90</v>
      </c>
      <c r="G60" t="s">
        <v>102</v>
      </c>
      <c r="H60" t="s">
        <v>130</v>
      </c>
      <c r="I60">
        <v>0.42</v>
      </c>
      <c r="J60">
        <v>0.41215357233663874</v>
      </c>
      <c r="K60">
        <v>0.26341215357233666</v>
      </c>
      <c r="L60">
        <v>0.32443427409102465</v>
      </c>
      <c r="M60">
        <v>7</v>
      </c>
      <c r="N60">
        <v>1.36</v>
      </c>
      <c r="O60">
        <v>1.64</v>
      </c>
      <c r="P60">
        <v>1.47</v>
      </c>
      <c r="Q60">
        <v>1.42</v>
      </c>
      <c r="R60" t="s">
        <v>1351</v>
      </c>
      <c r="S60">
        <v>2</v>
      </c>
      <c r="T60">
        <v>3</v>
      </c>
      <c r="U60">
        <v>5</v>
      </c>
      <c r="V60">
        <v>2</v>
      </c>
      <c r="W60">
        <v>2</v>
      </c>
      <c r="X60">
        <v>0</v>
      </c>
      <c r="Y60" t="s">
        <v>510</v>
      </c>
      <c r="Z60" t="s">
        <v>511</v>
      </c>
      <c r="AA60">
        <v>3</v>
      </c>
      <c r="AB60">
        <v>5</v>
      </c>
      <c r="AC60">
        <v>4</v>
      </c>
      <c r="AD60">
        <v>1</v>
      </c>
      <c r="AE60">
        <v>1</v>
      </c>
      <c r="AF60">
        <v>0</v>
      </c>
      <c r="AG60">
        <v>1</v>
      </c>
      <c r="AH60">
        <v>4</v>
      </c>
      <c r="AI60">
        <v>1</v>
      </c>
      <c r="AJ60">
        <v>0</v>
      </c>
      <c r="AK60">
        <v>12</v>
      </c>
      <c r="AL60">
        <v>9</v>
      </c>
      <c r="AM60">
        <v>5</v>
      </c>
      <c r="AN60">
        <v>3</v>
      </c>
      <c r="AO60">
        <v>7</v>
      </c>
      <c r="AP60">
        <v>6</v>
      </c>
      <c r="AQ60">
        <v>5</v>
      </c>
      <c r="AR60">
        <v>15</v>
      </c>
      <c r="AS60">
        <v>51</v>
      </c>
      <c r="AT60">
        <v>49</v>
      </c>
      <c r="AU60">
        <v>1.43</v>
      </c>
      <c r="AV60">
        <v>0.99</v>
      </c>
      <c r="AW60">
        <v>2.19</v>
      </c>
      <c r="AX60">
        <v>41</v>
      </c>
      <c r="AY60">
        <v>82</v>
      </c>
      <c r="AZ60">
        <v>28</v>
      </c>
      <c r="BA60">
        <v>9</v>
      </c>
      <c r="BB60">
        <v>0</v>
      </c>
      <c r="BC60">
        <v>27</v>
      </c>
      <c r="BD60">
        <v>73</v>
      </c>
      <c r="BE60">
        <v>41</v>
      </c>
      <c r="BF60">
        <v>73</v>
      </c>
      <c r="BG60">
        <v>8.91</v>
      </c>
      <c r="BH60">
        <v>5.82</v>
      </c>
      <c r="BI60">
        <v>2.2799999999999998</v>
      </c>
      <c r="BJ60">
        <v>3.45</v>
      </c>
      <c r="BK60">
        <v>2.85</v>
      </c>
      <c r="BL60">
        <v>2.6442918891431466E-2</v>
      </c>
      <c r="BM60">
        <v>1.44</v>
      </c>
      <c r="BN60">
        <v>2</v>
      </c>
      <c r="BO60">
        <v>4.5</v>
      </c>
      <c r="BP60">
        <v>7.5</v>
      </c>
      <c r="BQ60">
        <v>2</v>
      </c>
      <c r="BR60">
        <v>1.75</v>
      </c>
      <c r="BS60" t="s">
        <v>94</v>
      </c>
      <c r="BT60">
        <v>1.5780106027030405</v>
      </c>
      <c r="BU60">
        <v>1.1353025412447635</v>
      </c>
      <c r="BV60">
        <v>2.4884649511978703</v>
      </c>
      <c r="BW60">
        <v>1.396960958296362</v>
      </c>
      <c r="BX60">
        <v>1.091503992901508</v>
      </c>
      <c r="BY60">
        <v>0.60765391014975045</v>
      </c>
      <c r="BZ60">
        <v>0.47276760953965608</v>
      </c>
      <c r="CA60">
        <v>12.29504785684561</v>
      </c>
      <c r="CB60">
        <v>10.047232625884311</v>
      </c>
      <c r="CC60">
        <v>5.2917192097519967</v>
      </c>
      <c r="CD60">
        <v>4.2580916351408158</v>
      </c>
      <c r="CE60">
        <v>7.0033286470936131</v>
      </c>
      <c r="CF60">
        <v>5.789140990743495</v>
      </c>
      <c r="CG60">
        <v>12.77041895895049</v>
      </c>
      <c r="CH60">
        <v>13.411129919593741</v>
      </c>
      <c r="CI60">
        <v>1.556141062018646</v>
      </c>
      <c r="CJ60">
        <v>1.9114308877178761</v>
      </c>
      <c r="CK60">
        <v>8.4920956627482766E-2</v>
      </c>
      <c r="CL60">
        <v>0.1323469801378192</v>
      </c>
    </row>
    <row r="61" spans="1:90" x14ac:dyDescent="0.45">
      <c r="A61" t="s">
        <v>695</v>
      </c>
      <c r="B61">
        <v>1645930800</v>
      </c>
      <c r="C61" t="s">
        <v>512</v>
      </c>
      <c r="D61" t="s">
        <v>65</v>
      </c>
      <c r="E61" t="s">
        <v>66</v>
      </c>
      <c r="F61" t="s">
        <v>96</v>
      </c>
      <c r="G61" t="s">
        <v>68</v>
      </c>
      <c r="H61" t="s">
        <v>122</v>
      </c>
      <c r="I61">
        <v>0.34</v>
      </c>
      <c r="J61">
        <v>0.34847753376562413</v>
      </c>
      <c r="K61">
        <v>0.25563583940470203</v>
      </c>
      <c r="L61">
        <v>0.39588662682967374</v>
      </c>
      <c r="M61">
        <v>7</v>
      </c>
      <c r="N61">
        <v>1.57</v>
      </c>
      <c r="O61">
        <v>1.42</v>
      </c>
      <c r="P61">
        <v>1.58</v>
      </c>
      <c r="Q61">
        <v>1.53</v>
      </c>
      <c r="R61" t="s">
        <v>1348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AA61">
        <v>5</v>
      </c>
      <c r="AB61">
        <v>5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2</v>
      </c>
      <c r="AI61">
        <v>0</v>
      </c>
      <c r="AJ61">
        <v>1</v>
      </c>
      <c r="AK61">
        <v>8</v>
      </c>
      <c r="AL61">
        <v>12</v>
      </c>
      <c r="AM61">
        <v>3</v>
      </c>
      <c r="AN61">
        <v>5</v>
      </c>
      <c r="AO61">
        <v>5</v>
      </c>
      <c r="AP61">
        <v>7</v>
      </c>
      <c r="AQ61">
        <v>16</v>
      </c>
      <c r="AR61">
        <v>14</v>
      </c>
      <c r="AS61">
        <v>48</v>
      </c>
      <c r="AT61">
        <v>52</v>
      </c>
      <c r="AU61">
        <v>0.92</v>
      </c>
      <c r="AV61">
        <v>1.48</v>
      </c>
      <c r="AW61">
        <v>2.27</v>
      </c>
      <c r="AX61">
        <v>52</v>
      </c>
      <c r="AY61">
        <v>62</v>
      </c>
      <c r="AZ61">
        <v>46</v>
      </c>
      <c r="BA61">
        <v>23</v>
      </c>
      <c r="BB61">
        <v>11</v>
      </c>
      <c r="BC61">
        <v>40</v>
      </c>
      <c r="BD61">
        <v>62</v>
      </c>
      <c r="BE61">
        <v>26</v>
      </c>
      <c r="BF61">
        <v>58</v>
      </c>
      <c r="BG61">
        <v>9.2899999999999991</v>
      </c>
      <c r="BH61">
        <v>4.8899999999999997</v>
      </c>
      <c r="BI61">
        <v>2.67</v>
      </c>
      <c r="BJ61">
        <v>3.55</v>
      </c>
      <c r="BK61">
        <v>2.37</v>
      </c>
      <c r="BL61">
        <v>2.6054301440368393E-2</v>
      </c>
      <c r="BM61">
        <v>1.28</v>
      </c>
      <c r="BN61">
        <v>1.95</v>
      </c>
      <c r="BO61">
        <v>3.3</v>
      </c>
      <c r="BP61">
        <v>5.5</v>
      </c>
      <c r="BQ61">
        <v>1.7</v>
      </c>
      <c r="BR61">
        <v>2.0499999999999998</v>
      </c>
      <c r="BS61" t="s">
        <v>99</v>
      </c>
      <c r="BT61">
        <v>1.3382439854569812</v>
      </c>
      <c r="BU61">
        <v>1.3740319615582339</v>
      </c>
      <c r="BV61">
        <v>2.5229727551184897</v>
      </c>
      <c r="BW61">
        <v>1.228921489601805</v>
      </c>
      <c r="BX61">
        <v>1.2940512655166849</v>
      </c>
      <c r="BY61">
        <v>0.53240890035472432</v>
      </c>
      <c r="BZ61">
        <v>0.56514027732989358</v>
      </c>
      <c r="CA61">
        <v>11.417888124439131</v>
      </c>
      <c r="CB61">
        <v>10.76308704756207</v>
      </c>
      <c r="CC61">
        <v>4.8317672021824798</v>
      </c>
      <c r="CD61">
        <v>4.6698999696877843</v>
      </c>
      <c r="CE61">
        <v>6.5861209222566508</v>
      </c>
      <c r="CF61">
        <v>6.093187077874286</v>
      </c>
      <c r="CG61">
        <v>12.685679611650491</v>
      </c>
      <c r="CH61">
        <v>13.02639563106796</v>
      </c>
      <c r="CI61">
        <v>1.6481211768132831</v>
      </c>
      <c r="CJ61">
        <v>1.8572676958928049</v>
      </c>
      <c r="CK61">
        <v>9.641712787649287E-2</v>
      </c>
      <c r="CL61">
        <v>0.11302068161957469</v>
      </c>
    </row>
    <row r="62" spans="1:90" x14ac:dyDescent="0.45">
      <c r="A62" t="s">
        <v>695</v>
      </c>
      <c r="B62">
        <v>1646010000</v>
      </c>
      <c r="C62" t="s">
        <v>513</v>
      </c>
      <c r="D62" t="s">
        <v>65</v>
      </c>
      <c r="E62" t="s">
        <v>66</v>
      </c>
      <c r="F62" t="s">
        <v>112</v>
      </c>
      <c r="G62" t="s">
        <v>73</v>
      </c>
      <c r="H62" t="s">
        <v>158</v>
      </c>
      <c r="I62">
        <v>0.46</v>
      </c>
      <c r="J62">
        <v>0.46031746031746029</v>
      </c>
      <c r="K62">
        <v>0.29365079365079361</v>
      </c>
      <c r="L62">
        <v>0.24603174603174602</v>
      </c>
      <c r="M62">
        <v>7</v>
      </c>
      <c r="N62">
        <v>1.5</v>
      </c>
      <c r="O62">
        <v>1.08</v>
      </c>
      <c r="P62">
        <v>1.25</v>
      </c>
      <c r="Q62">
        <v>1.1100000000000001</v>
      </c>
      <c r="R62" t="s">
        <v>1351</v>
      </c>
      <c r="S62">
        <v>1</v>
      </c>
      <c r="T62">
        <v>2</v>
      </c>
      <c r="U62">
        <v>3</v>
      </c>
      <c r="V62">
        <v>1</v>
      </c>
      <c r="W62">
        <v>0</v>
      </c>
      <c r="X62">
        <v>1</v>
      </c>
      <c r="Y62">
        <v>64</v>
      </c>
      <c r="Z62" t="s">
        <v>514</v>
      </c>
      <c r="AA62">
        <v>12</v>
      </c>
      <c r="AB62">
        <v>8</v>
      </c>
      <c r="AC62">
        <v>2</v>
      </c>
      <c r="AD62">
        <v>0</v>
      </c>
      <c r="AE62">
        <v>3</v>
      </c>
      <c r="AF62">
        <v>0</v>
      </c>
      <c r="AG62">
        <v>0</v>
      </c>
      <c r="AH62">
        <v>2</v>
      </c>
      <c r="AI62">
        <v>1</v>
      </c>
      <c r="AJ62">
        <v>2</v>
      </c>
      <c r="AK62">
        <v>16</v>
      </c>
      <c r="AL62">
        <v>15</v>
      </c>
      <c r="AM62">
        <v>11</v>
      </c>
      <c r="AN62">
        <v>7</v>
      </c>
      <c r="AO62">
        <v>5</v>
      </c>
      <c r="AP62">
        <v>8</v>
      </c>
      <c r="AQ62">
        <v>12</v>
      </c>
      <c r="AR62">
        <v>13</v>
      </c>
      <c r="AS62">
        <v>57</v>
      </c>
      <c r="AT62">
        <v>43</v>
      </c>
      <c r="AU62">
        <v>2.2200000000000002</v>
      </c>
      <c r="AV62">
        <v>1.72</v>
      </c>
      <c r="AW62">
        <v>2.5</v>
      </c>
      <c r="AX62">
        <v>59</v>
      </c>
      <c r="AY62">
        <v>83</v>
      </c>
      <c r="AZ62">
        <v>46</v>
      </c>
      <c r="BA62">
        <v>17</v>
      </c>
      <c r="BB62">
        <v>8</v>
      </c>
      <c r="BC62">
        <v>29</v>
      </c>
      <c r="BD62">
        <v>80</v>
      </c>
      <c r="BE62">
        <v>42</v>
      </c>
      <c r="BF62">
        <v>84</v>
      </c>
      <c r="BG62">
        <v>11.17</v>
      </c>
      <c r="BH62">
        <v>5.16</v>
      </c>
      <c r="BI62">
        <v>2</v>
      </c>
      <c r="BJ62">
        <v>3</v>
      </c>
      <c r="BK62">
        <v>3.5</v>
      </c>
      <c r="BL62">
        <v>3.9682539682539687E-2</v>
      </c>
      <c r="BM62">
        <v>1.38</v>
      </c>
      <c r="BN62">
        <v>2.15</v>
      </c>
      <c r="BO62">
        <v>4</v>
      </c>
      <c r="BP62">
        <v>7.5</v>
      </c>
      <c r="BQ62">
        <v>1.95</v>
      </c>
      <c r="BR62">
        <v>1.8</v>
      </c>
      <c r="BS62" t="s">
        <v>116</v>
      </c>
      <c r="BT62">
        <v>1.6955772349985931</v>
      </c>
      <c r="BU62">
        <v>1.0239029519551039</v>
      </c>
      <c r="BV62">
        <v>2.5405629139072849</v>
      </c>
      <c r="BW62">
        <v>1.4888836329233679</v>
      </c>
      <c r="BX62">
        <v>1.0516792809839171</v>
      </c>
      <c r="BY62">
        <v>0.64581362346263005</v>
      </c>
      <c r="BZ62">
        <v>0.45364238410596031</v>
      </c>
      <c r="CA62">
        <v>12.686892177589851</v>
      </c>
      <c r="CB62">
        <v>9.8059196617336148</v>
      </c>
      <c r="CC62">
        <v>5.3198121263877027</v>
      </c>
      <c r="CD62">
        <v>4.0954312553373189</v>
      </c>
      <c r="CE62">
        <v>7.3670800512021479</v>
      </c>
      <c r="CF62">
        <v>5.710488406396296</v>
      </c>
      <c r="CG62">
        <v>13.0488908033599</v>
      </c>
      <c r="CH62">
        <v>13.714839543398661</v>
      </c>
      <c r="CI62">
        <v>1.567523459812322</v>
      </c>
      <c r="CJ62">
        <v>1.951040391676867</v>
      </c>
      <c r="CK62">
        <v>8.3027335781313744E-2</v>
      </c>
      <c r="CL62">
        <v>0.13117095063239501</v>
      </c>
    </row>
    <row r="63" spans="1:90" x14ac:dyDescent="0.45">
      <c r="A63" t="s">
        <v>695</v>
      </c>
      <c r="B63">
        <v>1646182800</v>
      </c>
      <c r="C63" t="s">
        <v>515</v>
      </c>
      <c r="D63" t="s">
        <v>65</v>
      </c>
      <c r="E63" t="s">
        <v>66</v>
      </c>
      <c r="F63" t="s">
        <v>79</v>
      </c>
      <c r="G63" t="s">
        <v>106</v>
      </c>
      <c r="H63" t="s">
        <v>66</v>
      </c>
      <c r="I63">
        <v>0.48</v>
      </c>
      <c r="J63">
        <v>0.48232894114890168</v>
      </c>
      <c r="K63">
        <v>0.27347346913553494</v>
      </c>
      <c r="L63">
        <v>0.24419758971556332</v>
      </c>
      <c r="M63">
        <v>8</v>
      </c>
      <c r="N63">
        <v>1.45</v>
      </c>
      <c r="O63">
        <v>0.45</v>
      </c>
      <c r="P63">
        <v>1.17</v>
      </c>
      <c r="Q63">
        <v>0.53</v>
      </c>
      <c r="R63" t="s">
        <v>1351</v>
      </c>
      <c r="S63">
        <v>1</v>
      </c>
      <c r="T63">
        <v>2</v>
      </c>
      <c r="U63">
        <v>3</v>
      </c>
      <c r="V63">
        <v>2</v>
      </c>
      <c r="W63">
        <v>1</v>
      </c>
      <c r="X63">
        <v>1</v>
      </c>
      <c r="Y63">
        <v>39</v>
      </c>
      <c r="Z63" t="s">
        <v>516</v>
      </c>
      <c r="AA63">
        <v>9</v>
      </c>
      <c r="AB63">
        <v>1</v>
      </c>
      <c r="AC63">
        <v>3</v>
      </c>
      <c r="AD63">
        <v>0</v>
      </c>
      <c r="AE63">
        <v>4</v>
      </c>
      <c r="AF63">
        <v>0</v>
      </c>
      <c r="AG63">
        <v>2</v>
      </c>
      <c r="AH63">
        <v>1</v>
      </c>
      <c r="AI63">
        <v>3</v>
      </c>
      <c r="AJ63">
        <v>1</v>
      </c>
      <c r="AK63">
        <v>10</v>
      </c>
      <c r="AL63">
        <v>4</v>
      </c>
      <c r="AM63">
        <v>2</v>
      </c>
      <c r="AN63">
        <v>2</v>
      </c>
      <c r="AO63">
        <v>8</v>
      </c>
      <c r="AP63">
        <v>2</v>
      </c>
      <c r="AQ63">
        <v>7</v>
      </c>
      <c r="AR63">
        <v>9</v>
      </c>
      <c r="AS63">
        <v>64</v>
      </c>
      <c r="AT63">
        <v>36</v>
      </c>
      <c r="AU63">
        <v>1.18</v>
      </c>
      <c r="AV63">
        <v>0.54</v>
      </c>
      <c r="AW63">
        <v>2.96</v>
      </c>
      <c r="AX63">
        <v>73</v>
      </c>
      <c r="AY63">
        <v>96</v>
      </c>
      <c r="AZ63">
        <v>59</v>
      </c>
      <c r="BA63">
        <v>36</v>
      </c>
      <c r="BB63">
        <v>9</v>
      </c>
      <c r="BC63">
        <v>41</v>
      </c>
      <c r="BD63">
        <v>78</v>
      </c>
      <c r="BE63">
        <v>50</v>
      </c>
      <c r="BF63">
        <v>82</v>
      </c>
      <c r="BG63">
        <v>7.63</v>
      </c>
      <c r="BH63">
        <v>5.55</v>
      </c>
      <c r="BI63">
        <v>1.9</v>
      </c>
      <c r="BJ63">
        <v>3.15</v>
      </c>
      <c r="BK63">
        <v>3.47</v>
      </c>
      <c r="BL63">
        <v>4.3986848324782502E-2</v>
      </c>
      <c r="BM63">
        <v>1.36</v>
      </c>
      <c r="BN63">
        <v>1.99</v>
      </c>
      <c r="BO63">
        <v>3.75</v>
      </c>
      <c r="BP63">
        <v>7</v>
      </c>
      <c r="BQ63">
        <v>1.91</v>
      </c>
      <c r="BR63">
        <v>1.91</v>
      </c>
      <c r="BS63" t="s">
        <v>140</v>
      </c>
      <c r="BT63">
        <v>1.743992017160418</v>
      </c>
      <c r="BU63">
        <v>0.97803937284245479</v>
      </c>
      <c r="BV63">
        <v>2.5271929824561399</v>
      </c>
      <c r="BW63">
        <v>1.510877192982456</v>
      </c>
      <c r="BX63">
        <v>1.0163157894736841</v>
      </c>
      <c r="BY63">
        <v>0.67350877192982461</v>
      </c>
      <c r="BZ63">
        <v>0.4442105263157895</v>
      </c>
      <c r="CA63">
        <v>12.80980392156863</v>
      </c>
      <c r="CB63">
        <v>9.6872549019607845</v>
      </c>
      <c r="CC63">
        <v>5.6491169610129957</v>
      </c>
      <c r="CD63">
        <v>4.1379540153282237</v>
      </c>
      <c r="CE63">
        <v>7.1606869605556343</v>
      </c>
      <c r="CF63">
        <v>5.5493008866325608</v>
      </c>
      <c r="CG63">
        <v>12.9029029029029</v>
      </c>
      <c r="CH63">
        <v>13.75508842175509</v>
      </c>
      <c r="CI63">
        <v>1.5287356321839081</v>
      </c>
      <c r="CJ63">
        <v>1.9664750957854411</v>
      </c>
      <c r="CK63">
        <v>8.8441890166028103E-2</v>
      </c>
      <c r="CL63">
        <v>0.13409961685823751</v>
      </c>
    </row>
    <row r="64" spans="1:90" x14ac:dyDescent="0.45">
      <c r="A64" t="s">
        <v>695</v>
      </c>
      <c r="B64">
        <v>1646182800</v>
      </c>
      <c r="C64" t="s">
        <v>515</v>
      </c>
      <c r="D64" t="s">
        <v>65</v>
      </c>
      <c r="E64" t="s">
        <v>66</v>
      </c>
      <c r="F64" t="s">
        <v>102</v>
      </c>
      <c r="G64" t="s">
        <v>78</v>
      </c>
      <c r="H64" t="s">
        <v>66</v>
      </c>
      <c r="I64">
        <v>0.57999999999999996</v>
      </c>
      <c r="J64">
        <v>0.58572017777220631</v>
      </c>
      <c r="K64">
        <v>0.2570896604624438</v>
      </c>
      <c r="L64">
        <v>0.15719016176534986</v>
      </c>
      <c r="M64">
        <v>8</v>
      </c>
      <c r="N64">
        <v>1.6</v>
      </c>
      <c r="O64">
        <v>0.73</v>
      </c>
      <c r="P64">
        <v>1.38</v>
      </c>
      <c r="Q64">
        <v>0.71</v>
      </c>
      <c r="R64" t="s">
        <v>1348</v>
      </c>
      <c r="S64">
        <v>1</v>
      </c>
      <c r="T64">
        <v>1</v>
      </c>
      <c r="U64">
        <v>2</v>
      </c>
      <c r="V64">
        <v>0</v>
      </c>
      <c r="W64">
        <v>0</v>
      </c>
      <c r="X64">
        <v>0</v>
      </c>
      <c r="Y64">
        <v>70</v>
      </c>
      <c r="Z64">
        <v>49</v>
      </c>
      <c r="AA64">
        <v>3</v>
      </c>
      <c r="AB64">
        <v>3</v>
      </c>
      <c r="AC64">
        <v>4</v>
      </c>
      <c r="AD64">
        <v>0</v>
      </c>
      <c r="AE64">
        <v>3</v>
      </c>
      <c r="AF64">
        <v>0</v>
      </c>
      <c r="AG64">
        <v>2</v>
      </c>
      <c r="AH64">
        <v>2</v>
      </c>
      <c r="AI64">
        <v>1</v>
      </c>
      <c r="AJ64">
        <v>2</v>
      </c>
      <c r="AK64">
        <v>8</v>
      </c>
      <c r="AL64">
        <v>3</v>
      </c>
      <c r="AM64">
        <v>3</v>
      </c>
      <c r="AN64">
        <v>2</v>
      </c>
      <c r="AO64">
        <v>5</v>
      </c>
      <c r="AP64">
        <v>1</v>
      </c>
      <c r="AQ64">
        <v>20</v>
      </c>
      <c r="AR64">
        <v>14</v>
      </c>
      <c r="AS64">
        <v>67</v>
      </c>
      <c r="AT64">
        <v>33</v>
      </c>
      <c r="AU64">
        <v>1.1399999999999999</v>
      </c>
      <c r="AV64">
        <v>0.53</v>
      </c>
      <c r="AW64">
        <v>2.14</v>
      </c>
      <c r="AX64">
        <v>44</v>
      </c>
      <c r="AY64">
        <v>64</v>
      </c>
      <c r="AZ64">
        <v>30</v>
      </c>
      <c r="BA64">
        <v>19</v>
      </c>
      <c r="BB64">
        <v>0</v>
      </c>
      <c r="BC64">
        <v>26</v>
      </c>
      <c r="BD64">
        <v>53</v>
      </c>
      <c r="BE64">
        <v>43</v>
      </c>
      <c r="BF64">
        <v>86</v>
      </c>
      <c r="BG64">
        <v>8.67</v>
      </c>
      <c r="BH64">
        <v>4.78</v>
      </c>
      <c r="BI64">
        <v>1.59</v>
      </c>
      <c r="BJ64">
        <v>3.33</v>
      </c>
      <c r="BK64">
        <v>4.99</v>
      </c>
      <c r="BL64">
        <v>4.3210639837856522E-2</v>
      </c>
      <c r="BM64">
        <v>1.38</v>
      </c>
      <c r="BN64">
        <v>2.27</v>
      </c>
      <c r="BO64">
        <v>4.2</v>
      </c>
      <c r="BP64">
        <v>7.5</v>
      </c>
      <c r="BQ64">
        <v>2.1</v>
      </c>
      <c r="BR64">
        <v>1.67</v>
      </c>
      <c r="BS64" t="s">
        <v>124</v>
      </c>
      <c r="BT64">
        <v>2.0230889143600308</v>
      </c>
      <c r="BU64">
        <v>0.72731480520165426</v>
      </c>
      <c r="BV64">
        <v>2.6362999299229148</v>
      </c>
      <c r="BW64">
        <v>1.7619715019855171</v>
      </c>
      <c r="BX64">
        <v>0.87432842793739785</v>
      </c>
      <c r="BY64">
        <v>0.78411214953271025</v>
      </c>
      <c r="BZ64">
        <v>0.38060747663551397</v>
      </c>
      <c r="CA64">
        <v>14.215499378367181</v>
      </c>
      <c r="CB64">
        <v>8.9523612261806136</v>
      </c>
      <c r="CC64">
        <v>6.3083121289228163</v>
      </c>
      <c r="CD64">
        <v>3.7757524374735061</v>
      </c>
      <c r="CE64">
        <v>7.9071872494443642</v>
      </c>
      <c r="CF64">
        <v>5.1766087887071075</v>
      </c>
      <c r="CG64">
        <v>12.634239592183521</v>
      </c>
      <c r="CH64">
        <v>13.597706032285471</v>
      </c>
      <c r="CI64">
        <v>1.365400161681487</v>
      </c>
      <c r="CJ64">
        <v>1.963621665319321</v>
      </c>
      <c r="CK64">
        <v>7.1544058205335492E-2</v>
      </c>
      <c r="CL64">
        <v>0.1216653193209378</v>
      </c>
    </row>
    <row r="65" spans="1:90" x14ac:dyDescent="0.45">
      <c r="A65" t="s">
        <v>695</v>
      </c>
      <c r="B65">
        <v>1646190000</v>
      </c>
      <c r="C65" t="s">
        <v>517</v>
      </c>
      <c r="D65" t="s">
        <v>65</v>
      </c>
      <c r="E65" t="s">
        <v>66</v>
      </c>
      <c r="F65" t="s">
        <v>85</v>
      </c>
      <c r="G65" t="s">
        <v>101</v>
      </c>
      <c r="H65" t="s">
        <v>98</v>
      </c>
      <c r="I65">
        <v>0.42</v>
      </c>
      <c r="J65">
        <v>0.41527656623761283</v>
      </c>
      <c r="K65">
        <v>0.27604978779871142</v>
      </c>
      <c r="L65">
        <v>0.30867364596367569</v>
      </c>
      <c r="M65">
        <v>8</v>
      </c>
      <c r="N65">
        <v>1.87</v>
      </c>
      <c r="O65">
        <v>1.1499999999999999</v>
      </c>
      <c r="P65">
        <v>1.55</v>
      </c>
      <c r="Q65">
        <v>1.05</v>
      </c>
      <c r="R65" t="s">
        <v>1348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AA65">
        <v>4</v>
      </c>
      <c r="AB65">
        <v>7</v>
      </c>
      <c r="AC65">
        <v>2</v>
      </c>
      <c r="AD65">
        <v>0</v>
      </c>
      <c r="AE65">
        <v>3</v>
      </c>
      <c r="AF65">
        <v>0</v>
      </c>
      <c r="AG65">
        <v>1</v>
      </c>
      <c r="AH65">
        <v>1</v>
      </c>
      <c r="AI65">
        <v>2</v>
      </c>
      <c r="AJ65">
        <v>1</v>
      </c>
      <c r="AK65">
        <v>14</v>
      </c>
      <c r="AL65">
        <v>13</v>
      </c>
      <c r="AM65">
        <v>5</v>
      </c>
      <c r="AN65">
        <v>6</v>
      </c>
      <c r="AO65">
        <v>9</v>
      </c>
      <c r="AP65">
        <v>7</v>
      </c>
      <c r="AQ65">
        <v>9</v>
      </c>
      <c r="AR65">
        <v>15</v>
      </c>
      <c r="AS65">
        <v>61</v>
      </c>
      <c r="AT65">
        <v>39</v>
      </c>
      <c r="AU65">
        <v>1.5</v>
      </c>
      <c r="AV65">
        <v>1.51</v>
      </c>
      <c r="AW65">
        <v>2.4700000000000002</v>
      </c>
      <c r="AX65">
        <v>65</v>
      </c>
      <c r="AY65">
        <v>79</v>
      </c>
      <c r="AZ65">
        <v>50</v>
      </c>
      <c r="BA65">
        <v>19</v>
      </c>
      <c r="BB65">
        <v>8</v>
      </c>
      <c r="BC65">
        <v>33</v>
      </c>
      <c r="BD65">
        <v>82</v>
      </c>
      <c r="BE65">
        <v>36</v>
      </c>
      <c r="BF65">
        <v>75</v>
      </c>
      <c r="BG65">
        <v>9.81</v>
      </c>
      <c r="BH65">
        <v>5.47</v>
      </c>
      <c r="BI65">
        <v>2.1800000000000002</v>
      </c>
      <c r="BJ65">
        <v>3.13</v>
      </c>
      <c r="BK65">
        <v>2.84</v>
      </c>
      <c r="BL65">
        <v>4.3439030092662367E-2</v>
      </c>
      <c r="BM65">
        <v>1.33</v>
      </c>
      <c r="BN65">
        <v>1.89</v>
      </c>
      <c r="BO65">
        <v>3.6</v>
      </c>
      <c r="BP65">
        <v>6.5</v>
      </c>
      <c r="BQ65">
        <v>1.8</v>
      </c>
      <c r="BR65">
        <v>1.95</v>
      </c>
      <c r="BS65" t="s">
        <v>128</v>
      </c>
      <c r="BT65">
        <v>1.5780106027030405</v>
      </c>
      <c r="BU65">
        <v>1.1353025412447635</v>
      </c>
      <c r="BV65">
        <v>2.4884649511978703</v>
      </c>
      <c r="BW65">
        <v>1.396960958296362</v>
      </c>
      <c r="BX65">
        <v>1.091503992901508</v>
      </c>
      <c r="BY65">
        <v>0.60765391014975045</v>
      </c>
      <c r="BZ65">
        <v>0.47276760953965608</v>
      </c>
      <c r="CA65">
        <v>12.29504785684561</v>
      </c>
      <c r="CB65">
        <v>10.047232625884311</v>
      </c>
      <c r="CC65">
        <v>5.2917192097519967</v>
      </c>
      <c r="CD65">
        <v>4.2580916351408158</v>
      </c>
      <c r="CE65">
        <v>7.0033286470936131</v>
      </c>
      <c r="CF65">
        <v>5.789140990743495</v>
      </c>
      <c r="CG65">
        <v>12.77041895895049</v>
      </c>
      <c r="CH65">
        <v>13.411129919593741</v>
      </c>
      <c r="CI65">
        <v>1.556141062018646</v>
      </c>
      <c r="CJ65">
        <v>1.9114308877178761</v>
      </c>
      <c r="CK65">
        <v>8.4920956627482766E-2</v>
      </c>
      <c r="CL65">
        <v>0.1323469801378192</v>
      </c>
    </row>
    <row r="66" spans="1:90" x14ac:dyDescent="0.45">
      <c r="A66" t="s">
        <v>695</v>
      </c>
      <c r="B66">
        <v>1646190000</v>
      </c>
      <c r="C66" t="s">
        <v>517</v>
      </c>
      <c r="D66" t="s">
        <v>65</v>
      </c>
      <c r="E66" t="s">
        <v>66</v>
      </c>
      <c r="F66" t="s">
        <v>113</v>
      </c>
      <c r="G66" t="s">
        <v>72</v>
      </c>
      <c r="H66" t="s">
        <v>114</v>
      </c>
      <c r="I66">
        <v>0.36</v>
      </c>
      <c r="J66">
        <v>0.3677851741442702</v>
      </c>
      <c r="K66">
        <v>0.26778902015019307</v>
      </c>
      <c r="L66">
        <v>0.36442580570553668</v>
      </c>
      <c r="M66">
        <v>8</v>
      </c>
      <c r="N66">
        <v>1.75</v>
      </c>
      <c r="O66">
        <v>1.1499999999999999</v>
      </c>
      <c r="P66">
        <v>1.71</v>
      </c>
      <c r="Q66">
        <v>1.28</v>
      </c>
      <c r="R66" t="s">
        <v>1348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AA66">
        <v>4</v>
      </c>
      <c r="AB66">
        <v>5</v>
      </c>
      <c r="AC66">
        <v>3</v>
      </c>
      <c r="AD66">
        <v>0</v>
      </c>
      <c r="AE66">
        <v>4</v>
      </c>
      <c r="AF66">
        <v>0</v>
      </c>
      <c r="AG66">
        <v>1</v>
      </c>
      <c r="AH66">
        <v>2</v>
      </c>
      <c r="AI66">
        <v>3</v>
      </c>
      <c r="AJ66">
        <v>1</v>
      </c>
      <c r="AK66">
        <v>6</v>
      </c>
      <c r="AL66">
        <v>12</v>
      </c>
      <c r="AM66">
        <v>2</v>
      </c>
      <c r="AN66">
        <v>5</v>
      </c>
      <c r="AO66">
        <v>4</v>
      </c>
      <c r="AP66">
        <v>7</v>
      </c>
      <c r="AQ66">
        <v>13</v>
      </c>
      <c r="AR66">
        <v>18</v>
      </c>
      <c r="AS66">
        <v>46</v>
      </c>
      <c r="AT66">
        <v>54</v>
      </c>
      <c r="AU66">
        <v>0.86</v>
      </c>
      <c r="AV66">
        <v>1.47</v>
      </c>
      <c r="AW66">
        <v>2.57</v>
      </c>
      <c r="AX66">
        <v>61</v>
      </c>
      <c r="AY66">
        <v>80</v>
      </c>
      <c r="AZ66">
        <v>61</v>
      </c>
      <c r="BA66">
        <v>17</v>
      </c>
      <c r="BB66">
        <v>4</v>
      </c>
      <c r="BC66">
        <v>29</v>
      </c>
      <c r="BD66">
        <v>76</v>
      </c>
      <c r="BE66">
        <v>56</v>
      </c>
      <c r="BF66">
        <v>84</v>
      </c>
      <c r="BG66">
        <v>7.08</v>
      </c>
      <c r="BH66">
        <v>5.69</v>
      </c>
      <c r="BI66">
        <v>2.4300000000000002</v>
      </c>
      <c r="BJ66">
        <v>3.21</v>
      </c>
      <c r="BK66">
        <v>2.4500000000000002</v>
      </c>
      <c r="BL66">
        <v>4.3737459600585726E-2</v>
      </c>
      <c r="BM66">
        <v>0</v>
      </c>
      <c r="BN66">
        <v>1.82</v>
      </c>
      <c r="BO66">
        <v>0</v>
      </c>
      <c r="BP66">
        <v>0</v>
      </c>
      <c r="BQ66">
        <v>0</v>
      </c>
      <c r="BR66">
        <v>0</v>
      </c>
      <c r="BS66" t="s">
        <v>120</v>
      </c>
      <c r="BT66">
        <v>1.4023864615972674</v>
      </c>
      <c r="BU66">
        <v>1.3093265904245279</v>
      </c>
      <c r="BV66">
        <v>2.5110350525197691</v>
      </c>
      <c r="BW66">
        <v>1.269326094653606</v>
      </c>
      <c r="BX66">
        <v>1.2417089578661631</v>
      </c>
      <c r="BY66">
        <v>0.56586402266288949</v>
      </c>
      <c r="BZ66">
        <v>0.55158168083097259</v>
      </c>
      <c r="CA66">
        <v>11.49400826446281</v>
      </c>
      <c r="CB66">
        <v>10.507231404958681</v>
      </c>
      <c r="CC66">
        <v>4.9238790406673623</v>
      </c>
      <c r="CD66">
        <v>4.6296141814389991</v>
      </c>
      <c r="CE66">
        <v>6.5701292237954476</v>
      </c>
      <c r="CF66">
        <v>5.8776172235196817</v>
      </c>
      <c r="CG66">
        <v>12.798739495798319</v>
      </c>
      <c r="CH66">
        <v>12.98844537815126</v>
      </c>
      <c r="CI66">
        <v>1.604928297313674</v>
      </c>
      <c r="CJ66">
        <v>1.791961219955565</v>
      </c>
      <c r="CK66">
        <v>8.887093516461321E-2</v>
      </c>
      <c r="CL66">
        <v>0.11694607150070691</v>
      </c>
    </row>
    <row r="67" spans="1:90" x14ac:dyDescent="0.45">
      <c r="A67" t="s">
        <v>695</v>
      </c>
      <c r="B67">
        <v>1646190000</v>
      </c>
      <c r="C67" t="s">
        <v>517</v>
      </c>
      <c r="D67" t="s">
        <v>65</v>
      </c>
      <c r="E67" t="s">
        <v>66</v>
      </c>
      <c r="F67" t="s">
        <v>68</v>
      </c>
      <c r="G67" t="s">
        <v>67</v>
      </c>
      <c r="H67" t="s">
        <v>130</v>
      </c>
      <c r="I67">
        <v>0.52</v>
      </c>
      <c r="J67">
        <v>0.52828413173081301</v>
      </c>
      <c r="K67">
        <v>0.26360402655991028</v>
      </c>
      <c r="L67">
        <v>0.20811184170927674</v>
      </c>
      <c r="M67">
        <v>8</v>
      </c>
      <c r="N67">
        <v>1.77</v>
      </c>
      <c r="O67">
        <v>0.57999999999999996</v>
      </c>
      <c r="P67">
        <v>1.9</v>
      </c>
      <c r="Q67">
        <v>0.65</v>
      </c>
      <c r="R67" t="s">
        <v>1348</v>
      </c>
      <c r="S67">
        <v>1</v>
      </c>
      <c r="T67">
        <v>1</v>
      </c>
      <c r="U67">
        <v>2</v>
      </c>
      <c r="V67">
        <v>1</v>
      </c>
      <c r="W67">
        <v>1</v>
      </c>
      <c r="X67">
        <v>0</v>
      </c>
      <c r="Y67">
        <v>5</v>
      </c>
      <c r="Z67" t="s">
        <v>308</v>
      </c>
      <c r="AA67">
        <v>6</v>
      </c>
      <c r="AB67">
        <v>7</v>
      </c>
      <c r="AC67">
        <v>4</v>
      </c>
      <c r="AD67">
        <v>1</v>
      </c>
      <c r="AE67">
        <v>2</v>
      </c>
      <c r="AF67">
        <v>1</v>
      </c>
      <c r="AG67">
        <v>2</v>
      </c>
      <c r="AH67">
        <v>3</v>
      </c>
      <c r="AI67">
        <v>2</v>
      </c>
      <c r="AJ67">
        <v>1</v>
      </c>
      <c r="AK67">
        <v>7</v>
      </c>
      <c r="AL67">
        <v>8</v>
      </c>
      <c r="AM67">
        <v>5</v>
      </c>
      <c r="AN67">
        <v>4</v>
      </c>
      <c r="AO67">
        <v>2</v>
      </c>
      <c r="AP67">
        <v>4</v>
      </c>
      <c r="AQ67">
        <v>8</v>
      </c>
      <c r="AR67">
        <v>7</v>
      </c>
      <c r="AS67">
        <v>48</v>
      </c>
      <c r="AT67">
        <v>52</v>
      </c>
      <c r="AU67">
        <v>1.06</v>
      </c>
      <c r="AV67">
        <v>1.1599999999999999</v>
      </c>
      <c r="AW67">
        <v>2.0299999999999998</v>
      </c>
      <c r="AX67">
        <v>40</v>
      </c>
      <c r="AY67">
        <v>72</v>
      </c>
      <c r="AZ67">
        <v>32</v>
      </c>
      <c r="BA67">
        <v>16</v>
      </c>
      <c r="BB67">
        <v>4</v>
      </c>
      <c r="BC67">
        <v>16</v>
      </c>
      <c r="BD67">
        <v>52</v>
      </c>
      <c r="BE67">
        <v>40</v>
      </c>
      <c r="BF67">
        <v>76</v>
      </c>
      <c r="BG67">
        <v>9.8000000000000007</v>
      </c>
      <c r="BH67">
        <v>4.9400000000000004</v>
      </c>
      <c r="BI67">
        <v>1.75</v>
      </c>
      <c r="BJ67">
        <v>3.26</v>
      </c>
      <c r="BK67">
        <v>3.98</v>
      </c>
      <c r="BL67">
        <v>4.314443969775842E-2</v>
      </c>
      <c r="BM67">
        <v>1.36</v>
      </c>
      <c r="BN67">
        <v>2.1800000000000002</v>
      </c>
      <c r="BO67">
        <v>4</v>
      </c>
      <c r="BP67">
        <v>7</v>
      </c>
      <c r="BQ67">
        <v>2</v>
      </c>
      <c r="BR67">
        <v>1.75</v>
      </c>
      <c r="BS67" t="s">
        <v>116</v>
      </c>
      <c r="BT67">
        <v>1.8614830167843088</v>
      </c>
      <c r="BU67">
        <v>0.87079851622593896</v>
      </c>
      <c r="BV67">
        <v>2.5967403582378576</v>
      </c>
      <c r="BW67">
        <v>1.625948039373891</v>
      </c>
      <c r="BX67">
        <v>0.97079231886396644</v>
      </c>
      <c r="BY67">
        <v>0.71433182698515174</v>
      </c>
      <c r="BZ67">
        <v>0.43011620400258233</v>
      </c>
      <c r="CA67">
        <v>13.39951055368614</v>
      </c>
      <c r="CB67">
        <v>9.4252064851636579</v>
      </c>
      <c r="CC67">
        <v>5.7628422023992618</v>
      </c>
      <c r="CD67">
        <v>3.9375576745616732</v>
      </c>
      <c r="CE67">
        <v>7.636668351286878</v>
      </c>
      <c r="CF67">
        <v>5.4876488106019847</v>
      </c>
      <c r="CG67">
        <v>12.460420531849101</v>
      </c>
      <c r="CH67">
        <v>13.44897959183673</v>
      </c>
      <c r="CI67">
        <v>1.462202380952381</v>
      </c>
      <c r="CJ67">
        <v>2.01547619047619</v>
      </c>
      <c r="CK67">
        <v>7.7380952380952384E-2</v>
      </c>
      <c r="CL67">
        <v>0.13754093480202439</v>
      </c>
    </row>
    <row r="68" spans="1:90" x14ac:dyDescent="0.45">
      <c r="A68" t="s">
        <v>695</v>
      </c>
      <c r="B68">
        <v>1646269200</v>
      </c>
      <c r="C68" t="s">
        <v>518</v>
      </c>
      <c r="D68" t="s">
        <v>65</v>
      </c>
      <c r="E68" t="s">
        <v>66</v>
      </c>
      <c r="F68" t="s">
        <v>97</v>
      </c>
      <c r="G68" t="s">
        <v>84</v>
      </c>
      <c r="H68" t="s">
        <v>175</v>
      </c>
      <c r="I68">
        <v>0.46</v>
      </c>
      <c r="J68">
        <v>0.46536173429941768</v>
      </c>
      <c r="K68">
        <v>0.27062251551413885</v>
      </c>
      <c r="L68">
        <v>0.2640157501864433</v>
      </c>
      <c r="M68">
        <v>8</v>
      </c>
      <c r="N68">
        <v>1.67</v>
      </c>
      <c r="O68">
        <v>1.33</v>
      </c>
      <c r="P68">
        <v>1.55</v>
      </c>
      <c r="Q68">
        <v>1.42</v>
      </c>
      <c r="R68" t="s">
        <v>1351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Z68">
        <v>87</v>
      </c>
      <c r="AA68">
        <v>5</v>
      </c>
      <c r="AB68">
        <v>5</v>
      </c>
      <c r="AC68">
        <v>2</v>
      </c>
      <c r="AD68">
        <v>1</v>
      </c>
      <c r="AE68">
        <v>2</v>
      </c>
      <c r="AF68">
        <v>0</v>
      </c>
      <c r="AG68">
        <v>2</v>
      </c>
      <c r="AH68">
        <v>1</v>
      </c>
      <c r="AI68">
        <v>1</v>
      </c>
      <c r="AJ68">
        <v>1</v>
      </c>
      <c r="AK68">
        <v>8</v>
      </c>
      <c r="AL68">
        <v>18</v>
      </c>
      <c r="AM68">
        <v>2</v>
      </c>
      <c r="AN68">
        <v>4</v>
      </c>
      <c r="AO68">
        <v>6</v>
      </c>
      <c r="AP68">
        <v>14</v>
      </c>
      <c r="AQ68">
        <v>11</v>
      </c>
      <c r="AR68">
        <v>10</v>
      </c>
      <c r="AS68">
        <v>47</v>
      </c>
      <c r="AT68">
        <v>53</v>
      </c>
      <c r="AU68">
        <v>1.02</v>
      </c>
      <c r="AV68">
        <v>1.75</v>
      </c>
      <c r="AW68">
        <v>2.2000000000000002</v>
      </c>
      <c r="AX68">
        <v>44</v>
      </c>
      <c r="AY68">
        <v>70</v>
      </c>
      <c r="AZ68">
        <v>40</v>
      </c>
      <c r="BA68">
        <v>17</v>
      </c>
      <c r="BB68">
        <v>4</v>
      </c>
      <c r="BC68">
        <v>33</v>
      </c>
      <c r="BD68">
        <v>62</v>
      </c>
      <c r="BE68">
        <v>31</v>
      </c>
      <c r="BF68">
        <v>87</v>
      </c>
      <c r="BG68">
        <v>10.08</v>
      </c>
      <c r="BH68">
        <v>4.74</v>
      </c>
      <c r="BI68">
        <v>2.06</v>
      </c>
      <c r="BJ68">
        <v>3.44</v>
      </c>
      <c r="BK68">
        <v>3.52</v>
      </c>
      <c r="BL68">
        <v>2.00751589044658E-2</v>
      </c>
      <c r="BM68">
        <v>1.36</v>
      </c>
      <c r="BN68">
        <v>2.04</v>
      </c>
      <c r="BO68">
        <v>4</v>
      </c>
      <c r="BP68">
        <v>7</v>
      </c>
      <c r="BQ68">
        <v>1.91</v>
      </c>
      <c r="BR68">
        <v>1.91</v>
      </c>
      <c r="BS68" t="s">
        <v>136</v>
      </c>
      <c r="BT68">
        <v>1.6955772349985931</v>
      </c>
      <c r="BU68">
        <v>1.0239029519551039</v>
      </c>
      <c r="BV68">
        <v>2.5405629139072849</v>
      </c>
      <c r="BW68">
        <v>1.4888836329233679</v>
      </c>
      <c r="BX68">
        <v>1.0516792809839171</v>
      </c>
      <c r="BY68">
        <v>0.64581362346263005</v>
      </c>
      <c r="BZ68">
        <v>0.45364238410596031</v>
      </c>
      <c r="CA68">
        <v>12.686892177589851</v>
      </c>
      <c r="CB68">
        <v>9.8059196617336148</v>
      </c>
      <c r="CC68">
        <v>5.3198121263877027</v>
      </c>
      <c r="CD68">
        <v>4.0954312553373189</v>
      </c>
      <c r="CE68">
        <v>7.3670800512021479</v>
      </c>
      <c r="CF68">
        <v>5.710488406396296</v>
      </c>
      <c r="CG68">
        <v>13.0488908033599</v>
      </c>
      <c r="CH68">
        <v>13.714839543398661</v>
      </c>
      <c r="CI68">
        <v>1.567523459812322</v>
      </c>
      <c r="CJ68">
        <v>1.951040391676867</v>
      </c>
      <c r="CK68">
        <v>8.3027335781313744E-2</v>
      </c>
      <c r="CL68">
        <v>0.13117095063239501</v>
      </c>
    </row>
    <row r="69" spans="1:90" x14ac:dyDescent="0.45">
      <c r="A69" t="s">
        <v>695</v>
      </c>
      <c r="B69">
        <v>1646269200</v>
      </c>
      <c r="C69" t="s">
        <v>518</v>
      </c>
      <c r="D69" t="s">
        <v>65</v>
      </c>
      <c r="E69" t="s">
        <v>66</v>
      </c>
      <c r="F69" t="s">
        <v>107</v>
      </c>
      <c r="G69" t="s">
        <v>112</v>
      </c>
      <c r="H69" t="s">
        <v>138</v>
      </c>
      <c r="I69">
        <v>0.44</v>
      </c>
      <c r="J69">
        <v>0.43480475194030177</v>
      </c>
      <c r="K69">
        <v>0.27437694445367078</v>
      </c>
      <c r="L69">
        <v>0.29081830360602734</v>
      </c>
      <c r="M69">
        <v>8</v>
      </c>
      <c r="N69">
        <v>2.0699999999999998</v>
      </c>
      <c r="O69">
        <v>1.5</v>
      </c>
      <c r="P69">
        <v>2</v>
      </c>
      <c r="Q69">
        <v>1.5</v>
      </c>
      <c r="R69" t="s">
        <v>1348</v>
      </c>
      <c r="S69">
        <v>2</v>
      </c>
      <c r="T69">
        <v>2</v>
      </c>
      <c r="U69">
        <v>4</v>
      </c>
      <c r="V69">
        <v>3</v>
      </c>
      <c r="W69">
        <v>2</v>
      </c>
      <c r="X69">
        <v>1</v>
      </c>
      <c r="Y69" t="s">
        <v>519</v>
      </c>
      <c r="Z69" t="s">
        <v>520</v>
      </c>
      <c r="AA69">
        <v>5</v>
      </c>
      <c r="AB69">
        <v>4</v>
      </c>
      <c r="AC69">
        <v>4</v>
      </c>
      <c r="AD69">
        <v>0</v>
      </c>
      <c r="AE69">
        <v>2</v>
      </c>
      <c r="AF69">
        <v>0</v>
      </c>
      <c r="AG69">
        <v>1</v>
      </c>
      <c r="AH69">
        <v>3</v>
      </c>
      <c r="AI69">
        <v>0</v>
      </c>
      <c r="AJ69">
        <v>2</v>
      </c>
      <c r="AK69">
        <v>13</v>
      </c>
      <c r="AL69">
        <v>5</v>
      </c>
      <c r="AM69">
        <v>7</v>
      </c>
      <c r="AN69">
        <v>4</v>
      </c>
      <c r="AO69">
        <v>6</v>
      </c>
      <c r="AP69">
        <v>1</v>
      </c>
      <c r="AQ69">
        <v>16</v>
      </c>
      <c r="AR69">
        <v>11</v>
      </c>
      <c r="AS69">
        <v>51</v>
      </c>
      <c r="AT69">
        <v>49</v>
      </c>
      <c r="AU69">
        <v>1.71</v>
      </c>
      <c r="AV69">
        <v>0.85</v>
      </c>
      <c r="AW69">
        <v>2.54</v>
      </c>
      <c r="AX69">
        <v>59</v>
      </c>
      <c r="AY69">
        <v>73</v>
      </c>
      <c r="AZ69">
        <v>50</v>
      </c>
      <c r="BA69">
        <v>20</v>
      </c>
      <c r="BB69">
        <v>12</v>
      </c>
      <c r="BC69">
        <v>36</v>
      </c>
      <c r="BD69">
        <v>70</v>
      </c>
      <c r="BE69">
        <v>38</v>
      </c>
      <c r="BF69">
        <v>65</v>
      </c>
      <c r="BG69">
        <v>10.47</v>
      </c>
      <c r="BH69">
        <v>5.76</v>
      </c>
      <c r="BI69">
        <v>2.2000000000000002</v>
      </c>
      <c r="BJ69">
        <v>3.4</v>
      </c>
      <c r="BK69">
        <v>3.22</v>
      </c>
      <c r="BL69">
        <v>1.9740702605152743E-2</v>
      </c>
      <c r="BM69">
        <v>1.36</v>
      </c>
      <c r="BN69">
        <v>1.99</v>
      </c>
      <c r="BO69">
        <v>3.75</v>
      </c>
      <c r="BP69">
        <v>7.2</v>
      </c>
      <c r="BQ69">
        <v>1.8</v>
      </c>
      <c r="BR69">
        <v>1.95</v>
      </c>
      <c r="BS69" t="s">
        <v>161</v>
      </c>
      <c r="BT69">
        <v>1.6395459745305552</v>
      </c>
      <c r="BU69">
        <v>1.0758429359324786</v>
      </c>
      <c r="BV69">
        <v>2.4807646356033461</v>
      </c>
      <c r="BW69">
        <v>1.4140979689366791</v>
      </c>
      <c r="BX69">
        <v>1.0666666666666671</v>
      </c>
      <c r="BY69">
        <v>0.62712066905615294</v>
      </c>
      <c r="BZ69">
        <v>0.46009557945041818</v>
      </c>
      <c r="CA69">
        <v>12.56969280146722</v>
      </c>
      <c r="CB69">
        <v>9.8695552498853729</v>
      </c>
      <c r="CC69">
        <v>5.2754256787850897</v>
      </c>
      <c r="CD69">
        <v>4.1279337321675103</v>
      </c>
      <c r="CE69">
        <v>7.2942671226821298</v>
      </c>
      <c r="CF69">
        <v>5.7416215177178627</v>
      </c>
      <c r="CG69">
        <v>12.897246007868549</v>
      </c>
      <c r="CH69">
        <v>13.507058551261281</v>
      </c>
      <c r="CI69">
        <v>1.576522702104098</v>
      </c>
      <c r="CJ69">
        <v>1.917165005537099</v>
      </c>
      <c r="CK69">
        <v>8.4385382059800659E-2</v>
      </c>
      <c r="CL69">
        <v>0.1233665559246955</v>
      </c>
    </row>
    <row r="70" spans="1:90" x14ac:dyDescent="0.45">
      <c r="A70" t="s">
        <v>695</v>
      </c>
      <c r="B70">
        <v>1646276400</v>
      </c>
      <c r="C70" t="s">
        <v>521</v>
      </c>
      <c r="D70" t="s">
        <v>65</v>
      </c>
      <c r="E70" t="s">
        <v>66</v>
      </c>
      <c r="F70" t="s">
        <v>91</v>
      </c>
      <c r="G70" t="s">
        <v>90</v>
      </c>
      <c r="H70" t="s">
        <v>158</v>
      </c>
      <c r="I70">
        <v>0.36</v>
      </c>
      <c r="J70">
        <v>0.36086969642102723</v>
      </c>
      <c r="K70">
        <v>0.27826060715794554</v>
      </c>
      <c r="L70">
        <v>0.36086969642102723</v>
      </c>
      <c r="M70">
        <v>8</v>
      </c>
      <c r="N70">
        <v>0.55000000000000004</v>
      </c>
      <c r="O70">
        <v>1.1499999999999999</v>
      </c>
      <c r="P70">
        <v>1.1100000000000001</v>
      </c>
      <c r="Q70">
        <v>1.32</v>
      </c>
      <c r="R70" t="s">
        <v>1348</v>
      </c>
      <c r="S70">
        <v>2</v>
      </c>
      <c r="T70">
        <v>2</v>
      </c>
      <c r="U70">
        <v>4</v>
      </c>
      <c r="V70">
        <v>2</v>
      </c>
      <c r="W70">
        <v>2</v>
      </c>
      <c r="X70">
        <v>0</v>
      </c>
      <c r="Y70" t="s">
        <v>522</v>
      </c>
      <c r="Z70" t="s">
        <v>523</v>
      </c>
      <c r="AA70">
        <v>4</v>
      </c>
      <c r="AB70">
        <v>1</v>
      </c>
      <c r="AC70">
        <v>3</v>
      </c>
      <c r="AD70">
        <v>0</v>
      </c>
      <c r="AE70">
        <v>3</v>
      </c>
      <c r="AF70">
        <v>0</v>
      </c>
      <c r="AG70">
        <v>1</v>
      </c>
      <c r="AH70">
        <v>2</v>
      </c>
      <c r="AI70">
        <v>1</v>
      </c>
      <c r="AJ70">
        <v>2</v>
      </c>
      <c r="AK70">
        <v>2</v>
      </c>
      <c r="AL70">
        <v>5</v>
      </c>
      <c r="AM70">
        <v>2</v>
      </c>
      <c r="AN70">
        <v>3</v>
      </c>
      <c r="AO70">
        <v>0</v>
      </c>
      <c r="AP70">
        <v>2</v>
      </c>
      <c r="AQ70">
        <v>6</v>
      </c>
      <c r="AR70">
        <v>5</v>
      </c>
      <c r="AS70">
        <v>37</v>
      </c>
      <c r="AT70">
        <v>63</v>
      </c>
      <c r="AU70">
        <v>0.42</v>
      </c>
      <c r="AV70">
        <v>0.96</v>
      </c>
      <c r="AW70">
        <v>2.04</v>
      </c>
      <c r="AX70">
        <v>37</v>
      </c>
      <c r="AY70">
        <v>55</v>
      </c>
      <c r="AZ70">
        <v>33</v>
      </c>
      <c r="BA70">
        <v>17</v>
      </c>
      <c r="BB70">
        <v>9</v>
      </c>
      <c r="BC70">
        <v>21</v>
      </c>
      <c r="BD70">
        <v>51</v>
      </c>
      <c r="BE70">
        <v>33</v>
      </c>
      <c r="BF70">
        <v>72</v>
      </c>
      <c r="BG70">
        <v>9.14</v>
      </c>
      <c r="BH70">
        <v>5.0999999999999996</v>
      </c>
      <c r="BI70">
        <v>2.63</v>
      </c>
      <c r="BJ70">
        <v>3.36</v>
      </c>
      <c r="BK70">
        <v>2.63</v>
      </c>
      <c r="BL70">
        <v>1.9358440461102095E-2</v>
      </c>
      <c r="BM70">
        <v>1.42</v>
      </c>
      <c r="BN70">
        <v>1.99</v>
      </c>
      <c r="BO70">
        <v>4.33</v>
      </c>
      <c r="BP70">
        <v>8.1</v>
      </c>
      <c r="BQ70">
        <v>1.91</v>
      </c>
      <c r="BR70">
        <v>1.91</v>
      </c>
      <c r="BS70" t="s">
        <v>144</v>
      </c>
      <c r="BT70">
        <v>1.4023864615972674</v>
      </c>
      <c r="BU70">
        <v>1.3093265904245279</v>
      </c>
      <c r="BV70">
        <v>2.5110350525197691</v>
      </c>
      <c r="BW70">
        <v>1.269326094653606</v>
      </c>
      <c r="BX70">
        <v>1.2417089578661631</v>
      </c>
      <c r="BY70">
        <v>0.56586402266288949</v>
      </c>
      <c r="BZ70">
        <v>0.55158168083097259</v>
      </c>
      <c r="CA70">
        <v>11.49400826446281</v>
      </c>
      <c r="CB70">
        <v>10.507231404958681</v>
      </c>
      <c r="CC70">
        <v>4.9238790406673623</v>
      </c>
      <c r="CD70">
        <v>4.6296141814389991</v>
      </c>
      <c r="CE70">
        <v>6.5701292237954476</v>
      </c>
      <c r="CF70">
        <v>5.8776172235196817</v>
      </c>
      <c r="CG70">
        <v>12.798739495798319</v>
      </c>
      <c r="CH70">
        <v>12.98844537815126</v>
      </c>
      <c r="CI70">
        <v>1.604928297313674</v>
      </c>
      <c r="CJ70">
        <v>1.791961219955565</v>
      </c>
      <c r="CK70">
        <v>8.887093516461321E-2</v>
      </c>
      <c r="CL70">
        <v>0.11694607150070691</v>
      </c>
    </row>
    <row r="71" spans="1:90" x14ac:dyDescent="0.45">
      <c r="A71" t="s">
        <v>695</v>
      </c>
      <c r="B71">
        <v>1646276400</v>
      </c>
      <c r="C71" t="s">
        <v>521</v>
      </c>
      <c r="D71" t="s">
        <v>65</v>
      </c>
      <c r="E71" t="s">
        <v>66</v>
      </c>
      <c r="F71" t="s">
        <v>73</v>
      </c>
      <c r="G71" t="s">
        <v>96</v>
      </c>
      <c r="H71" t="s">
        <v>108</v>
      </c>
      <c r="I71">
        <v>0.44</v>
      </c>
      <c r="J71">
        <v>0.43953577525479814</v>
      </c>
      <c r="K71">
        <v>0.27843922654357056</v>
      </c>
      <c r="L71">
        <v>0.2820249982016314</v>
      </c>
      <c r="M71">
        <v>8</v>
      </c>
      <c r="N71">
        <v>1.36</v>
      </c>
      <c r="O71">
        <v>1.36</v>
      </c>
      <c r="P71">
        <v>1.58</v>
      </c>
      <c r="Q71">
        <v>1.1000000000000001</v>
      </c>
      <c r="R71" t="s">
        <v>1352</v>
      </c>
      <c r="S71">
        <v>3</v>
      </c>
      <c r="T71">
        <v>2</v>
      </c>
      <c r="U71">
        <v>5</v>
      </c>
      <c r="V71">
        <v>2</v>
      </c>
      <c r="W71">
        <v>1</v>
      </c>
      <c r="X71">
        <v>1</v>
      </c>
      <c r="Y71" t="s">
        <v>524</v>
      </c>
      <c r="Z71" t="s">
        <v>525</v>
      </c>
      <c r="AA71">
        <v>8</v>
      </c>
      <c r="AB71">
        <v>3</v>
      </c>
      <c r="AC71">
        <v>1</v>
      </c>
      <c r="AD71">
        <v>0</v>
      </c>
      <c r="AE71">
        <v>3</v>
      </c>
      <c r="AF71">
        <v>0</v>
      </c>
      <c r="AG71">
        <v>1</v>
      </c>
      <c r="AH71">
        <v>0</v>
      </c>
      <c r="AI71">
        <v>1</v>
      </c>
      <c r="AJ71">
        <v>2</v>
      </c>
      <c r="AK71">
        <v>13</v>
      </c>
      <c r="AL71">
        <v>14</v>
      </c>
      <c r="AM71">
        <v>4</v>
      </c>
      <c r="AN71">
        <v>6</v>
      </c>
      <c r="AO71">
        <v>9</v>
      </c>
      <c r="AP71">
        <v>8</v>
      </c>
      <c r="AQ71">
        <v>8</v>
      </c>
      <c r="AR71">
        <v>5</v>
      </c>
      <c r="AS71">
        <v>49</v>
      </c>
      <c r="AT71">
        <v>51</v>
      </c>
      <c r="AU71">
        <v>1.43</v>
      </c>
      <c r="AV71">
        <v>1.41</v>
      </c>
      <c r="AW71">
        <v>2.33</v>
      </c>
      <c r="AX71">
        <v>57</v>
      </c>
      <c r="AY71">
        <v>75</v>
      </c>
      <c r="AZ71">
        <v>43</v>
      </c>
      <c r="BA71">
        <v>21</v>
      </c>
      <c r="BB71">
        <v>7</v>
      </c>
      <c r="BC71">
        <v>21</v>
      </c>
      <c r="BD71">
        <v>57</v>
      </c>
      <c r="BE71">
        <v>43</v>
      </c>
      <c r="BF71">
        <v>83</v>
      </c>
      <c r="BG71">
        <v>10.08</v>
      </c>
      <c r="BH71">
        <v>4.6399999999999997</v>
      </c>
      <c r="BI71">
        <v>2.1800000000000002</v>
      </c>
      <c r="BJ71">
        <v>3.36</v>
      </c>
      <c r="BK71">
        <v>3.32</v>
      </c>
      <c r="BL71">
        <v>1.9179821075477072E-2</v>
      </c>
      <c r="BM71">
        <v>1.3</v>
      </c>
      <c r="BN71">
        <v>2.1</v>
      </c>
      <c r="BO71">
        <v>3.5</v>
      </c>
      <c r="BP71">
        <v>7</v>
      </c>
      <c r="BQ71">
        <v>1.91</v>
      </c>
      <c r="BR71">
        <v>1.91</v>
      </c>
      <c r="BS71" t="s">
        <v>142</v>
      </c>
      <c r="BT71">
        <v>1.6395459745305552</v>
      </c>
      <c r="BU71">
        <v>1.0758429359324786</v>
      </c>
      <c r="BV71">
        <v>2.4807646356033461</v>
      </c>
      <c r="BW71">
        <v>1.4140979689366791</v>
      </c>
      <c r="BX71">
        <v>1.0666666666666671</v>
      </c>
      <c r="BY71">
        <v>0.62712066905615294</v>
      </c>
      <c r="BZ71">
        <v>0.46009557945041818</v>
      </c>
      <c r="CA71">
        <v>12.56969280146722</v>
      </c>
      <c r="CB71">
        <v>9.8695552498853729</v>
      </c>
      <c r="CC71">
        <v>5.2754256787850897</v>
      </c>
      <c r="CD71">
        <v>4.1279337321675103</v>
      </c>
      <c r="CE71">
        <v>7.2942671226821298</v>
      </c>
      <c r="CF71">
        <v>5.7416215177178627</v>
      </c>
      <c r="CG71">
        <v>12.897246007868549</v>
      </c>
      <c r="CH71">
        <v>13.507058551261281</v>
      </c>
      <c r="CI71">
        <v>1.576522702104098</v>
      </c>
      <c r="CJ71">
        <v>1.917165005537099</v>
      </c>
      <c r="CK71">
        <v>8.4385382059800659E-2</v>
      </c>
      <c r="CL71">
        <v>0.1233665559246955</v>
      </c>
    </row>
    <row r="72" spans="1:90" x14ac:dyDescent="0.45">
      <c r="A72" t="s">
        <v>695</v>
      </c>
      <c r="B72">
        <v>1646442000</v>
      </c>
      <c r="C72" t="s">
        <v>526</v>
      </c>
      <c r="D72" t="s">
        <v>65</v>
      </c>
      <c r="E72" t="s">
        <v>66</v>
      </c>
      <c r="F72" t="s">
        <v>72</v>
      </c>
      <c r="G72" t="s">
        <v>79</v>
      </c>
      <c r="H72" t="s">
        <v>165</v>
      </c>
      <c r="I72">
        <v>0.44</v>
      </c>
      <c r="J72">
        <v>0.44938194335784692</v>
      </c>
      <c r="K72">
        <v>0.2762217701976738</v>
      </c>
      <c r="L72">
        <v>0.27439628644447922</v>
      </c>
      <c r="M72">
        <v>9</v>
      </c>
      <c r="N72">
        <v>1.0900000000000001</v>
      </c>
      <c r="O72">
        <v>1.38</v>
      </c>
      <c r="P72">
        <v>1.24</v>
      </c>
      <c r="Q72">
        <v>1.29</v>
      </c>
      <c r="R72" t="s">
        <v>1351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Z72">
        <v>2</v>
      </c>
      <c r="AA72">
        <v>6</v>
      </c>
      <c r="AB72">
        <v>4</v>
      </c>
      <c r="AC72">
        <v>2</v>
      </c>
      <c r="AD72">
        <v>0</v>
      </c>
      <c r="AE72">
        <v>2</v>
      </c>
      <c r="AF72">
        <v>0</v>
      </c>
      <c r="AG72">
        <v>1</v>
      </c>
      <c r="AH72">
        <v>1</v>
      </c>
      <c r="AI72">
        <v>0</v>
      </c>
      <c r="AJ72">
        <v>2</v>
      </c>
      <c r="AK72">
        <v>6</v>
      </c>
      <c r="AL72">
        <v>8</v>
      </c>
      <c r="AM72">
        <v>3</v>
      </c>
      <c r="AN72">
        <v>5</v>
      </c>
      <c r="AO72">
        <v>3</v>
      </c>
      <c r="AP72">
        <v>3</v>
      </c>
      <c r="AQ72">
        <v>14</v>
      </c>
      <c r="AR72">
        <v>8</v>
      </c>
      <c r="AS72">
        <v>58</v>
      </c>
      <c r="AT72">
        <v>42</v>
      </c>
      <c r="AU72">
        <v>1.02</v>
      </c>
      <c r="AV72">
        <v>0.98</v>
      </c>
      <c r="AW72">
        <v>2.59</v>
      </c>
      <c r="AX72">
        <v>33</v>
      </c>
      <c r="AY72">
        <v>75</v>
      </c>
      <c r="AZ72">
        <v>60</v>
      </c>
      <c r="BA72">
        <v>25</v>
      </c>
      <c r="BB72">
        <v>4</v>
      </c>
      <c r="BC72">
        <v>34</v>
      </c>
      <c r="BD72">
        <v>79</v>
      </c>
      <c r="BE72">
        <v>34</v>
      </c>
      <c r="BF72">
        <v>88</v>
      </c>
      <c r="BG72">
        <v>9.18</v>
      </c>
      <c r="BH72">
        <v>3.99</v>
      </c>
      <c r="BI72">
        <v>2.1</v>
      </c>
      <c r="BJ72">
        <v>3.3</v>
      </c>
      <c r="BK72">
        <v>3.32</v>
      </c>
      <c r="BL72">
        <v>2.6808532832629222E-2</v>
      </c>
      <c r="BM72">
        <v>1.29</v>
      </c>
      <c r="BN72">
        <v>1.96</v>
      </c>
      <c r="BO72">
        <v>3.3</v>
      </c>
      <c r="BP72">
        <v>7</v>
      </c>
      <c r="BQ72">
        <v>1.73</v>
      </c>
      <c r="BR72">
        <v>2.0499999999999998</v>
      </c>
      <c r="BS72" t="s">
        <v>76</v>
      </c>
      <c r="BT72">
        <v>1.6395459745305552</v>
      </c>
      <c r="BU72">
        <v>1.0758429359324786</v>
      </c>
      <c r="BV72">
        <v>2.4807646356033461</v>
      </c>
      <c r="BW72">
        <v>1.4140979689366791</v>
      </c>
      <c r="BX72">
        <v>1.0666666666666671</v>
      </c>
      <c r="BY72">
        <v>0.62712066905615294</v>
      </c>
      <c r="BZ72">
        <v>0.46009557945041818</v>
      </c>
      <c r="CA72">
        <v>12.56969280146722</v>
      </c>
      <c r="CB72">
        <v>9.8695552498853729</v>
      </c>
      <c r="CC72">
        <v>5.2754256787850897</v>
      </c>
      <c r="CD72">
        <v>4.1279337321675103</v>
      </c>
      <c r="CE72">
        <v>7.2942671226821298</v>
      </c>
      <c r="CF72">
        <v>5.7416215177178627</v>
      </c>
      <c r="CG72">
        <v>12.897246007868549</v>
      </c>
      <c r="CH72">
        <v>13.507058551261281</v>
      </c>
      <c r="CI72">
        <v>1.576522702104098</v>
      </c>
      <c r="CJ72">
        <v>1.917165005537099</v>
      </c>
      <c r="CK72">
        <v>8.4385382059800659E-2</v>
      </c>
      <c r="CL72">
        <v>0.1233665559246955</v>
      </c>
    </row>
    <row r="73" spans="1:90" x14ac:dyDescent="0.45">
      <c r="A73" t="s">
        <v>695</v>
      </c>
      <c r="B73">
        <v>1646449200</v>
      </c>
      <c r="C73" t="s">
        <v>527</v>
      </c>
      <c r="D73" t="s">
        <v>65</v>
      </c>
      <c r="E73" t="s">
        <v>66</v>
      </c>
      <c r="F73" t="s">
        <v>78</v>
      </c>
      <c r="G73" t="s">
        <v>85</v>
      </c>
      <c r="H73" t="s">
        <v>103</v>
      </c>
      <c r="I73">
        <v>0.28000000000000003</v>
      </c>
      <c r="J73">
        <v>0.28598484848484845</v>
      </c>
      <c r="K73">
        <v>0.28598484848484845</v>
      </c>
      <c r="L73">
        <v>0.42803030303030298</v>
      </c>
      <c r="M73">
        <v>9</v>
      </c>
      <c r="N73">
        <v>1.25</v>
      </c>
      <c r="O73">
        <v>1.4</v>
      </c>
      <c r="P73">
        <v>0.88</v>
      </c>
      <c r="Q73">
        <v>1.4</v>
      </c>
      <c r="R73" t="s">
        <v>1351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Z73">
        <v>55</v>
      </c>
      <c r="AA73">
        <v>4</v>
      </c>
      <c r="AB73">
        <v>4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4</v>
      </c>
      <c r="AL73">
        <v>9</v>
      </c>
      <c r="AM73">
        <v>2</v>
      </c>
      <c r="AN73">
        <v>5</v>
      </c>
      <c r="AO73">
        <v>2</v>
      </c>
      <c r="AP73">
        <v>4</v>
      </c>
      <c r="AQ73">
        <v>9</v>
      </c>
      <c r="AR73">
        <v>12</v>
      </c>
      <c r="AS73">
        <v>47</v>
      </c>
      <c r="AT73">
        <v>53</v>
      </c>
      <c r="AU73">
        <v>0.68</v>
      </c>
      <c r="AV73">
        <v>1.1499999999999999</v>
      </c>
      <c r="AW73">
        <v>2.29</v>
      </c>
      <c r="AX73">
        <v>50</v>
      </c>
      <c r="AY73">
        <v>64</v>
      </c>
      <c r="AZ73">
        <v>49</v>
      </c>
      <c r="BA73">
        <v>23</v>
      </c>
      <c r="BB73">
        <v>4</v>
      </c>
      <c r="BC73">
        <v>39</v>
      </c>
      <c r="BD73">
        <v>71</v>
      </c>
      <c r="BE73">
        <v>31</v>
      </c>
      <c r="BF73">
        <v>59</v>
      </c>
      <c r="BG73">
        <v>7.28</v>
      </c>
      <c r="BH73">
        <v>5.34</v>
      </c>
      <c r="BI73">
        <v>3.2</v>
      </c>
      <c r="BJ73">
        <v>3.2</v>
      </c>
      <c r="BK73">
        <v>2.2000000000000002</v>
      </c>
      <c r="BL73">
        <v>2.651515151515153E-2</v>
      </c>
      <c r="BM73">
        <v>1.35</v>
      </c>
      <c r="BN73">
        <v>2.0299999999999998</v>
      </c>
      <c r="BO73">
        <v>3.65</v>
      </c>
      <c r="BP73">
        <v>7.1</v>
      </c>
      <c r="BQ73">
        <v>1.91</v>
      </c>
      <c r="BR73">
        <v>1.85</v>
      </c>
      <c r="BS73" t="s">
        <v>82</v>
      </c>
      <c r="BT73">
        <v>1.1529533168233341</v>
      </c>
      <c r="BU73">
        <v>1.5628535554286829</v>
      </c>
      <c r="BV73">
        <v>2.5445607358071678</v>
      </c>
      <c r="BW73">
        <v>1.128766254360926</v>
      </c>
      <c r="BX73">
        <v>1.415794481446242</v>
      </c>
      <c r="BY73">
        <v>0.49635267998731369</v>
      </c>
      <c r="BZ73">
        <v>0.61084681255946716</v>
      </c>
      <c r="CA73">
        <v>11.04442036836403</v>
      </c>
      <c r="CB73">
        <v>11.38840736728061</v>
      </c>
      <c r="CC73">
        <v>4.5379574003276897</v>
      </c>
      <c r="CD73">
        <v>4.8481703986892413</v>
      </c>
      <c r="CE73">
        <v>6.5064629680363399</v>
      </c>
      <c r="CF73">
        <v>6.540236968591369</v>
      </c>
      <c r="CG73">
        <v>13.117582417582421</v>
      </c>
      <c r="CH73">
        <v>13.28241758241758</v>
      </c>
      <c r="CI73">
        <v>1.792592592592593</v>
      </c>
      <c r="CJ73">
        <v>1.806980433632998</v>
      </c>
      <c r="CK73">
        <v>0.1047065044949762</v>
      </c>
      <c r="CL73">
        <v>0.1073506081438392</v>
      </c>
    </row>
    <row r="74" spans="1:90" x14ac:dyDescent="0.45">
      <c r="A74" t="s">
        <v>695</v>
      </c>
      <c r="B74">
        <v>1646521200</v>
      </c>
      <c r="C74" t="s">
        <v>528</v>
      </c>
      <c r="D74" t="s">
        <v>65</v>
      </c>
      <c r="E74" t="s">
        <v>66</v>
      </c>
      <c r="F74" t="s">
        <v>67</v>
      </c>
      <c r="G74" t="s">
        <v>97</v>
      </c>
      <c r="H74" t="s">
        <v>122</v>
      </c>
      <c r="I74">
        <v>0.34</v>
      </c>
      <c r="J74">
        <v>0.33837238599143366</v>
      </c>
      <c r="K74">
        <v>0.28546233308138075</v>
      </c>
      <c r="L74">
        <v>0.37616528092718571</v>
      </c>
      <c r="M74">
        <v>9</v>
      </c>
      <c r="N74">
        <v>1.25</v>
      </c>
      <c r="O74">
        <v>1.6</v>
      </c>
      <c r="P74">
        <v>1.24</v>
      </c>
      <c r="Q74">
        <v>1.68</v>
      </c>
      <c r="R74" t="s">
        <v>1351</v>
      </c>
      <c r="S74">
        <v>0</v>
      </c>
      <c r="T74">
        <v>3</v>
      </c>
      <c r="U74">
        <v>3</v>
      </c>
      <c r="V74">
        <v>1</v>
      </c>
      <c r="W74">
        <v>0</v>
      </c>
      <c r="X74">
        <v>1</v>
      </c>
      <c r="Z74">
        <v>29</v>
      </c>
      <c r="AA74">
        <v>8</v>
      </c>
      <c r="AB74">
        <v>3</v>
      </c>
      <c r="AC74">
        <v>2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9</v>
      </c>
      <c r="AL74">
        <v>6</v>
      </c>
      <c r="AM74">
        <v>7</v>
      </c>
      <c r="AN74">
        <v>2</v>
      </c>
      <c r="AO74">
        <v>2</v>
      </c>
      <c r="AP74">
        <v>4</v>
      </c>
      <c r="AQ74">
        <v>5</v>
      </c>
      <c r="AR74">
        <v>10</v>
      </c>
      <c r="AS74">
        <v>59</v>
      </c>
      <c r="AT74">
        <v>41</v>
      </c>
      <c r="AU74">
        <v>1.26</v>
      </c>
      <c r="AV74">
        <v>0.69</v>
      </c>
      <c r="AW74">
        <v>2.11</v>
      </c>
      <c r="AX74">
        <v>37</v>
      </c>
      <c r="AY74">
        <v>64</v>
      </c>
      <c r="AZ74">
        <v>23</v>
      </c>
      <c r="BA74">
        <v>15</v>
      </c>
      <c r="BB74">
        <v>11</v>
      </c>
      <c r="BC74">
        <v>30</v>
      </c>
      <c r="BD74">
        <v>74</v>
      </c>
      <c r="BE74">
        <v>22</v>
      </c>
      <c r="BF74">
        <v>60</v>
      </c>
      <c r="BG74">
        <v>9.17</v>
      </c>
      <c r="BH74">
        <v>4.96</v>
      </c>
      <c r="BI74">
        <v>2.7</v>
      </c>
      <c r="BJ74">
        <v>3.15</v>
      </c>
      <c r="BK74">
        <v>2.4500000000000002</v>
      </c>
      <c r="BL74">
        <v>3.1997984378936715E-2</v>
      </c>
      <c r="BM74">
        <v>1.55</v>
      </c>
      <c r="BN74">
        <v>2.2000000000000002</v>
      </c>
      <c r="BO74">
        <v>4.05</v>
      </c>
      <c r="BP74">
        <v>8</v>
      </c>
      <c r="BQ74">
        <v>1.95</v>
      </c>
      <c r="BR74">
        <v>1.81</v>
      </c>
      <c r="BS74" t="s">
        <v>70</v>
      </c>
      <c r="BT74">
        <v>1.3382439854569812</v>
      </c>
      <c r="BU74">
        <v>1.3740319615582339</v>
      </c>
      <c r="BV74">
        <v>2.5229727551184897</v>
      </c>
      <c r="BW74">
        <v>1.228921489601805</v>
      </c>
      <c r="BX74">
        <v>1.2940512655166849</v>
      </c>
      <c r="BY74">
        <v>0.53240890035472432</v>
      </c>
      <c r="BZ74">
        <v>0.56514027732989358</v>
      </c>
      <c r="CA74">
        <v>11.417888124439131</v>
      </c>
      <c r="CB74">
        <v>10.76308704756207</v>
      </c>
      <c r="CC74">
        <v>4.8317672021824798</v>
      </c>
      <c r="CD74">
        <v>4.6698999696877843</v>
      </c>
      <c r="CE74">
        <v>6.5861209222566508</v>
      </c>
      <c r="CF74">
        <v>6.093187077874286</v>
      </c>
      <c r="CG74">
        <v>12.685679611650491</v>
      </c>
      <c r="CH74">
        <v>13.02639563106796</v>
      </c>
      <c r="CI74">
        <v>1.6481211768132831</v>
      </c>
      <c r="CJ74">
        <v>1.8572676958928049</v>
      </c>
      <c r="CK74">
        <v>9.641712787649287E-2</v>
      </c>
      <c r="CL74">
        <v>0.11302068161957469</v>
      </c>
    </row>
    <row r="75" spans="1:90" x14ac:dyDescent="0.45">
      <c r="A75" t="s">
        <v>695</v>
      </c>
      <c r="B75">
        <v>1646528760</v>
      </c>
      <c r="C75" t="s">
        <v>529</v>
      </c>
      <c r="D75" t="s">
        <v>65</v>
      </c>
      <c r="E75" t="s">
        <v>66</v>
      </c>
      <c r="F75" t="s">
        <v>101</v>
      </c>
      <c r="G75" t="s">
        <v>68</v>
      </c>
      <c r="H75" t="s">
        <v>215</v>
      </c>
      <c r="I75">
        <v>0.42</v>
      </c>
      <c r="J75">
        <v>0.42125391305719168</v>
      </c>
      <c r="K75">
        <v>0.28416877597205459</v>
      </c>
      <c r="L75">
        <v>0.29457731097075357</v>
      </c>
      <c r="M75">
        <v>9</v>
      </c>
      <c r="N75">
        <v>1.42</v>
      </c>
      <c r="O75">
        <v>1.38</v>
      </c>
      <c r="P75">
        <v>1.79</v>
      </c>
      <c r="Q75">
        <v>1.53</v>
      </c>
      <c r="R75" t="s">
        <v>1352</v>
      </c>
      <c r="S75">
        <v>2</v>
      </c>
      <c r="T75">
        <v>1</v>
      </c>
      <c r="U75">
        <v>3</v>
      </c>
      <c r="V75">
        <v>2</v>
      </c>
      <c r="W75">
        <v>1</v>
      </c>
      <c r="X75">
        <v>1</v>
      </c>
      <c r="Y75" t="s">
        <v>530</v>
      </c>
      <c r="Z75">
        <v>34</v>
      </c>
      <c r="AA75">
        <v>2</v>
      </c>
      <c r="AB75">
        <v>5</v>
      </c>
      <c r="AC75">
        <v>4</v>
      </c>
      <c r="AD75">
        <v>0</v>
      </c>
      <c r="AE75">
        <v>1</v>
      </c>
      <c r="AF75">
        <v>0</v>
      </c>
      <c r="AG75">
        <v>3</v>
      </c>
      <c r="AH75">
        <v>1</v>
      </c>
      <c r="AI75">
        <v>1</v>
      </c>
      <c r="AJ75">
        <v>0</v>
      </c>
      <c r="AK75">
        <v>9</v>
      </c>
      <c r="AL75">
        <v>9</v>
      </c>
      <c r="AM75">
        <v>3</v>
      </c>
      <c r="AN75">
        <v>3</v>
      </c>
      <c r="AO75">
        <v>6</v>
      </c>
      <c r="AP75">
        <v>6</v>
      </c>
      <c r="AQ75">
        <v>13</v>
      </c>
      <c r="AR75">
        <v>14</v>
      </c>
      <c r="AS75">
        <v>46</v>
      </c>
      <c r="AT75">
        <v>54</v>
      </c>
      <c r="AU75">
        <v>1.1000000000000001</v>
      </c>
      <c r="AV75">
        <v>1.06</v>
      </c>
      <c r="AW75">
        <v>1.84</v>
      </c>
      <c r="AX75">
        <v>44</v>
      </c>
      <c r="AY75">
        <v>60</v>
      </c>
      <c r="AZ75">
        <v>28</v>
      </c>
      <c r="BA75">
        <v>16</v>
      </c>
      <c r="BB75">
        <v>4</v>
      </c>
      <c r="BC75">
        <v>27</v>
      </c>
      <c r="BD75">
        <v>60</v>
      </c>
      <c r="BE75">
        <v>17</v>
      </c>
      <c r="BF75">
        <v>61</v>
      </c>
      <c r="BG75">
        <v>9.33</v>
      </c>
      <c r="BH75">
        <v>5.12</v>
      </c>
      <c r="BI75">
        <v>2.2000000000000002</v>
      </c>
      <c r="BJ75">
        <v>3.15</v>
      </c>
      <c r="BK75">
        <v>3.05</v>
      </c>
      <c r="BL75">
        <v>3.3291541488262855E-2</v>
      </c>
      <c r="BM75">
        <v>1.36</v>
      </c>
      <c r="BN75">
        <v>2</v>
      </c>
      <c r="BO75">
        <v>3.5</v>
      </c>
      <c r="BP75">
        <v>7</v>
      </c>
      <c r="BQ75">
        <v>1.85</v>
      </c>
      <c r="BR75">
        <v>1.85</v>
      </c>
      <c r="BS75" t="s">
        <v>104</v>
      </c>
      <c r="BT75">
        <v>1.5780106027030405</v>
      </c>
      <c r="BU75">
        <v>1.1353025412447635</v>
      </c>
      <c r="BV75">
        <v>2.4884649511978703</v>
      </c>
      <c r="BW75">
        <v>1.396960958296362</v>
      </c>
      <c r="BX75">
        <v>1.091503992901508</v>
      </c>
      <c r="BY75">
        <v>0.60765391014975045</v>
      </c>
      <c r="BZ75">
        <v>0.47276760953965608</v>
      </c>
      <c r="CA75">
        <v>12.29504785684561</v>
      </c>
      <c r="CB75">
        <v>10.047232625884311</v>
      </c>
      <c r="CC75">
        <v>5.2917192097519967</v>
      </c>
      <c r="CD75">
        <v>4.2580916351408158</v>
      </c>
      <c r="CE75">
        <v>7.0033286470936131</v>
      </c>
      <c r="CF75">
        <v>5.789140990743495</v>
      </c>
      <c r="CG75">
        <v>12.77041895895049</v>
      </c>
      <c r="CH75">
        <v>13.411129919593741</v>
      </c>
      <c r="CI75">
        <v>1.556141062018646</v>
      </c>
      <c r="CJ75">
        <v>1.9114308877178761</v>
      </c>
      <c r="CK75">
        <v>8.4920956627482766E-2</v>
      </c>
      <c r="CL75">
        <v>0.1323469801378192</v>
      </c>
    </row>
    <row r="76" spans="1:90" x14ac:dyDescent="0.45">
      <c r="A76" t="s">
        <v>695</v>
      </c>
      <c r="B76">
        <v>1646535600</v>
      </c>
      <c r="C76" t="s">
        <v>531</v>
      </c>
      <c r="D76" t="s">
        <v>65</v>
      </c>
      <c r="E76" t="s">
        <v>66</v>
      </c>
      <c r="F76" t="s">
        <v>112</v>
      </c>
      <c r="G76" t="s">
        <v>102</v>
      </c>
      <c r="H76" t="s">
        <v>74</v>
      </c>
      <c r="I76">
        <v>0.48</v>
      </c>
      <c r="J76">
        <v>0.47741147741147744</v>
      </c>
      <c r="K76">
        <v>0.27228327228327226</v>
      </c>
      <c r="L76">
        <v>0.25030525030525025</v>
      </c>
      <c r="M76">
        <v>9</v>
      </c>
      <c r="N76">
        <v>1.38</v>
      </c>
      <c r="O76">
        <v>1.75</v>
      </c>
      <c r="P76">
        <v>1.25</v>
      </c>
      <c r="Q76">
        <v>1.42</v>
      </c>
      <c r="R76" t="s">
        <v>1351</v>
      </c>
      <c r="S76">
        <v>1</v>
      </c>
      <c r="T76">
        <v>3</v>
      </c>
      <c r="U76">
        <v>4</v>
      </c>
      <c r="V76">
        <v>3</v>
      </c>
      <c r="W76">
        <v>1</v>
      </c>
      <c r="X76">
        <v>2</v>
      </c>
      <c r="Y76">
        <v>9</v>
      </c>
      <c r="Z76" t="s">
        <v>532</v>
      </c>
      <c r="AA76">
        <v>4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8</v>
      </c>
      <c r="AL76">
        <v>10</v>
      </c>
      <c r="AM76">
        <v>4</v>
      </c>
      <c r="AN76">
        <v>5</v>
      </c>
      <c r="AO76">
        <v>4</v>
      </c>
      <c r="AP76">
        <v>5</v>
      </c>
      <c r="AQ76">
        <v>14</v>
      </c>
      <c r="AR76">
        <v>17</v>
      </c>
      <c r="AS76">
        <v>48</v>
      </c>
      <c r="AT76">
        <v>52</v>
      </c>
      <c r="AU76">
        <v>1.05</v>
      </c>
      <c r="AV76">
        <v>1.26</v>
      </c>
      <c r="AW76">
        <v>2.27</v>
      </c>
      <c r="AX76">
        <v>44</v>
      </c>
      <c r="AY76">
        <v>84</v>
      </c>
      <c r="AZ76">
        <v>23</v>
      </c>
      <c r="BA76">
        <v>12</v>
      </c>
      <c r="BB76">
        <v>8</v>
      </c>
      <c r="BC76">
        <v>24</v>
      </c>
      <c r="BD76">
        <v>75</v>
      </c>
      <c r="BE76">
        <v>40</v>
      </c>
      <c r="BF76">
        <v>76</v>
      </c>
      <c r="BG76">
        <v>8.83</v>
      </c>
      <c r="BH76">
        <v>5.41</v>
      </c>
      <c r="BI76">
        <v>1.95</v>
      </c>
      <c r="BJ76">
        <v>3.25</v>
      </c>
      <c r="BK76">
        <v>3.5</v>
      </c>
      <c r="BL76">
        <v>3.5409035409035429E-2</v>
      </c>
      <c r="BM76">
        <v>1.36</v>
      </c>
      <c r="BN76">
        <v>2</v>
      </c>
      <c r="BO76">
        <v>3.5</v>
      </c>
      <c r="BP76">
        <v>7</v>
      </c>
      <c r="BQ76">
        <v>1.91</v>
      </c>
      <c r="BR76">
        <v>1.8</v>
      </c>
      <c r="BS76" t="s">
        <v>116</v>
      </c>
      <c r="BT76">
        <v>1.743992017160418</v>
      </c>
      <c r="BU76">
        <v>0.97803937284245479</v>
      </c>
      <c r="BV76">
        <v>2.5271929824561399</v>
      </c>
      <c r="BW76">
        <v>1.510877192982456</v>
      </c>
      <c r="BX76">
        <v>1.0163157894736841</v>
      </c>
      <c r="BY76">
        <v>0.67350877192982461</v>
      </c>
      <c r="BZ76">
        <v>0.4442105263157895</v>
      </c>
      <c r="CA76">
        <v>12.80980392156863</v>
      </c>
      <c r="CB76">
        <v>9.6872549019607845</v>
      </c>
      <c r="CC76">
        <v>5.6491169610129957</v>
      </c>
      <c r="CD76">
        <v>4.1379540153282237</v>
      </c>
      <c r="CE76">
        <v>7.1606869605556343</v>
      </c>
      <c r="CF76">
        <v>5.5493008866325608</v>
      </c>
      <c r="CG76">
        <v>12.9029029029029</v>
      </c>
      <c r="CH76">
        <v>13.75508842175509</v>
      </c>
      <c r="CI76">
        <v>1.5287356321839081</v>
      </c>
      <c r="CJ76">
        <v>1.9664750957854411</v>
      </c>
      <c r="CK76">
        <v>8.8441890166028103E-2</v>
      </c>
      <c r="CL76">
        <v>0.13409961685823751</v>
      </c>
    </row>
    <row r="77" spans="1:90" x14ac:dyDescent="0.45">
      <c r="A77" t="s">
        <v>695</v>
      </c>
      <c r="B77">
        <v>1646535600</v>
      </c>
      <c r="C77" t="s">
        <v>531</v>
      </c>
      <c r="D77" t="s">
        <v>65</v>
      </c>
      <c r="E77" t="s">
        <v>66</v>
      </c>
      <c r="F77" t="s">
        <v>90</v>
      </c>
      <c r="G77" t="s">
        <v>73</v>
      </c>
      <c r="H77" t="s">
        <v>138</v>
      </c>
      <c r="I77">
        <v>0.42</v>
      </c>
      <c r="J77">
        <v>0.42080518351704788</v>
      </c>
      <c r="K77">
        <v>0.27395203666390106</v>
      </c>
      <c r="L77">
        <v>0.30524277981905096</v>
      </c>
      <c r="M77">
        <v>9</v>
      </c>
      <c r="N77">
        <v>1.25</v>
      </c>
      <c r="O77">
        <v>1.23</v>
      </c>
      <c r="P77">
        <v>1.47</v>
      </c>
      <c r="Q77">
        <v>1.1100000000000001</v>
      </c>
      <c r="R77" t="s">
        <v>1352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61</v>
      </c>
      <c r="AA77">
        <v>3</v>
      </c>
      <c r="AB77">
        <v>5</v>
      </c>
      <c r="AC77">
        <v>3</v>
      </c>
      <c r="AD77">
        <v>0</v>
      </c>
      <c r="AE77">
        <v>1</v>
      </c>
      <c r="AF77">
        <v>1</v>
      </c>
      <c r="AG77">
        <v>0</v>
      </c>
      <c r="AH77">
        <v>3</v>
      </c>
      <c r="AI77">
        <v>1</v>
      </c>
      <c r="AJ77">
        <v>1</v>
      </c>
      <c r="AK77">
        <v>13</v>
      </c>
      <c r="AL77">
        <v>7</v>
      </c>
      <c r="AM77">
        <v>2</v>
      </c>
      <c r="AN77">
        <v>2</v>
      </c>
      <c r="AO77">
        <v>11</v>
      </c>
      <c r="AP77">
        <v>5</v>
      </c>
      <c r="AQ77">
        <v>19</v>
      </c>
      <c r="AR77">
        <v>11</v>
      </c>
      <c r="AS77">
        <v>54</v>
      </c>
      <c r="AT77">
        <v>46</v>
      </c>
      <c r="AU77">
        <v>1.22</v>
      </c>
      <c r="AV77">
        <v>0.95</v>
      </c>
      <c r="AW77">
        <v>2.69</v>
      </c>
      <c r="AX77">
        <v>64</v>
      </c>
      <c r="AY77">
        <v>84</v>
      </c>
      <c r="AZ77">
        <v>60</v>
      </c>
      <c r="BA77">
        <v>20</v>
      </c>
      <c r="BB77">
        <v>8</v>
      </c>
      <c r="BC77">
        <v>37</v>
      </c>
      <c r="BD77">
        <v>81</v>
      </c>
      <c r="BE77">
        <v>52</v>
      </c>
      <c r="BF77">
        <v>84</v>
      </c>
      <c r="BG77">
        <v>11.85</v>
      </c>
      <c r="BH77">
        <v>5.66</v>
      </c>
      <c r="BI77">
        <v>2.2000000000000002</v>
      </c>
      <c r="BJ77">
        <v>3.25</v>
      </c>
      <c r="BK77">
        <v>2.95</v>
      </c>
      <c r="BL77">
        <v>3.3740271028406633E-2</v>
      </c>
      <c r="BM77">
        <v>1.3</v>
      </c>
      <c r="BN77">
        <v>1.85</v>
      </c>
      <c r="BO77">
        <v>3.25</v>
      </c>
      <c r="BP77">
        <v>5.5</v>
      </c>
      <c r="BQ77">
        <v>1.73</v>
      </c>
      <c r="BR77">
        <v>2</v>
      </c>
      <c r="BS77" t="s">
        <v>94</v>
      </c>
      <c r="BT77">
        <v>1.5780106027030405</v>
      </c>
      <c r="BU77">
        <v>1.1353025412447635</v>
      </c>
      <c r="BV77">
        <v>2.4884649511978703</v>
      </c>
      <c r="BW77">
        <v>1.396960958296362</v>
      </c>
      <c r="BX77">
        <v>1.091503992901508</v>
      </c>
      <c r="BY77">
        <v>0.60765391014975045</v>
      </c>
      <c r="BZ77">
        <v>0.47276760953965608</v>
      </c>
      <c r="CA77">
        <v>12.29504785684561</v>
      </c>
      <c r="CB77">
        <v>10.047232625884311</v>
      </c>
      <c r="CC77">
        <v>5.2917192097519967</v>
      </c>
      <c r="CD77">
        <v>4.2580916351408158</v>
      </c>
      <c r="CE77">
        <v>7.0033286470936131</v>
      </c>
      <c r="CF77">
        <v>5.789140990743495</v>
      </c>
      <c r="CG77">
        <v>12.77041895895049</v>
      </c>
      <c r="CH77">
        <v>13.411129919593741</v>
      </c>
      <c r="CI77">
        <v>1.556141062018646</v>
      </c>
      <c r="CJ77">
        <v>1.9114308877178761</v>
      </c>
      <c r="CK77">
        <v>8.4920956627482766E-2</v>
      </c>
      <c r="CL77">
        <v>0.1323469801378192</v>
      </c>
    </row>
    <row r="78" spans="1:90" x14ac:dyDescent="0.45">
      <c r="A78" t="s">
        <v>695</v>
      </c>
      <c r="B78">
        <v>1647046800</v>
      </c>
      <c r="C78" t="s">
        <v>533</v>
      </c>
      <c r="D78" t="s">
        <v>65</v>
      </c>
      <c r="E78" t="s">
        <v>66</v>
      </c>
      <c r="F78" t="s">
        <v>72</v>
      </c>
      <c r="G78" t="s">
        <v>67</v>
      </c>
      <c r="H78" t="s">
        <v>103</v>
      </c>
      <c r="I78">
        <v>0.44</v>
      </c>
      <c r="J78">
        <v>0.43527013251783886</v>
      </c>
      <c r="K78">
        <v>0.28236493374108046</v>
      </c>
      <c r="L78">
        <v>0.28236493374108046</v>
      </c>
      <c r="M78">
        <v>10</v>
      </c>
      <c r="N78">
        <v>1</v>
      </c>
      <c r="O78">
        <v>0.62</v>
      </c>
      <c r="P78">
        <v>1.24</v>
      </c>
      <c r="Q78">
        <v>0.65</v>
      </c>
      <c r="R78" t="s">
        <v>1352</v>
      </c>
      <c r="S78">
        <v>1</v>
      </c>
      <c r="T78">
        <v>0</v>
      </c>
      <c r="U78">
        <v>1</v>
      </c>
      <c r="V78">
        <v>1</v>
      </c>
      <c r="W78">
        <v>1</v>
      </c>
      <c r="X78">
        <v>0</v>
      </c>
      <c r="Y78">
        <v>10</v>
      </c>
      <c r="AA78">
        <v>3</v>
      </c>
      <c r="AB78">
        <v>10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12</v>
      </c>
      <c r="AL78">
        <v>15</v>
      </c>
      <c r="AM78">
        <v>6</v>
      </c>
      <c r="AN78">
        <v>6</v>
      </c>
      <c r="AO78">
        <v>6</v>
      </c>
      <c r="AP78">
        <v>9</v>
      </c>
      <c r="AQ78">
        <v>13</v>
      </c>
      <c r="AR78">
        <v>4</v>
      </c>
      <c r="AS78">
        <v>41</v>
      </c>
      <c r="AT78">
        <v>59</v>
      </c>
      <c r="AU78">
        <v>1.42</v>
      </c>
      <c r="AV78">
        <v>1.82</v>
      </c>
      <c r="AW78">
        <v>2.14</v>
      </c>
      <c r="AX78">
        <v>36</v>
      </c>
      <c r="AY78">
        <v>68</v>
      </c>
      <c r="AZ78">
        <v>45</v>
      </c>
      <c r="BA78">
        <v>13</v>
      </c>
      <c r="BB78">
        <v>0</v>
      </c>
      <c r="BC78">
        <v>29</v>
      </c>
      <c r="BD78">
        <v>65</v>
      </c>
      <c r="BE78">
        <v>32</v>
      </c>
      <c r="BF78">
        <v>76</v>
      </c>
      <c r="BG78">
        <v>10.29</v>
      </c>
      <c r="BH78">
        <v>4.8099999999999996</v>
      </c>
      <c r="BI78">
        <v>2.1800000000000002</v>
      </c>
      <c r="BJ78">
        <v>3.27</v>
      </c>
      <c r="BK78">
        <v>3.27</v>
      </c>
      <c r="BL78">
        <v>2.3445463812436323E-2</v>
      </c>
      <c r="BM78">
        <v>1.36</v>
      </c>
      <c r="BN78">
        <v>2.11</v>
      </c>
      <c r="BO78">
        <v>3.75</v>
      </c>
      <c r="BP78">
        <v>7.5</v>
      </c>
      <c r="BQ78">
        <v>1.85</v>
      </c>
      <c r="BR78">
        <v>1.85</v>
      </c>
      <c r="BS78" t="s">
        <v>76</v>
      </c>
      <c r="BT78">
        <v>1.6395459745305552</v>
      </c>
      <c r="BU78">
        <v>1.0758429359324786</v>
      </c>
      <c r="BV78">
        <v>2.4807646356033461</v>
      </c>
      <c r="BW78">
        <v>1.4140979689366791</v>
      </c>
      <c r="BX78">
        <v>1.0666666666666671</v>
      </c>
      <c r="BY78">
        <v>0.62712066905615294</v>
      </c>
      <c r="BZ78">
        <v>0.46009557945041818</v>
      </c>
      <c r="CA78">
        <v>12.56969280146722</v>
      </c>
      <c r="CB78">
        <v>9.8695552498853729</v>
      </c>
      <c r="CC78">
        <v>5.2754256787850897</v>
      </c>
      <c r="CD78">
        <v>4.1279337321675103</v>
      </c>
      <c r="CE78">
        <v>7.2942671226821298</v>
      </c>
      <c r="CF78">
        <v>5.7416215177178627</v>
      </c>
      <c r="CG78">
        <v>12.897246007868549</v>
      </c>
      <c r="CH78">
        <v>13.507058551261281</v>
      </c>
      <c r="CI78">
        <v>1.576522702104098</v>
      </c>
      <c r="CJ78">
        <v>1.917165005537099</v>
      </c>
      <c r="CK78">
        <v>8.4385382059800659E-2</v>
      </c>
      <c r="CL78">
        <v>0.1233665559246955</v>
      </c>
    </row>
    <row r="79" spans="1:90" x14ac:dyDescent="0.45">
      <c r="A79" t="s">
        <v>695</v>
      </c>
      <c r="B79">
        <v>1647054000</v>
      </c>
      <c r="C79" t="s">
        <v>534</v>
      </c>
      <c r="D79" t="s">
        <v>65</v>
      </c>
      <c r="E79" t="s">
        <v>66</v>
      </c>
      <c r="F79" t="s">
        <v>78</v>
      </c>
      <c r="G79" t="s">
        <v>97</v>
      </c>
      <c r="H79" t="s">
        <v>215</v>
      </c>
      <c r="I79">
        <v>0.34</v>
      </c>
      <c r="J79">
        <v>0.33404009412390767</v>
      </c>
      <c r="K79">
        <v>0.28745624319223062</v>
      </c>
      <c r="L79">
        <v>0.37850366268386171</v>
      </c>
      <c r="M79">
        <v>10</v>
      </c>
      <c r="N79">
        <v>1.1499999999999999</v>
      </c>
      <c r="O79">
        <v>1.69</v>
      </c>
      <c r="P79">
        <v>0.88</v>
      </c>
      <c r="Q79">
        <v>1.68</v>
      </c>
      <c r="R79" t="s">
        <v>1351</v>
      </c>
      <c r="S79">
        <v>1</v>
      </c>
      <c r="T79">
        <v>2</v>
      </c>
      <c r="U79">
        <v>3</v>
      </c>
      <c r="V79">
        <v>1</v>
      </c>
      <c r="W79">
        <v>0</v>
      </c>
      <c r="X79">
        <v>1</v>
      </c>
      <c r="Y79">
        <v>65</v>
      </c>
      <c r="Z79" t="s">
        <v>535</v>
      </c>
      <c r="AA79">
        <v>4</v>
      </c>
      <c r="AB79">
        <v>6</v>
      </c>
      <c r="AC79">
        <v>2</v>
      </c>
      <c r="AD79">
        <v>0</v>
      </c>
      <c r="AE79">
        <v>3</v>
      </c>
      <c r="AF79">
        <v>0</v>
      </c>
      <c r="AG79">
        <v>1</v>
      </c>
      <c r="AH79">
        <v>1</v>
      </c>
      <c r="AI79">
        <v>3</v>
      </c>
      <c r="AJ79">
        <v>0</v>
      </c>
      <c r="AK79">
        <v>7</v>
      </c>
      <c r="AL79">
        <v>18</v>
      </c>
      <c r="AM79">
        <v>3</v>
      </c>
      <c r="AN79">
        <v>4</v>
      </c>
      <c r="AO79">
        <v>4</v>
      </c>
      <c r="AP79">
        <v>14</v>
      </c>
      <c r="AQ79">
        <v>16</v>
      </c>
      <c r="AR79">
        <v>14</v>
      </c>
      <c r="AS79">
        <v>49</v>
      </c>
      <c r="AT79">
        <v>51</v>
      </c>
      <c r="AU79">
        <v>0.81</v>
      </c>
      <c r="AV79">
        <v>1.77</v>
      </c>
      <c r="AW79">
        <v>2.2599999999999998</v>
      </c>
      <c r="AX79">
        <v>50</v>
      </c>
      <c r="AY79">
        <v>63</v>
      </c>
      <c r="AZ79">
        <v>37</v>
      </c>
      <c r="BA79">
        <v>22</v>
      </c>
      <c r="BB79">
        <v>11</v>
      </c>
      <c r="BC79">
        <v>40</v>
      </c>
      <c r="BD79">
        <v>72</v>
      </c>
      <c r="BE79">
        <v>32</v>
      </c>
      <c r="BF79">
        <v>56</v>
      </c>
      <c r="BG79">
        <v>8.0299999999999994</v>
      </c>
      <c r="BH79">
        <v>4.5199999999999996</v>
      </c>
      <c r="BI79">
        <v>2.8</v>
      </c>
      <c r="BJ79">
        <v>3.22</v>
      </c>
      <c r="BK79">
        <v>2.4900000000000002</v>
      </c>
      <c r="BL79">
        <v>2.3102763018949462E-2</v>
      </c>
      <c r="BM79">
        <v>1.5</v>
      </c>
      <c r="BN79">
        <v>2.19</v>
      </c>
      <c r="BO79">
        <v>4.33</v>
      </c>
      <c r="BP79">
        <v>9</v>
      </c>
      <c r="BQ79">
        <v>2</v>
      </c>
      <c r="BR79">
        <v>1.73</v>
      </c>
      <c r="BS79" t="s">
        <v>82</v>
      </c>
      <c r="BT79">
        <v>1.3382439854569812</v>
      </c>
      <c r="BU79">
        <v>1.3740319615582339</v>
      </c>
      <c r="BV79">
        <v>2.5229727551184897</v>
      </c>
      <c r="BW79">
        <v>1.228921489601805</v>
      </c>
      <c r="BX79">
        <v>1.2940512655166849</v>
      </c>
      <c r="BY79">
        <v>0.53240890035472432</v>
      </c>
      <c r="BZ79">
        <v>0.56514027732989358</v>
      </c>
      <c r="CA79">
        <v>11.417888124439131</v>
      </c>
      <c r="CB79">
        <v>10.76308704756207</v>
      </c>
      <c r="CC79">
        <v>4.8317672021824798</v>
      </c>
      <c r="CD79">
        <v>4.6698999696877843</v>
      </c>
      <c r="CE79">
        <v>6.5861209222566508</v>
      </c>
      <c r="CF79">
        <v>6.093187077874286</v>
      </c>
      <c r="CG79">
        <v>12.685679611650491</v>
      </c>
      <c r="CH79">
        <v>13.02639563106796</v>
      </c>
      <c r="CI79">
        <v>1.6481211768132831</v>
      </c>
      <c r="CJ79">
        <v>1.8572676958928049</v>
      </c>
      <c r="CK79">
        <v>9.641712787649287E-2</v>
      </c>
      <c r="CL79">
        <v>0.11302068161957469</v>
      </c>
    </row>
    <row r="80" spans="1:90" x14ac:dyDescent="0.45">
      <c r="A80" t="s">
        <v>695</v>
      </c>
      <c r="B80">
        <v>1647054360</v>
      </c>
      <c r="C80" t="s">
        <v>536</v>
      </c>
      <c r="D80" t="s">
        <v>65</v>
      </c>
      <c r="E80" t="s">
        <v>66</v>
      </c>
      <c r="F80" t="s">
        <v>101</v>
      </c>
      <c r="G80" t="s">
        <v>113</v>
      </c>
      <c r="H80" t="s">
        <v>66</v>
      </c>
      <c r="I80">
        <v>0.64</v>
      </c>
      <c r="J80">
        <v>0.63498048906926297</v>
      </c>
      <c r="K80">
        <v>0.22399933247407125</v>
      </c>
      <c r="L80">
        <v>0.14102017845666587</v>
      </c>
      <c r="M80">
        <v>10</v>
      </c>
      <c r="N80">
        <v>1.54</v>
      </c>
      <c r="O80">
        <v>0.42</v>
      </c>
      <c r="P80">
        <v>1.79</v>
      </c>
      <c r="Q80">
        <v>0.72</v>
      </c>
      <c r="R80" t="s">
        <v>1352</v>
      </c>
      <c r="S80">
        <v>2</v>
      </c>
      <c r="T80">
        <v>1</v>
      </c>
      <c r="U80">
        <v>3</v>
      </c>
      <c r="V80">
        <v>2</v>
      </c>
      <c r="W80">
        <v>2</v>
      </c>
      <c r="X80">
        <v>0</v>
      </c>
      <c r="Y80" t="s">
        <v>537</v>
      </c>
      <c r="Z80">
        <v>72</v>
      </c>
      <c r="AA80">
        <v>2</v>
      </c>
      <c r="AB80">
        <v>2</v>
      </c>
      <c r="AC80">
        <v>3</v>
      </c>
      <c r="AD80">
        <v>0</v>
      </c>
      <c r="AE80">
        <v>3</v>
      </c>
      <c r="AF80">
        <v>1</v>
      </c>
      <c r="AG80">
        <v>1</v>
      </c>
      <c r="AH80">
        <v>2</v>
      </c>
      <c r="AI80">
        <v>0</v>
      </c>
      <c r="AJ80">
        <v>4</v>
      </c>
      <c r="AK80">
        <v>5</v>
      </c>
      <c r="AL80">
        <v>5</v>
      </c>
      <c r="AM80">
        <v>3</v>
      </c>
      <c r="AN80">
        <v>2</v>
      </c>
      <c r="AO80">
        <v>2</v>
      </c>
      <c r="AP80">
        <v>3</v>
      </c>
      <c r="AQ80">
        <v>15</v>
      </c>
      <c r="AR80">
        <v>11</v>
      </c>
      <c r="AS80">
        <v>44</v>
      </c>
      <c r="AT80">
        <v>56</v>
      </c>
      <c r="AU80">
        <v>0.75</v>
      </c>
      <c r="AV80">
        <v>0.73</v>
      </c>
      <c r="AW80">
        <v>2.2599999999999998</v>
      </c>
      <c r="AX80">
        <v>32</v>
      </c>
      <c r="AY80">
        <v>73</v>
      </c>
      <c r="AZ80">
        <v>37</v>
      </c>
      <c r="BA80">
        <v>20</v>
      </c>
      <c r="BB80">
        <v>4</v>
      </c>
      <c r="BC80">
        <v>21</v>
      </c>
      <c r="BD80">
        <v>69</v>
      </c>
      <c r="BE80">
        <v>33</v>
      </c>
      <c r="BF80">
        <v>68</v>
      </c>
      <c r="BG80">
        <v>7.33</v>
      </c>
      <c r="BH80">
        <v>5.62</v>
      </c>
      <c r="BI80">
        <v>1.52</v>
      </c>
      <c r="BJ80">
        <v>4.05</v>
      </c>
      <c r="BK80">
        <v>6.1</v>
      </c>
      <c r="BL80">
        <v>2.2914247772842344E-2</v>
      </c>
      <c r="BM80">
        <v>0</v>
      </c>
      <c r="BN80">
        <v>1.92</v>
      </c>
      <c r="BO80">
        <v>0</v>
      </c>
      <c r="BP80">
        <v>0</v>
      </c>
      <c r="BQ80">
        <v>0</v>
      </c>
      <c r="BR80">
        <v>0</v>
      </c>
      <c r="BS80" t="s">
        <v>104</v>
      </c>
      <c r="BT80">
        <v>2.1745910991837163</v>
      </c>
      <c r="BU80">
        <v>0.59796358565236019</v>
      </c>
      <c r="BV80">
        <v>2.8343749999999996</v>
      </c>
      <c r="BW80">
        <v>1.980803571428571</v>
      </c>
      <c r="BX80">
        <v>0.85357142857142854</v>
      </c>
      <c r="BY80">
        <v>0.8683035714285714</v>
      </c>
      <c r="BZ80">
        <v>0.36607142857142849</v>
      </c>
      <c r="CA80">
        <v>15.03980099502488</v>
      </c>
      <c r="CB80">
        <v>8.6326699834162515</v>
      </c>
      <c r="CC80">
        <v>6.5189234650967203</v>
      </c>
      <c r="CD80">
        <v>3.4507989907485279</v>
      </c>
      <c r="CE80">
        <v>8.5208775299281605</v>
      </c>
      <c r="CF80">
        <v>5.181870992667724</v>
      </c>
      <c r="CG80">
        <v>12.48566610455312</v>
      </c>
      <c r="CH80">
        <v>13.573355817875211</v>
      </c>
      <c r="CI80">
        <v>1.395273023634882</v>
      </c>
      <c r="CJ80">
        <v>2.0586797066014668</v>
      </c>
      <c r="CK80">
        <v>6.8459657701711488E-2</v>
      </c>
      <c r="CL80">
        <v>0.12713936430317849</v>
      </c>
    </row>
    <row r="81" spans="1:90" x14ac:dyDescent="0.45">
      <c r="A81" t="s">
        <v>695</v>
      </c>
      <c r="B81">
        <v>1647126000</v>
      </c>
      <c r="C81" t="s">
        <v>538</v>
      </c>
      <c r="D81" t="s">
        <v>65</v>
      </c>
      <c r="E81" t="s">
        <v>66</v>
      </c>
      <c r="F81" t="s">
        <v>85</v>
      </c>
      <c r="G81" t="s">
        <v>107</v>
      </c>
      <c r="H81" t="s">
        <v>122</v>
      </c>
      <c r="I81">
        <v>0.42</v>
      </c>
      <c r="J81">
        <v>0.42681076011287983</v>
      </c>
      <c r="K81">
        <v>0.26523176041117952</v>
      </c>
      <c r="L81">
        <v>0.30795747947594082</v>
      </c>
      <c r="M81">
        <v>10</v>
      </c>
      <c r="N81">
        <v>1.81</v>
      </c>
      <c r="O81">
        <v>1.5</v>
      </c>
      <c r="P81">
        <v>1.55</v>
      </c>
      <c r="Q81">
        <v>1.48</v>
      </c>
      <c r="R81" t="s">
        <v>1351</v>
      </c>
      <c r="S81">
        <v>0</v>
      </c>
      <c r="T81">
        <v>3</v>
      </c>
      <c r="U81">
        <v>3</v>
      </c>
      <c r="V81">
        <v>2</v>
      </c>
      <c r="W81">
        <v>0</v>
      </c>
      <c r="X81">
        <v>2</v>
      </c>
      <c r="Z81" t="s">
        <v>539</v>
      </c>
      <c r="AA81">
        <v>10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16</v>
      </c>
      <c r="AL81">
        <v>14</v>
      </c>
      <c r="AM81">
        <v>4</v>
      </c>
      <c r="AN81">
        <v>8</v>
      </c>
      <c r="AO81">
        <v>12</v>
      </c>
      <c r="AP81">
        <v>6</v>
      </c>
      <c r="AQ81">
        <v>14</v>
      </c>
      <c r="AR81">
        <v>15</v>
      </c>
      <c r="AS81">
        <v>53</v>
      </c>
      <c r="AT81">
        <v>47</v>
      </c>
      <c r="AU81">
        <v>1.68</v>
      </c>
      <c r="AV81">
        <v>1.66</v>
      </c>
      <c r="AW81">
        <v>2.56</v>
      </c>
      <c r="AX81">
        <v>64</v>
      </c>
      <c r="AY81">
        <v>84</v>
      </c>
      <c r="AZ81">
        <v>57</v>
      </c>
      <c r="BA81">
        <v>14</v>
      </c>
      <c r="BB81">
        <v>7</v>
      </c>
      <c r="BC81">
        <v>34</v>
      </c>
      <c r="BD81">
        <v>80</v>
      </c>
      <c r="BE81">
        <v>48</v>
      </c>
      <c r="BF81">
        <v>84</v>
      </c>
      <c r="BG81">
        <v>8.98</v>
      </c>
      <c r="BH81">
        <v>4.87</v>
      </c>
      <c r="BI81">
        <v>2.2599999999999998</v>
      </c>
      <c r="BJ81">
        <v>3.56</v>
      </c>
      <c r="BK81">
        <v>3.09</v>
      </c>
      <c r="BL81">
        <v>1.5667115993314901E-2</v>
      </c>
      <c r="BM81">
        <v>1.33</v>
      </c>
      <c r="BN81">
        <v>2.04</v>
      </c>
      <c r="BO81">
        <v>3.4</v>
      </c>
      <c r="BP81">
        <v>6.5</v>
      </c>
      <c r="BQ81">
        <v>1.8</v>
      </c>
      <c r="BR81">
        <v>1.91</v>
      </c>
      <c r="BS81" t="s">
        <v>128</v>
      </c>
      <c r="BT81">
        <v>1.5780106027030405</v>
      </c>
      <c r="BU81">
        <v>1.1353025412447635</v>
      </c>
      <c r="BV81">
        <v>2.4884649511978703</v>
      </c>
      <c r="BW81">
        <v>1.396960958296362</v>
      </c>
      <c r="BX81">
        <v>1.091503992901508</v>
      </c>
      <c r="BY81">
        <v>0.60765391014975045</v>
      </c>
      <c r="BZ81">
        <v>0.47276760953965608</v>
      </c>
      <c r="CA81">
        <v>12.29504785684561</v>
      </c>
      <c r="CB81">
        <v>10.047232625884311</v>
      </c>
      <c r="CC81">
        <v>5.2917192097519967</v>
      </c>
      <c r="CD81">
        <v>4.2580916351408158</v>
      </c>
      <c r="CE81">
        <v>7.0033286470936131</v>
      </c>
      <c r="CF81">
        <v>5.789140990743495</v>
      </c>
      <c r="CG81">
        <v>12.77041895895049</v>
      </c>
      <c r="CH81">
        <v>13.411129919593741</v>
      </c>
      <c r="CI81">
        <v>1.556141062018646</v>
      </c>
      <c r="CJ81">
        <v>1.9114308877178761</v>
      </c>
      <c r="CK81">
        <v>8.4920956627482766E-2</v>
      </c>
      <c r="CL81">
        <v>0.1323469801378192</v>
      </c>
    </row>
    <row r="82" spans="1:90" x14ac:dyDescent="0.45">
      <c r="A82" t="s">
        <v>695</v>
      </c>
      <c r="B82">
        <v>1647133200</v>
      </c>
      <c r="C82" t="s">
        <v>540</v>
      </c>
      <c r="D82" t="s">
        <v>65</v>
      </c>
      <c r="E82" t="s">
        <v>66</v>
      </c>
      <c r="F82" t="s">
        <v>112</v>
      </c>
      <c r="G82" t="s">
        <v>96</v>
      </c>
      <c r="H82" t="s">
        <v>130</v>
      </c>
      <c r="I82">
        <v>0.52</v>
      </c>
      <c r="J82">
        <v>0.51387512307052541</v>
      </c>
      <c r="K82">
        <v>0.25504486424026651</v>
      </c>
      <c r="L82">
        <v>0.23108001268920811</v>
      </c>
      <c r="M82">
        <v>10</v>
      </c>
      <c r="N82">
        <v>1.29</v>
      </c>
      <c r="O82">
        <v>1.27</v>
      </c>
      <c r="P82">
        <v>1.25</v>
      </c>
      <c r="Q82">
        <v>1.1000000000000001</v>
      </c>
      <c r="R82" t="s">
        <v>1352</v>
      </c>
      <c r="S82">
        <v>2</v>
      </c>
      <c r="T82">
        <v>1</v>
      </c>
      <c r="U82">
        <v>3</v>
      </c>
      <c r="V82">
        <v>2</v>
      </c>
      <c r="W82">
        <v>1</v>
      </c>
      <c r="X82">
        <v>1</v>
      </c>
      <c r="Y82" t="s">
        <v>541</v>
      </c>
      <c r="Z82">
        <v>30</v>
      </c>
      <c r="AA82">
        <v>9</v>
      </c>
      <c r="AB82">
        <v>6</v>
      </c>
      <c r="AC82">
        <v>3</v>
      </c>
      <c r="AD82">
        <v>0</v>
      </c>
      <c r="AE82">
        <v>2</v>
      </c>
      <c r="AF82">
        <v>0</v>
      </c>
      <c r="AG82">
        <v>0</v>
      </c>
      <c r="AH82">
        <v>3</v>
      </c>
      <c r="AI82">
        <v>0</v>
      </c>
      <c r="AJ82">
        <v>2</v>
      </c>
      <c r="AK82">
        <v>19</v>
      </c>
      <c r="AL82">
        <v>15</v>
      </c>
      <c r="AM82">
        <v>9</v>
      </c>
      <c r="AN82">
        <v>6</v>
      </c>
      <c r="AO82">
        <v>10</v>
      </c>
      <c r="AP82">
        <v>9</v>
      </c>
      <c r="AQ82">
        <v>6</v>
      </c>
      <c r="AR82">
        <v>9</v>
      </c>
      <c r="AS82">
        <v>51</v>
      </c>
      <c r="AT82">
        <v>49</v>
      </c>
      <c r="AU82">
        <v>2.09</v>
      </c>
      <c r="AV82">
        <v>1.59</v>
      </c>
      <c r="AW82">
        <v>2.52</v>
      </c>
      <c r="AX82">
        <v>55</v>
      </c>
      <c r="AY82">
        <v>80</v>
      </c>
      <c r="AZ82">
        <v>48</v>
      </c>
      <c r="BA82">
        <v>24</v>
      </c>
      <c r="BB82">
        <v>7</v>
      </c>
      <c r="BC82">
        <v>28</v>
      </c>
      <c r="BD82">
        <v>83</v>
      </c>
      <c r="BE82">
        <v>35</v>
      </c>
      <c r="BF82">
        <v>83</v>
      </c>
      <c r="BG82">
        <v>8.73</v>
      </c>
      <c r="BH82">
        <v>5.13</v>
      </c>
      <c r="BI82">
        <v>1.89</v>
      </c>
      <c r="BJ82">
        <v>3.7</v>
      </c>
      <c r="BK82">
        <v>4.0599999999999996</v>
      </c>
      <c r="BL82">
        <v>1.5225406030003738E-2</v>
      </c>
      <c r="BM82">
        <v>1.33</v>
      </c>
      <c r="BN82">
        <v>2.06</v>
      </c>
      <c r="BO82">
        <v>3.75</v>
      </c>
      <c r="BP82">
        <v>6.5</v>
      </c>
      <c r="BQ82">
        <v>1.9</v>
      </c>
      <c r="BR82">
        <v>1.85</v>
      </c>
      <c r="BS82" t="s">
        <v>116</v>
      </c>
      <c r="BT82">
        <v>1.8614830167843088</v>
      </c>
      <c r="BU82">
        <v>0.87079851622593896</v>
      </c>
      <c r="BV82">
        <v>2.5967403582378576</v>
      </c>
      <c r="BW82">
        <v>1.625948039373891</v>
      </c>
      <c r="BX82">
        <v>0.97079231886396644</v>
      </c>
      <c r="BY82">
        <v>0.71433182698515174</v>
      </c>
      <c r="BZ82">
        <v>0.43011620400258233</v>
      </c>
      <c r="CA82">
        <v>13.39951055368614</v>
      </c>
      <c r="CB82">
        <v>9.4252064851636579</v>
      </c>
      <c r="CC82">
        <v>5.7628422023992618</v>
      </c>
      <c r="CD82">
        <v>3.9375576745616732</v>
      </c>
      <c r="CE82">
        <v>7.636668351286878</v>
      </c>
      <c r="CF82">
        <v>5.4876488106019847</v>
      </c>
      <c r="CG82">
        <v>12.460420531849101</v>
      </c>
      <c r="CH82">
        <v>13.44897959183673</v>
      </c>
      <c r="CI82">
        <v>1.462202380952381</v>
      </c>
      <c r="CJ82">
        <v>2.01547619047619</v>
      </c>
      <c r="CK82">
        <v>7.7380952380952384E-2</v>
      </c>
      <c r="CL82">
        <v>0.13754093480202439</v>
      </c>
    </row>
    <row r="83" spans="1:90" x14ac:dyDescent="0.45">
      <c r="A83" t="s">
        <v>695</v>
      </c>
      <c r="B83">
        <v>1647140400</v>
      </c>
      <c r="C83" t="s">
        <v>542</v>
      </c>
      <c r="D83" t="s">
        <v>65</v>
      </c>
      <c r="E83" t="s">
        <v>66</v>
      </c>
      <c r="F83" t="s">
        <v>90</v>
      </c>
      <c r="G83" t="s">
        <v>68</v>
      </c>
      <c r="H83" t="s">
        <v>74</v>
      </c>
      <c r="I83">
        <v>0.38</v>
      </c>
      <c r="J83">
        <v>0.38018539817432806</v>
      </c>
      <c r="K83">
        <v>0.26745091043984037</v>
      </c>
      <c r="L83">
        <v>0.35236369138583162</v>
      </c>
      <c r="M83">
        <v>10</v>
      </c>
      <c r="N83">
        <v>1.38</v>
      </c>
      <c r="O83">
        <v>1.29</v>
      </c>
      <c r="P83">
        <v>1.47</v>
      </c>
      <c r="Q83">
        <v>1.53</v>
      </c>
      <c r="R83" t="s">
        <v>1348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AA83">
        <v>7</v>
      </c>
      <c r="AB83">
        <v>2</v>
      </c>
      <c r="AC83">
        <v>3</v>
      </c>
      <c r="AD83">
        <v>0</v>
      </c>
      <c r="AE83">
        <v>1</v>
      </c>
      <c r="AF83">
        <v>1</v>
      </c>
      <c r="AG83">
        <v>1</v>
      </c>
      <c r="AH83">
        <v>2</v>
      </c>
      <c r="AI83">
        <v>1</v>
      </c>
      <c r="AJ83">
        <v>1</v>
      </c>
      <c r="AK83">
        <v>16</v>
      </c>
      <c r="AL83">
        <v>8</v>
      </c>
      <c r="AM83">
        <v>3</v>
      </c>
      <c r="AN83">
        <v>4</v>
      </c>
      <c r="AO83">
        <v>13</v>
      </c>
      <c r="AP83">
        <v>4</v>
      </c>
      <c r="AQ83">
        <v>18</v>
      </c>
      <c r="AR83">
        <v>14</v>
      </c>
      <c r="AS83">
        <v>64</v>
      </c>
      <c r="AT83">
        <v>36</v>
      </c>
      <c r="AU83">
        <v>1.6</v>
      </c>
      <c r="AV83">
        <v>0.95</v>
      </c>
      <c r="AW83">
        <v>2.35</v>
      </c>
      <c r="AX83">
        <v>59</v>
      </c>
      <c r="AY83">
        <v>71</v>
      </c>
      <c r="AZ83">
        <v>49</v>
      </c>
      <c r="BA83">
        <v>19</v>
      </c>
      <c r="BB83">
        <v>8</v>
      </c>
      <c r="BC83">
        <v>48</v>
      </c>
      <c r="BD83">
        <v>75</v>
      </c>
      <c r="BE83">
        <v>27</v>
      </c>
      <c r="BF83">
        <v>67</v>
      </c>
      <c r="BG83">
        <v>9.06</v>
      </c>
      <c r="BH83">
        <v>5.12</v>
      </c>
      <c r="BI83">
        <v>2.52</v>
      </c>
      <c r="BJ83">
        <v>3.52</v>
      </c>
      <c r="BK83">
        <v>2.71</v>
      </c>
      <c r="BL83">
        <v>1.6639998651068726E-2</v>
      </c>
      <c r="BM83">
        <v>1.42</v>
      </c>
      <c r="BN83">
        <v>2.08</v>
      </c>
      <c r="BO83">
        <v>4.33</v>
      </c>
      <c r="BP83">
        <v>7.5</v>
      </c>
      <c r="BQ83">
        <v>1.95</v>
      </c>
      <c r="BR83">
        <v>1.83</v>
      </c>
      <c r="BS83" t="s">
        <v>94</v>
      </c>
      <c r="BT83">
        <v>1.464160929441638</v>
      </c>
      <c r="BU83">
        <v>1.2477119808919459</v>
      </c>
      <c r="BV83">
        <v>2.4900895140664963</v>
      </c>
      <c r="BW83">
        <v>1.330562659846547</v>
      </c>
      <c r="BX83">
        <v>1.1595268542199491</v>
      </c>
      <c r="BY83">
        <v>0.59053607588191415</v>
      </c>
      <c r="BZ83">
        <v>0.50069274219332838</v>
      </c>
      <c r="CA83">
        <v>11.79715236686391</v>
      </c>
      <c r="CB83">
        <v>10.317122781065089</v>
      </c>
      <c r="CC83">
        <v>5.0637025966747622</v>
      </c>
      <c r="CD83">
        <v>4.4674014571268454</v>
      </c>
      <c r="CE83">
        <v>6.7334497701891483</v>
      </c>
      <c r="CF83">
        <v>5.849721323938244</v>
      </c>
      <c r="CG83">
        <v>12.89644194756554</v>
      </c>
      <c r="CH83">
        <v>13.3434456928839</v>
      </c>
      <c r="CI83">
        <v>1.6144382124117971</v>
      </c>
      <c r="CJ83">
        <v>1.9032024606477289</v>
      </c>
      <c r="CK83">
        <v>9.372172969060974E-2</v>
      </c>
      <c r="CL83">
        <v>0.11669983716301791</v>
      </c>
    </row>
    <row r="84" spans="1:90" x14ac:dyDescent="0.45">
      <c r="A84" t="s">
        <v>695</v>
      </c>
      <c r="B84">
        <v>1647194400</v>
      </c>
      <c r="C84" t="s">
        <v>543</v>
      </c>
      <c r="D84" t="s">
        <v>65</v>
      </c>
      <c r="E84" t="s">
        <v>66</v>
      </c>
      <c r="F84" t="s">
        <v>79</v>
      </c>
      <c r="G84" t="s">
        <v>84</v>
      </c>
      <c r="H84" t="s">
        <v>158</v>
      </c>
      <c r="I84">
        <v>0.32</v>
      </c>
      <c r="J84">
        <v>0.32659932659932661</v>
      </c>
      <c r="K84">
        <v>0.265993265993266</v>
      </c>
      <c r="L84">
        <v>0.40740740740740738</v>
      </c>
      <c r="M84">
        <v>10</v>
      </c>
      <c r="N84">
        <v>1.33</v>
      </c>
      <c r="O84">
        <v>1.46</v>
      </c>
      <c r="P84">
        <v>1.17</v>
      </c>
      <c r="Q84">
        <v>1.42</v>
      </c>
      <c r="R84" t="s">
        <v>1351</v>
      </c>
      <c r="S84">
        <v>0</v>
      </c>
      <c r="T84">
        <v>3</v>
      </c>
      <c r="U84">
        <v>3</v>
      </c>
      <c r="V84">
        <v>1</v>
      </c>
      <c r="W84">
        <v>0</v>
      </c>
      <c r="X84">
        <v>1</v>
      </c>
      <c r="Z84" t="s">
        <v>544</v>
      </c>
      <c r="AA84">
        <v>5</v>
      </c>
      <c r="AB84">
        <v>5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12</v>
      </c>
      <c r="AL84">
        <v>14</v>
      </c>
      <c r="AM84">
        <v>4</v>
      </c>
      <c r="AN84">
        <v>5</v>
      </c>
      <c r="AO84">
        <v>8</v>
      </c>
      <c r="AP84">
        <v>9</v>
      </c>
      <c r="AQ84">
        <v>10</v>
      </c>
      <c r="AR84">
        <v>14</v>
      </c>
      <c r="AS84">
        <v>55</v>
      </c>
      <c r="AT84">
        <v>45</v>
      </c>
      <c r="AU84">
        <v>1.23</v>
      </c>
      <c r="AV84">
        <v>1.52</v>
      </c>
      <c r="AW84">
        <v>2.97</v>
      </c>
      <c r="AX84">
        <v>77</v>
      </c>
      <c r="AY84">
        <v>89</v>
      </c>
      <c r="AZ84">
        <v>69</v>
      </c>
      <c r="BA84">
        <v>37</v>
      </c>
      <c r="BB84">
        <v>8</v>
      </c>
      <c r="BC84">
        <v>61</v>
      </c>
      <c r="BD84">
        <v>76</v>
      </c>
      <c r="BE84">
        <v>44</v>
      </c>
      <c r="BF84">
        <v>88</v>
      </c>
      <c r="BG84">
        <v>10.27</v>
      </c>
      <c r="BH84">
        <v>5.62</v>
      </c>
      <c r="BI84">
        <v>2.75</v>
      </c>
      <c r="BJ84">
        <v>3.3</v>
      </c>
      <c r="BK84">
        <v>2.25</v>
      </c>
      <c r="BL84">
        <v>3.7037037037037056E-2</v>
      </c>
      <c r="BM84">
        <v>1.29</v>
      </c>
      <c r="BN84">
        <v>2</v>
      </c>
      <c r="BO84">
        <v>3</v>
      </c>
      <c r="BP84">
        <v>5.5</v>
      </c>
      <c r="BQ84">
        <v>1.67</v>
      </c>
      <c r="BR84">
        <v>2.1</v>
      </c>
      <c r="BS84" t="s">
        <v>140</v>
      </c>
      <c r="BT84">
        <v>1.274681051426811</v>
      </c>
      <c r="BU84">
        <v>1.4392482240810365</v>
      </c>
      <c r="BV84">
        <v>2.5313454284174597</v>
      </c>
      <c r="BW84">
        <v>1.210167055864918</v>
      </c>
      <c r="BX84">
        <v>1.3211783725525419</v>
      </c>
      <c r="BY84">
        <v>0.53135669362084459</v>
      </c>
      <c r="BZ84">
        <v>0.55633423180592989</v>
      </c>
      <c r="CA84">
        <v>11.21109010712035</v>
      </c>
      <c r="CB84">
        <v>11.01700787401575</v>
      </c>
      <c r="CC84">
        <v>4.6792332268370611</v>
      </c>
      <c r="CD84">
        <v>4.7080804854679013</v>
      </c>
      <c r="CE84">
        <v>6.5318568802832893</v>
      </c>
      <c r="CF84">
        <v>6.3089273885478487</v>
      </c>
      <c r="CG84">
        <v>12.72547770700637</v>
      </c>
      <c r="CH84">
        <v>13.06847133757962</v>
      </c>
      <c r="CI84">
        <v>1.6902356902356901</v>
      </c>
      <c r="CJ84">
        <v>1.8050198959289869</v>
      </c>
      <c r="CK84">
        <v>0.105907560453015</v>
      </c>
      <c r="CL84">
        <v>0.1141720232629324</v>
      </c>
    </row>
    <row r="85" spans="1:90" x14ac:dyDescent="0.45">
      <c r="A85" t="s">
        <v>695</v>
      </c>
      <c r="B85">
        <v>1647212400</v>
      </c>
      <c r="C85" t="s">
        <v>545</v>
      </c>
      <c r="D85" t="s">
        <v>65</v>
      </c>
      <c r="E85" t="s">
        <v>66</v>
      </c>
      <c r="F85" t="s">
        <v>91</v>
      </c>
      <c r="G85" t="s">
        <v>102</v>
      </c>
      <c r="H85" t="s">
        <v>98</v>
      </c>
      <c r="I85">
        <v>0.32</v>
      </c>
      <c r="J85">
        <v>0.32031562119357337</v>
      </c>
      <c r="K85">
        <v>0.30216371240691509</v>
      </c>
      <c r="L85">
        <v>0.3775206663995116</v>
      </c>
      <c r="M85">
        <v>10</v>
      </c>
      <c r="N85">
        <v>0.57999999999999996</v>
      </c>
      <c r="O85">
        <v>1.85</v>
      </c>
      <c r="P85">
        <v>1.1100000000000001</v>
      </c>
      <c r="Q85">
        <v>1.42</v>
      </c>
      <c r="R85" t="s">
        <v>1352</v>
      </c>
      <c r="S85">
        <v>2</v>
      </c>
      <c r="T85">
        <v>1</v>
      </c>
      <c r="U85">
        <v>3</v>
      </c>
      <c r="V85">
        <v>1</v>
      </c>
      <c r="W85">
        <v>1</v>
      </c>
      <c r="X85">
        <v>0</v>
      </c>
      <c r="Y85" t="s">
        <v>546</v>
      </c>
      <c r="Z85">
        <v>88</v>
      </c>
      <c r="AA85">
        <v>2</v>
      </c>
      <c r="AB85">
        <v>11</v>
      </c>
      <c r="AC85">
        <v>1</v>
      </c>
      <c r="AD85">
        <v>0</v>
      </c>
      <c r="AE85">
        <v>2</v>
      </c>
      <c r="AF85">
        <v>0</v>
      </c>
      <c r="AG85">
        <v>1</v>
      </c>
      <c r="AH85">
        <v>0</v>
      </c>
      <c r="AI85">
        <v>2</v>
      </c>
      <c r="AJ85">
        <v>0</v>
      </c>
      <c r="AK85">
        <v>13</v>
      </c>
      <c r="AL85">
        <v>21</v>
      </c>
      <c r="AM85">
        <v>7</v>
      </c>
      <c r="AN85">
        <v>6</v>
      </c>
      <c r="AO85">
        <v>6</v>
      </c>
      <c r="AP85">
        <v>15</v>
      </c>
      <c r="AQ85">
        <v>7</v>
      </c>
      <c r="AR85">
        <v>14</v>
      </c>
      <c r="AS85">
        <v>34</v>
      </c>
      <c r="AT85">
        <v>66</v>
      </c>
      <c r="AU85">
        <v>1.55</v>
      </c>
      <c r="AV85">
        <v>2.16</v>
      </c>
      <c r="AW85">
        <v>2.41</v>
      </c>
      <c r="AX85">
        <v>40</v>
      </c>
      <c r="AY85">
        <v>76</v>
      </c>
      <c r="AZ85">
        <v>24</v>
      </c>
      <c r="BA85">
        <v>20</v>
      </c>
      <c r="BB85">
        <v>13</v>
      </c>
      <c r="BC85">
        <v>28</v>
      </c>
      <c r="BD85">
        <v>65</v>
      </c>
      <c r="BE85">
        <v>36</v>
      </c>
      <c r="BF85">
        <v>80</v>
      </c>
      <c r="BG85">
        <v>8.3699999999999992</v>
      </c>
      <c r="BH85">
        <v>5.82</v>
      </c>
      <c r="BI85">
        <v>2.89</v>
      </c>
      <c r="BJ85">
        <v>3.05</v>
      </c>
      <c r="BK85">
        <v>2.48</v>
      </c>
      <c r="BL85">
        <v>2.5705140052101338E-2</v>
      </c>
      <c r="BM85">
        <v>1.4</v>
      </c>
      <c r="BN85">
        <v>2.38</v>
      </c>
      <c r="BO85">
        <v>4</v>
      </c>
      <c r="BP85">
        <v>8</v>
      </c>
      <c r="BQ85">
        <v>1.91</v>
      </c>
      <c r="BR85">
        <v>1.8</v>
      </c>
      <c r="BS85" t="s">
        <v>144</v>
      </c>
      <c r="BT85">
        <v>1.274681051426811</v>
      </c>
      <c r="BU85">
        <v>1.4392482240810365</v>
      </c>
      <c r="BV85">
        <v>2.5313454284174597</v>
      </c>
      <c r="BW85">
        <v>1.210167055864918</v>
      </c>
      <c r="BX85">
        <v>1.3211783725525419</v>
      </c>
      <c r="BY85">
        <v>0.53135669362084459</v>
      </c>
      <c r="BZ85">
        <v>0.55633423180592989</v>
      </c>
      <c r="CA85">
        <v>11.21109010712035</v>
      </c>
      <c r="CB85">
        <v>11.01700787401575</v>
      </c>
      <c r="CC85">
        <v>4.6792332268370611</v>
      </c>
      <c r="CD85">
        <v>4.7080804854679013</v>
      </c>
      <c r="CE85">
        <v>6.5318568802832893</v>
      </c>
      <c r="CF85">
        <v>6.3089273885478487</v>
      </c>
      <c r="CG85">
        <v>12.72547770700637</v>
      </c>
      <c r="CH85">
        <v>13.06847133757962</v>
      </c>
      <c r="CI85">
        <v>1.6902356902356901</v>
      </c>
      <c r="CJ85">
        <v>1.8050198959289869</v>
      </c>
      <c r="CK85">
        <v>0.105907560453015</v>
      </c>
      <c r="CL85">
        <v>0.1141720232629324</v>
      </c>
    </row>
    <row r="86" spans="1:90" x14ac:dyDescent="0.45">
      <c r="A86" t="s">
        <v>695</v>
      </c>
      <c r="B86">
        <v>1647219600</v>
      </c>
      <c r="C86" t="s">
        <v>547</v>
      </c>
      <c r="D86" t="s">
        <v>65</v>
      </c>
      <c r="E86" t="s">
        <v>66</v>
      </c>
      <c r="F86" t="s">
        <v>73</v>
      </c>
      <c r="G86" t="s">
        <v>106</v>
      </c>
      <c r="H86" t="s">
        <v>175</v>
      </c>
      <c r="I86">
        <v>0.48</v>
      </c>
      <c r="J86">
        <v>0.48236919665491096</v>
      </c>
      <c r="K86">
        <v>0.27519541805256093</v>
      </c>
      <c r="L86">
        <v>0.24243538529252812</v>
      </c>
      <c r="M86">
        <v>10</v>
      </c>
      <c r="N86">
        <v>1.47</v>
      </c>
      <c r="O86">
        <v>0.67</v>
      </c>
      <c r="P86">
        <v>1.58</v>
      </c>
      <c r="Q86">
        <v>0.53</v>
      </c>
      <c r="R86" t="s">
        <v>1352</v>
      </c>
      <c r="S86">
        <v>4</v>
      </c>
      <c r="T86">
        <v>0</v>
      </c>
      <c r="U86">
        <v>4</v>
      </c>
      <c r="V86">
        <v>1</v>
      </c>
      <c r="W86">
        <v>1</v>
      </c>
      <c r="X86">
        <v>0</v>
      </c>
      <c r="Y86" t="s">
        <v>548</v>
      </c>
      <c r="AA86">
        <v>3</v>
      </c>
      <c r="AB86">
        <v>4</v>
      </c>
      <c r="AC86">
        <v>3</v>
      </c>
      <c r="AD86">
        <v>0</v>
      </c>
      <c r="AE86">
        <v>1</v>
      </c>
      <c r="AF86">
        <v>0</v>
      </c>
      <c r="AG86">
        <v>1</v>
      </c>
      <c r="AH86">
        <v>2</v>
      </c>
      <c r="AI86">
        <v>0</v>
      </c>
      <c r="AJ86">
        <v>1</v>
      </c>
      <c r="AK86">
        <v>13</v>
      </c>
      <c r="AL86">
        <v>12</v>
      </c>
      <c r="AM86">
        <v>7</v>
      </c>
      <c r="AN86">
        <v>3</v>
      </c>
      <c r="AO86">
        <v>6</v>
      </c>
      <c r="AP86">
        <v>9</v>
      </c>
      <c r="AQ86">
        <v>13</v>
      </c>
      <c r="AR86">
        <v>15</v>
      </c>
      <c r="AS86">
        <v>45</v>
      </c>
      <c r="AT86">
        <v>55</v>
      </c>
      <c r="AU86">
        <v>1.63</v>
      </c>
      <c r="AV86">
        <v>1.27</v>
      </c>
      <c r="AW86">
        <v>2.68</v>
      </c>
      <c r="AX86">
        <v>63</v>
      </c>
      <c r="AY86">
        <v>90</v>
      </c>
      <c r="AZ86">
        <v>45</v>
      </c>
      <c r="BA86">
        <v>26</v>
      </c>
      <c r="BB86">
        <v>14</v>
      </c>
      <c r="BC86">
        <v>26</v>
      </c>
      <c r="BD86">
        <v>65</v>
      </c>
      <c r="BE86">
        <v>51</v>
      </c>
      <c r="BF86">
        <v>86</v>
      </c>
      <c r="BG86">
        <v>9.65</v>
      </c>
      <c r="BH86">
        <v>4.1399999999999997</v>
      </c>
      <c r="BI86">
        <v>1.96</v>
      </c>
      <c r="BJ86">
        <v>3.3</v>
      </c>
      <c r="BK86">
        <v>3.7</v>
      </c>
      <c r="BL86">
        <v>2.7834884977742114E-2</v>
      </c>
      <c r="BM86">
        <v>1.33</v>
      </c>
      <c r="BN86">
        <v>2.11</v>
      </c>
      <c r="BO86">
        <v>3.6</v>
      </c>
      <c r="BP86">
        <v>6</v>
      </c>
      <c r="BQ86">
        <v>1.82</v>
      </c>
      <c r="BR86">
        <v>1.88</v>
      </c>
      <c r="BS86" t="s">
        <v>142</v>
      </c>
      <c r="BT86">
        <v>1.743992017160418</v>
      </c>
      <c r="BU86">
        <v>0.97803937284245479</v>
      </c>
      <c r="BV86">
        <v>2.5271929824561399</v>
      </c>
      <c r="BW86">
        <v>1.510877192982456</v>
      </c>
      <c r="BX86">
        <v>1.0163157894736841</v>
      </c>
      <c r="BY86">
        <v>0.67350877192982461</v>
      </c>
      <c r="BZ86">
        <v>0.4442105263157895</v>
      </c>
      <c r="CA86">
        <v>12.80980392156863</v>
      </c>
      <c r="CB86">
        <v>9.6872549019607845</v>
      </c>
      <c r="CC86">
        <v>5.6491169610129957</v>
      </c>
      <c r="CD86">
        <v>4.1379540153282237</v>
      </c>
      <c r="CE86">
        <v>7.1606869605556343</v>
      </c>
      <c r="CF86">
        <v>5.5493008866325608</v>
      </c>
      <c r="CG86">
        <v>12.9029029029029</v>
      </c>
      <c r="CH86">
        <v>13.75508842175509</v>
      </c>
      <c r="CI86">
        <v>1.5287356321839081</v>
      </c>
      <c r="CJ86">
        <v>1.9664750957854411</v>
      </c>
      <c r="CK86">
        <v>8.8441890166028103E-2</v>
      </c>
      <c r="CL86">
        <v>0.13409961685823751</v>
      </c>
    </row>
    <row r="87" spans="1:90" x14ac:dyDescent="0.45">
      <c r="A87" t="s">
        <v>695</v>
      </c>
      <c r="B87">
        <v>1647399960</v>
      </c>
      <c r="C87" t="s">
        <v>549</v>
      </c>
      <c r="D87" t="s">
        <v>65</v>
      </c>
      <c r="E87" t="s">
        <v>66</v>
      </c>
      <c r="F87" t="s">
        <v>101</v>
      </c>
      <c r="G87" t="s">
        <v>78</v>
      </c>
      <c r="H87" t="s">
        <v>138</v>
      </c>
      <c r="I87">
        <v>0.64</v>
      </c>
      <c r="J87">
        <v>0.63684863122039237</v>
      </c>
      <c r="K87">
        <v>0.21887224858510218</v>
      </c>
      <c r="L87">
        <v>0.14427912019450548</v>
      </c>
      <c r="M87">
        <v>5</v>
      </c>
      <c r="N87">
        <v>1.64</v>
      </c>
      <c r="O87">
        <v>0.75</v>
      </c>
      <c r="P87">
        <v>1.79</v>
      </c>
      <c r="Q87">
        <v>0.71</v>
      </c>
      <c r="R87" t="s">
        <v>1352</v>
      </c>
      <c r="S87">
        <v>3</v>
      </c>
      <c r="T87">
        <v>0</v>
      </c>
      <c r="U87">
        <v>3</v>
      </c>
      <c r="V87">
        <v>0</v>
      </c>
      <c r="W87">
        <v>0</v>
      </c>
      <c r="X87">
        <v>0</v>
      </c>
      <c r="Y87" t="s">
        <v>550</v>
      </c>
      <c r="AA87">
        <v>14</v>
      </c>
      <c r="AB87">
        <v>0</v>
      </c>
      <c r="AC87">
        <v>2</v>
      </c>
      <c r="AD87">
        <v>0</v>
      </c>
      <c r="AE87">
        <v>2</v>
      </c>
      <c r="AF87">
        <v>1</v>
      </c>
      <c r="AG87">
        <v>2</v>
      </c>
      <c r="AH87">
        <v>0</v>
      </c>
      <c r="AI87">
        <v>2</v>
      </c>
      <c r="AJ87">
        <v>1</v>
      </c>
      <c r="AK87">
        <v>17</v>
      </c>
      <c r="AL87">
        <v>3</v>
      </c>
      <c r="AM87">
        <v>12</v>
      </c>
      <c r="AN87">
        <v>2</v>
      </c>
      <c r="AO87">
        <v>5</v>
      </c>
      <c r="AP87">
        <v>1</v>
      </c>
      <c r="AQ87">
        <v>11</v>
      </c>
      <c r="AR87">
        <v>10</v>
      </c>
      <c r="AS87">
        <v>66</v>
      </c>
      <c r="AT87">
        <v>34</v>
      </c>
      <c r="AU87">
        <v>2.56</v>
      </c>
      <c r="AV87">
        <v>0.51</v>
      </c>
      <c r="AW87">
        <v>1.93</v>
      </c>
      <c r="AX87">
        <v>35</v>
      </c>
      <c r="AY87">
        <v>61</v>
      </c>
      <c r="AZ87">
        <v>27</v>
      </c>
      <c r="BA87">
        <v>16</v>
      </c>
      <c r="BB87">
        <v>0</v>
      </c>
      <c r="BC87">
        <v>16</v>
      </c>
      <c r="BD87">
        <v>53</v>
      </c>
      <c r="BE87">
        <v>36</v>
      </c>
      <c r="BF87">
        <v>82</v>
      </c>
      <c r="BG87">
        <v>8.0399999999999991</v>
      </c>
      <c r="BH87">
        <v>4.8899999999999997</v>
      </c>
      <c r="BI87">
        <v>1.49</v>
      </c>
      <c r="BJ87">
        <v>3.95</v>
      </c>
      <c r="BK87">
        <v>5.6</v>
      </c>
      <c r="BL87">
        <v>3.4292308376923097E-2</v>
      </c>
      <c r="BM87">
        <v>1.33</v>
      </c>
      <c r="BN87">
        <v>2.0499999999999998</v>
      </c>
      <c r="BO87">
        <v>3.75</v>
      </c>
      <c r="BP87">
        <v>7</v>
      </c>
      <c r="BQ87">
        <v>2.0499999999999998</v>
      </c>
      <c r="BR87">
        <v>1.7</v>
      </c>
      <c r="BS87" t="s">
        <v>104</v>
      </c>
      <c r="BT87">
        <v>2.1745910991837163</v>
      </c>
      <c r="BU87">
        <v>0.59796358565236019</v>
      </c>
      <c r="BV87">
        <v>2.8343749999999996</v>
      </c>
      <c r="BW87">
        <v>1.980803571428571</v>
      </c>
      <c r="BX87">
        <v>0.85357142857142854</v>
      </c>
      <c r="BY87">
        <v>0.8683035714285714</v>
      </c>
      <c r="BZ87">
        <v>0.36607142857142849</v>
      </c>
      <c r="CA87">
        <v>15.03980099502488</v>
      </c>
      <c r="CB87">
        <v>8.6326699834162515</v>
      </c>
      <c r="CC87">
        <v>6.5189234650967203</v>
      </c>
      <c r="CD87">
        <v>3.4507989907485279</v>
      </c>
      <c r="CE87">
        <v>8.5208775299281605</v>
      </c>
      <c r="CF87">
        <v>5.181870992667724</v>
      </c>
      <c r="CG87">
        <v>12.48566610455312</v>
      </c>
      <c r="CH87">
        <v>13.573355817875211</v>
      </c>
      <c r="CI87">
        <v>1.395273023634882</v>
      </c>
      <c r="CJ87">
        <v>2.0586797066014668</v>
      </c>
      <c r="CK87">
        <v>6.8459657701711488E-2</v>
      </c>
      <c r="CL87">
        <v>0.12713936430317849</v>
      </c>
    </row>
    <row r="88" spans="1:90" x14ac:dyDescent="0.45">
      <c r="A88" t="s">
        <v>695</v>
      </c>
      <c r="B88">
        <v>1647572700</v>
      </c>
      <c r="C88" t="s">
        <v>551</v>
      </c>
      <c r="D88" t="s">
        <v>65</v>
      </c>
      <c r="E88" t="s">
        <v>66</v>
      </c>
      <c r="F88" t="s">
        <v>67</v>
      </c>
      <c r="G88" t="s">
        <v>91</v>
      </c>
      <c r="H88" t="s">
        <v>130</v>
      </c>
      <c r="I88">
        <v>0.44</v>
      </c>
      <c r="J88">
        <v>0.43132295055371977</v>
      </c>
      <c r="K88">
        <v>0.28075236729082886</v>
      </c>
      <c r="L88">
        <v>0.28792468215545142</v>
      </c>
      <c r="M88">
        <v>11</v>
      </c>
      <c r="N88">
        <v>1.1499999999999999</v>
      </c>
      <c r="O88">
        <v>1.43</v>
      </c>
      <c r="P88">
        <v>1.24</v>
      </c>
      <c r="Q88">
        <v>1.25</v>
      </c>
      <c r="R88" t="s">
        <v>1352</v>
      </c>
      <c r="S88">
        <v>2</v>
      </c>
      <c r="T88">
        <v>1</v>
      </c>
      <c r="U88">
        <v>3</v>
      </c>
      <c r="V88">
        <v>0</v>
      </c>
      <c r="W88">
        <v>0</v>
      </c>
      <c r="X88">
        <v>0</v>
      </c>
      <c r="Y88" t="s">
        <v>552</v>
      </c>
      <c r="Z88">
        <v>67</v>
      </c>
      <c r="AA88">
        <v>2</v>
      </c>
      <c r="AB88">
        <v>3</v>
      </c>
      <c r="AC88">
        <v>2</v>
      </c>
      <c r="AD88">
        <v>0</v>
      </c>
      <c r="AE88">
        <v>2</v>
      </c>
      <c r="AF88">
        <v>1</v>
      </c>
      <c r="AG88">
        <v>2</v>
      </c>
      <c r="AH88">
        <v>0</v>
      </c>
      <c r="AI88">
        <v>2</v>
      </c>
      <c r="AJ88">
        <v>1</v>
      </c>
      <c r="AK88">
        <v>10</v>
      </c>
      <c r="AL88">
        <v>10</v>
      </c>
      <c r="AM88">
        <v>3</v>
      </c>
      <c r="AN88">
        <v>3</v>
      </c>
      <c r="AO88">
        <v>7</v>
      </c>
      <c r="AP88">
        <v>7</v>
      </c>
      <c r="AQ88">
        <v>17</v>
      </c>
      <c r="AR88">
        <v>12</v>
      </c>
      <c r="AS88">
        <v>49</v>
      </c>
      <c r="AT88">
        <v>51</v>
      </c>
      <c r="AU88">
        <v>1.05</v>
      </c>
      <c r="AV88">
        <v>1.1200000000000001</v>
      </c>
      <c r="AW88">
        <v>2.15</v>
      </c>
      <c r="AX88">
        <v>41</v>
      </c>
      <c r="AY88">
        <v>63</v>
      </c>
      <c r="AZ88">
        <v>37</v>
      </c>
      <c r="BA88">
        <v>22</v>
      </c>
      <c r="BB88">
        <v>8</v>
      </c>
      <c r="BC88">
        <v>26</v>
      </c>
      <c r="BD88">
        <v>67</v>
      </c>
      <c r="BE88">
        <v>29</v>
      </c>
      <c r="BF88">
        <v>63</v>
      </c>
      <c r="BG88">
        <v>7.6</v>
      </c>
      <c r="BH88">
        <v>5.27</v>
      </c>
      <c r="BI88">
        <v>2.2400000000000002</v>
      </c>
      <c r="BJ88">
        <v>3.38</v>
      </c>
      <c r="BK88">
        <v>3.3</v>
      </c>
      <c r="BL88">
        <v>1.5105620874851603E-2</v>
      </c>
      <c r="BM88">
        <v>1.36</v>
      </c>
      <c r="BN88">
        <v>2.35</v>
      </c>
      <c r="BO88">
        <v>3.75</v>
      </c>
      <c r="BP88">
        <v>7</v>
      </c>
      <c r="BQ88">
        <v>1.85</v>
      </c>
      <c r="BR88">
        <v>1.85</v>
      </c>
      <c r="BS88" t="s">
        <v>553</v>
      </c>
      <c r="BT88">
        <v>1.6395459745305552</v>
      </c>
      <c r="BU88">
        <v>1.0758429359324786</v>
      </c>
      <c r="BV88">
        <v>2.4807646356033461</v>
      </c>
      <c r="BW88">
        <v>1.4140979689366791</v>
      </c>
      <c r="BX88">
        <v>1.0666666666666671</v>
      </c>
      <c r="BY88">
        <v>0.62712066905615294</v>
      </c>
      <c r="BZ88">
        <v>0.46009557945041818</v>
      </c>
      <c r="CA88">
        <v>12.56969280146722</v>
      </c>
      <c r="CB88">
        <v>9.8695552498853729</v>
      </c>
      <c r="CC88">
        <v>5.2754256787850897</v>
      </c>
      <c r="CD88">
        <v>4.1279337321675103</v>
      </c>
      <c r="CE88">
        <v>7.2942671226821298</v>
      </c>
      <c r="CF88">
        <v>5.7416215177178627</v>
      </c>
      <c r="CG88">
        <v>12.897246007868549</v>
      </c>
      <c r="CH88">
        <v>13.507058551261281</v>
      </c>
      <c r="CI88">
        <v>1.576522702104098</v>
      </c>
      <c r="CJ88">
        <v>1.917165005537099</v>
      </c>
      <c r="CK88">
        <v>8.4385382059800659E-2</v>
      </c>
      <c r="CL88">
        <v>0.1233665559246955</v>
      </c>
    </row>
    <row r="89" spans="1:90" x14ac:dyDescent="0.45">
      <c r="A89" t="s">
        <v>695</v>
      </c>
      <c r="B89">
        <v>1647658800</v>
      </c>
      <c r="C89" t="s">
        <v>554</v>
      </c>
      <c r="D89" t="s">
        <v>65</v>
      </c>
      <c r="E89" t="s">
        <v>66</v>
      </c>
      <c r="F89" t="s">
        <v>102</v>
      </c>
      <c r="G89" t="s">
        <v>73</v>
      </c>
      <c r="H89" t="s">
        <v>122</v>
      </c>
      <c r="I89">
        <v>0.42</v>
      </c>
      <c r="J89">
        <v>0.42328322288114972</v>
      </c>
      <c r="K89">
        <v>0.28102332275340614</v>
      </c>
      <c r="L89">
        <v>0.29569345436544409</v>
      </c>
      <c r="M89">
        <v>11</v>
      </c>
      <c r="N89">
        <v>1.56</v>
      </c>
      <c r="O89">
        <v>1.1399999999999999</v>
      </c>
      <c r="P89">
        <v>1.38</v>
      </c>
      <c r="Q89">
        <v>1.1100000000000001</v>
      </c>
      <c r="R89" t="s">
        <v>1348</v>
      </c>
      <c r="S89">
        <v>2</v>
      </c>
      <c r="T89">
        <v>2</v>
      </c>
      <c r="U89">
        <v>4</v>
      </c>
      <c r="V89">
        <v>0</v>
      </c>
      <c r="W89">
        <v>0</v>
      </c>
      <c r="X89">
        <v>0</v>
      </c>
      <c r="Y89" t="s">
        <v>555</v>
      </c>
      <c r="Z89" t="s">
        <v>556</v>
      </c>
      <c r="AA89">
        <v>5</v>
      </c>
      <c r="AB89">
        <v>3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0</v>
      </c>
      <c r="AI89">
        <v>0</v>
      </c>
      <c r="AJ89">
        <v>2</v>
      </c>
      <c r="AK89">
        <v>22</v>
      </c>
      <c r="AL89">
        <v>15</v>
      </c>
      <c r="AM89">
        <v>6</v>
      </c>
      <c r="AN89">
        <v>7</v>
      </c>
      <c r="AO89">
        <v>16</v>
      </c>
      <c r="AP89">
        <v>8</v>
      </c>
      <c r="AQ89">
        <v>12</v>
      </c>
      <c r="AR89">
        <v>13</v>
      </c>
      <c r="AS89">
        <v>62</v>
      </c>
      <c r="AT89">
        <v>38</v>
      </c>
      <c r="AU89">
        <v>2.19</v>
      </c>
      <c r="AV89">
        <v>1.61</v>
      </c>
      <c r="AW89">
        <v>2.38</v>
      </c>
      <c r="AX89">
        <v>64</v>
      </c>
      <c r="AY89">
        <v>77</v>
      </c>
      <c r="AZ89">
        <v>44</v>
      </c>
      <c r="BA89">
        <v>17</v>
      </c>
      <c r="BB89">
        <v>4</v>
      </c>
      <c r="BC89">
        <v>30</v>
      </c>
      <c r="BD89">
        <v>60</v>
      </c>
      <c r="BE89">
        <v>47</v>
      </c>
      <c r="BF89">
        <v>87</v>
      </c>
      <c r="BG89">
        <v>11.89</v>
      </c>
      <c r="BH89">
        <v>5.76</v>
      </c>
      <c r="BI89">
        <v>2.1800000000000002</v>
      </c>
      <c r="BJ89">
        <v>3.16</v>
      </c>
      <c r="BK89">
        <v>3.02</v>
      </c>
      <c r="BL89">
        <v>3.5432373449125455E-2</v>
      </c>
      <c r="BM89">
        <v>1.31</v>
      </c>
      <c r="BN89">
        <v>2.0299999999999998</v>
      </c>
      <c r="BO89">
        <v>3.4</v>
      </c>
      <c r="BP89">
        <v>6.35</v>
      </c>
      <c r="BQ89">
        <v>1.77</v>
      </c>
      <c r="BR89">
        <v>1.94</v>
      </c>
      <c r="BS89" t="s">
        <v>124</v>
      </c>
      <c r="BT89">
        <v>1.5780106027030405</v>
      </c>
      <c r="BU89">
        <v>1.1353025412447635</v>
      </c>
      <c r="BV89">
        <v>2.4884649511978703</v>
      </c>
      <c r="BW89">
        <v>1.396960958296362</v>
      </c>
      <c r="BX89">
        <v>1.091503992901508</v>
      </c>
      <c r="BY89">
        <v>0.60765391014975045</v>
      </c>
      <c r="BZ89">
        <v>0.47276760953965608</v>
      </c>
      <c r="CA89">
        <v>12.29504785684561</v>
      </c>
      <c r="CB89">
        <v>10.047232625884311</v>
      </c>
      <c r="CC89">
        <v>5.2917192097519967</v>
      </c>
      <c r="CD89">
        <v>4.2580916351408158</v>
      </c>
      <c r="CE89">
        <v>7.0033286470936131</v>
      </c>
      <c r="CF89">
        <v>5.789140990743495</v>
      </c>
      <c r="CG89">
        <v>12.77041895895049</v>
      </c>
      <c r="CH89">
        <v>13.411129919593741</v>
      </c>
      <c r="CI89">
        <v>1.556141062018646</v>
      </c>
      <c r="CJ89">
        <v>1.9114308877178761</v>
      </c>
      <c r="CK89">
        <v>8.4920956627482766E-2</v>
      </c>
      <c r="CL89">
        <v>0.1323469801378192</v>
      </c>
    </row>
    <row r="90" spans="1:90" x14ac:dyDescent="0.45">
      <c r="A90" t="s">
        <v>695</v>
      </c>
      <c r="B90">
        <v>1647730800</v>
      </c>
      <c r="C90" t="s">
        <v>557</v>
      </c>
      <c r="D90" t="s">
        <v>65</v>
      </c>
      <c r="E90" t="s">
        <v>66</v>
      </c>
      <c r="F90" t="s">
        <v>96</v>
      </c>
      <c r="G90" t="s">
        <v>72</v>
      </c>
      <c r="H90" t="s">
        <v>133</v>
      </c>
      <c r="I90">
        <v>0.48</v>
      </c>
      <c r="J90">
        <v>0.4880406636598677</v>
      </c>
      <c r="K90">
        <v>0.27871266388926819</v>
      </c>
      <c r="L90">
        <v>0.23324667245086414</v>
      </c>
      <c r="M90">
        <v>11</v>
      </c>
      <c r="N90">
        <v>1.53</v>
      </c>
      <c r="O90">
        <v>1.1399999999999999</v>
      </c>
      <c r="P90">
        <v>1.58</v>
      </c>
      <c r="Q90">
        <v>1.28</v>
      </c>
      <c r="R90" t="s">
        <v>1351</v>
      </c>
      <c r="S90">
        <v>1</v>
      </c>
      <c r="T90">
        <v>3</v>
      </c>
      <c r="U90">
        <v>4</v>
      </c>
      <c r="V90">
        <v>2</v>
      </c>
      <c r="W90">
        <v>0</v>
      </c>
      <c r="X90">
        <v>2</v>
      </c>
      <c r="Y90">
        <v>69</v>
      </c>
      <c r="Z90" t="s">
        <v>558</v>
      </c>
      <c r="AA90">
        <v>5</v>
      </c>
      <c r="AB90">
        <v>1</v>
      </c>
      <c r="AC90">
        <v>1</v>
      </c>
      <c r="AD90">
        <v>0</v>
      </c>
      <c r="AE90">
        <v>4</v>
      </c>
      <c r="AF90">
        <v>0</v>
      </c>
      <c r="AG90">
        <v>0</v>
      </c>
      <c r="AH90">
        <v>1</v>
      </c>
      <c r="AI90">
        <v>3</v>
      </c>
      <c r="AJ90">
        <v>1</v>
      </c>
      <c r="AK90">
        <v>11</v>
      </c>
      <c r="AL90">
        <v>9</v>
      </c>
      <c r="AM90">
        <v>7</v>
      </c>
      <c r="AN90">
        <v>4</v>
      </c>
      <c r="AO90">
        <v>4</v>
      </c>
      <c r="AP90">
        <v>5</v>
      </c>
      <c r="AQ90">
        <v>7</v>
      </c>
      <c r="AR90">
        <v>15</v>
      </c>
      <c r="AS90">
        <v>57</v>
      </c>
      <c r="AT90">
        <v>43</v>
      </c>
      <c r="AU90">
        <v>1.38</v>
      </c>
      <c r="AV90">
        <v>1.08</v>
      </c>
      <c r="AW90">
        <v>2.21</v>
      </c>
      <c r="AX90">
        <v>42</v>
      </c>
      <c r="AY90">
        <v>62</v>
      </c>
      <c r="AZ90">
        <v>49</v>
      </c>
      <c r="BA90">
        <v>17</v>
      </c>
      <c r="BB90">
        <v>10</v>
      </c>
      <c r="BC90">
        <v>17</v>
      </c>
      <c r="BD90">
        <v>59</v>
      </c>
      <c r="BE90">
        <v>49</v>
      </c>
      <c r="BF90">
        <v>66</v>
      </c>
      <c r="BG90">
        <v>10.34</v>
      </c>
      <c r="BH90">
        <v>4.99</v>
      </c>
      <c r="BI90">
        <v>2.0099999999999998</v>
      </c>
      <c r="BJ90">
        <v>3.47</v>
      </c>
      <c r="BK90">
        <v>4.12</v>
      </c>
      <c r="BL90">
        <v>9.4717741510776197E-3</v>
      </c>
      <c r="BM90">
        <v>1.36</v>
      </c>
      <c r="BN90">
        <v>2.1</v>
      </c>
      <c r="BO90">
        <v>3.75</v>
      </c>
      <c r="BP90">
        <v>7</v>
      </c>
      <c r="BQ90">
        <v>1.91</v>
      </c>
      <c r="BR90">
        <v>1.8</v>
      </c>
      <c r="BS90" t="s">
        <v>99</v>
      </c>
      <c r="BT90">
        <v>1.743992017160418</v>
      </c>
      <c r="BU90">
        <v>0.97803937284245479</v>
      </c>
      <c r="BV90">
        <v>2.5271929824561399</v>
      </c>
      <c r="BW90">
        <v>1.510877192982456</v>
      </c>
      <c r="BX90">
        <v>1.0163157894736841</v>
      </c>
      <c r="BY90">
        <v>0.67350877192982461</v>
      </c>
      <c r="BZ90">
        <v>0.4442105263157895</v>
      </c>
      <c r="CA90">
        <v>12.80980392156863</v>
      </c>
      <c r="CB90">
        <v>9.6872549019607845</v>
      </c>
      <c r="CC90">
        <v>5.6491169610129957</v>
      </c>
      <c r="CD90">
        <v>4.1379540153282237</v>
      </c>
      <c r="CE90">
        <v>7.1606869605556343</v>
      </c>
      <c r="CF90">
        <v>5.5493008866325608</v>
      </c>
      <c r="CG90">
        <v>12.9029029029029</v>
      </c>
      <c r="CH90">
        <v>13.75508842175509</v>
      </c>
      <c r="CI90">
        <v>1.5287356321839081</v>
      </c>
      <c r="CJ90">
        <v>1.9664750957854411</v>
      </c>
      <c r="CK90">
        <v>8.8441890166028103E-2</v>
      </c>
      <c r="CL90">
        <v>0.13409961685823751</v>
      </c>
    </row>
    <row r="91" spans="1:90" x14ac:dyDescent="0.45">
      <c r="A91" t="s">
        <v>695</v>
      </c>
      <c r="B91">
        <v>1647738000</v>
      </c>
      <c r="C91" t="s">
        <v>559</v>
      </c>
      <c r="D91" t="s">
        <v>65</v>
      </c>
      <c r="E91" t="s">
        <v>66</v>
      </c>
      <c r="F91" t="s">
        <v>107</v>
      </c>
      <c r="G91" t="s">
        <v>101</v>
      </c>
      <c r="H91" t="s">
        <v>74</v>
      </c>
      <c r="I91">
        <v>0.44</v>
      </c>
      <c r="J91">
        <v>0.44562614859272587</v>
      </c>
      <c r="K91">
        <v>0.2767656247262188</v>
      </c>
      <c r="L91">
        <v>0.27760822668105534</v>
      </c>
      <c r="M91">
        <v>11</v>
      </c>
      <c r="N91">
        <v>2</v>
      </c>
      <c r="O91">
        <v>1.1399999999999999</v>
      </c>
      <c r="P91">
        <v>2</v>
      </c>
      <c r="Q91">
        <v>1.05</v>
      </c>
      <c r="R91" t="s">
        <v>1352</v>
      </c>
      <c r="S91">
        <v>2</v>
      </c>
      <c r="T91">
        <v>0</v>
      </c>
      <c r="U91">
        <v>2</v>
      </c>
      <c r="V91">
        <v>0</v>
      </c>
      <c r="W91">
        <v>0</v>
      </c>
      <c r="X91">
        <v>0</v>
      </c>
      <c r="Y91" t="s">
        <v>560</v>
      </c>
      <c r="AA91">
        <v>3</v>
      </c>
      <c r="AB91">
        <v>5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7</v>
      </c>
      <c r="AL91">
        <v>4</v>
      </c>
      <c r="AM91">
        <v>6</v>
      </c>
      <c r="AN91">
        <v>0</v>
      </c>
      <c r="AO91">
        <v>1</v>
      </c>
      <c r="AP91">
        <v>4</v>
      </c>
      <c r="AQ91">
        <v>4</v>
      </c>
      <c r="AR91">
        <v>5</v>
      </c>
      <c r="AS91">
        <v>67</v>
      </c>
      <c r="AT91">
        <v>33</v>
      </c>
      <c r="AU91">
        <v>1.05</v>
      </c>
      <c r="AV91">
        <v>0.27</v>
      </c>
      <c r="AW91">
        <v>2.52</v>
      </c>
      <c r="AX91">
        <v>59</v>
      </c>
      <c r="AY91">
        <v>76</v>
      </c>
      <c r="AZ91">
        <v>52</v>
      </c>
      <c r="BA91">
        <v>25</v>
      </c>
      <c r="BB91">
        <v>7</v>
      </c>
      <c r="BC91">
        <v>35</v>
      </c>
      <c r="BD91">
        <v>69</v>
      </c>
      <c r="BE91">
        <v>35</v>
      </c>
      <c r="BF91">
        <v>72</v>
      </c>
      <c r="BG91">
        <v>12.21</v>
      </c>
      <c r="BH91">
        <v>5.53</v>
      </c>
      <c r="BI91">
        <v>2.1800000000000002</v>
      </c>
      <c r="BJ91">
        <v>3.45</v>
      </c>
      <c r="BK91">
        <v>3.44</v>
      </c>
      <c r="BL91">
        <v>1.3089447737549312E-2</v>
      </c>
      <c r="BM91">
        <v>1.29</v>
      </c>
      <c r="BN91">
        <v>1.93</v>
      </c>
      <c r="BO91">
        <v>3</v>
      </c>
      <c r="BP91">
        <v>5.5</v>
      </c>
      <c r="BQ91">
        <v>1.7</v>
      </c>
      <c r="BR91">
        <v>2.0499999999999998</v>
      </c>
      <c r="BS91" t="s">
        <v>161</v>
      </c>
      <c r="BT91">
        <v>1.6395459745305552</v>
      </c>
      <c r="BU91">
        <v>1.0758429359324786</v>
      </c>
      <c r="BV91">
        <v>2.4807646356033461</v>
      </c>
      <c r="BW91">
        <v>1.4140979689366791</v>
      </c>
      <c r="BX91">
        <v>1.0666666666666671</v>
      </c>
      <c r="BY91">
        <v>0.62712066905615294</v>
      </c>
      <c r="BZ91">
        <v>0.46009557945041818</v>
      </c>
      <c r="CA91">
        <v>12.56969280146722</v>
      </c>
      <c r="CB91">
        <v>9.8695552498853729</v>
      </c>
      <c r="CC91">
        <v>5.2754256787850897</v>
      </c>
      <c r="CD91">
        <v>4.1279337321675103</v>
      </c>
      <c r="CE91">
        <v>7.2942671226821298</v>
      </c>
      <c r="CF91">
        <v>5.7416215177178627</v>
      </c>
      <c r="CG91">
        <v>12.897246007868549</v>
      </c>
      <c r="CH91">
        <v>13.507058551261281</v>
      </c>
      <c r="CI91">
        <v>1.576522702104098</v>
      </c>
      <c r="CJ91">
        <v>1.917165005537099</v>
      </c>
      <c r="CK91">
        <v>8.4385382059800659E-2</v>
      </c>
      <c r="CL91">
        <v>0.1233665559246955</v>
      </c>
    </row>
    <row r="92" spans="1:90" x14ac:dyDescent="0.45">
      <c r="A92" t="s">
        <v>695</v>
      </c>
      <c r="B92">
        <v>1647745200</v>
      </c>
      <c r="C92" t="s">
        <v>561</v>
      </c>
      <c r="D92" t="s">
        <v>65</v>
      </c>
      <c r="E92" t="s">
        <v>66</v>
      </c>
      <c r="F92" t="s">
        <v>84</v>
      </c>
      <c r="G92" t="s">
        <v>112</v>
      </c>
      <c r="H92" t="s">
        <v>175</v>
      </c>
      <c r="I92">
        <v>0.5</v>
      </c>
      <c r="J92">
        <v>0.49625905758674055</v>
      </c>
      <c r="K92">
        <v>0.27258792724348574</v>
      </c>
      <c r="L92">
        <v>0.23115301516977371</v>
      </c>
      <c r="M92">
        <v>11</v>
      </c>
      <c r="N92">
        <v>1.5</v>
      </c>
      <c r="O92">
        <v>1.46</v>
      </c>
      <c r="P92">
        <v>1.89</v>
      </c>
      <c r="Q92">
        <v>1.5</v>
      </c>
      <c r="R92" t="s">
        <v>1352</v>
      </c>
      <c r="S92">
        <v>1</v>
      </c>
      <c r="T92">
        <v>0</v>
      </c>
      <c r="U92">
        <v>1</v>
      </c>
      <c r="V92">
        <v>1</v>
      </c>
      <c r="W92">
        <v>1</v>
      </c>
      <c r="X92">
        <v>0</v>
      </c>
      <c r="Y92">
        <v>18</v>
      </c>
      <c r="AA92">
        <v>3</v>
      </c>
      <c r="AB92">
        <v>1</v>
      </c>
      <c r="AC92">
        <v>2</v>
      </c>
      <c r="AD92">
        <v>0</v>
      </c>
      <c r="AE92">
        <v>2</v>
      </c>
      <c r="AF92">
        <v>1</v>
      </c>
      <c r="AG92">
        <v>0</v>
      </c>
      <c r="AH92">
        <v>2</v>
      </c>
      <c r="AI92">
        <v>0</v>
      </c>
      <c r="AJ92">
        <v>3</v>
      </c>
      <c r="AK92">
        <v>11</v>
      </c>
      <c r="AL92">
        <v>9</v>
      </c>
      <c r="AM92">
        <v>6</v>
      </c>
      <c r="AN92">
        <v>5</v>
      </c>
      <c r="AO92">
        <v>5</v>
      </c>
      <c r="AP92">
        <v>4</v>
      </c>
      <c r="AQ92">
        <v>13</v>
      </c>
      <c r="AR92">
        <v>21</v>
      </c>
      <c r="AS92">
        <v>53</v>
      </c>
      <c r="AT92">
        <v>47</v>
      </c>
      <c r="AU92">
        <v>1.52</v>
      </c>
      <c r="AV92">
        <v>1.25</v>
      </c>
      <c r="AW92">
        <v>2.48</v>
      </c>
      <c r="AX92">
        <v>68</v>
      </c>
      <c r="AY92">
        <v>72</v>
      </c>
      <c r="AZ92">
        <v>44</v>
      </c>
      <c r="BA92">
        <v>28</v>
      </c>
      <c r="BB92">
        <v>8</v>
      </c>
      <c r="BC92">
        <v>44</v>
      </c>
      <c r="BD92">
        <v>76</v>
      </c>
      <c r="BE92">
        <v>24</v>
      </c>
      <c r="BF92">
        <v>61</v>
      </c>
      <c r="BG92">
        <v>8.8000000000000007</v>
      </c>
      <c r="BH92">
        <v>5.23</v>
      </c>
      <c r="BI92">
        <v>1.96</v>
      </c>
      <c r="BJ92">
        <v>3.49</v>
      </c>
      <c r="BK92">
        <v>4.08</v>
      </c>
      <c r="BL92">
        <v>1.3945024045912543E-2</v>
      </c>
      <c r="BM92">
        <v>1.36</v>
      </c>
      <c r="BN92">
        <v>2.1</v>
      </c>
      <c r="BO92">
        <v>4</v>
      </c>
      <c r="BP92">
        <v>7.5</v>
      </c>
      <c r="BQ92">
        <v>2</v>
      </c>
      <c r="BR92">
        <v>1.73</v>
      </c>
      <c r="BS92" t="s">
        <v>88</v>
      </c>
      <c r="BT92">
        <v>1.8001937313313046</v>
      </c>
      <c r="BU92">
        <v>0.9268512077832276</v>
      </c>
      <c r="BV92">
        <v>2.5202079886551649</v>
      </c>
      <c r="BW92">
        <v>1.5342708579532029</v>
      </c>
      <c r="BX92">
        <v>0.98593713070196176</v>
      </c>
      <c r="BY92">
        <v>0.67513590167809023</v>
      </c>
      <c r="BZ92">
        <v>0.4286727337194185</v>
      </c>
      <c r="CA92">
        <v>12.98669114272602</v>
      </c>
      <c r="CB92">
        <v>9.4167049105094076</v>
      </c>
      <c r="CC92">
        <v>5.6645716945996272</v>
      </c>
      <c r="CD92">
        <v>4.0242085661080074</v>
      </c>
      <c r="CE92">
        <v>7.3221194481263927</v>
      </c>
      <c r="CF92">
        <v>5.3924963444014002</v>
      </c>
      <c r="CG92">
        <v>12.508162313432839</v>
      </c>
      <c r="CH92">
        <v>13.36963619402985</v>
      </c>
      <c r="CI92">
        <v>1.4438014689517029</v>
      </c>
      <c r="CJ92">
        <v>1.9410193634542621</v>
      </c>
      <c r="CK92">
        <v>8.4130870242599604E-2</v>
      </c>
      <c r="CL92">
        <v>0.1275317160026708</v>
      </c>
    </row>
    <row r="93" spans="1:90" x14ac:dyDescent="0.45">
      <c r="A93" t="s">
        <v>695</v>
      </c>
      <c r="B93">
        <v>1647817200</v>
      </c>
      <c r="C93" t="s">
        <v>562</v>
      </c>
      <c r="D93" t="s">
        <v>65</v>
      </c>
      <c r="E93" t="s">
        <v>66</v>
      </c>
      <c r="F93" t="s">
        <v>68</v>
      </c>
      <c r="G93" t="s">
        <v>79</v>
      </c>
      <c r="H93" t="s">
        <v>103</v>
      </c>
      <c r="I93">
        <v>0.54</v>
      </c>
      <c r="J93">
        <v>0.54480321079918659</v>
      </c>
      <c r="K93">
        <v>0.25506478021568568</v>
      </c>
      <c r="L93">
        <v>0.20013200898512767</v>
      </c>
      <c r="M93">
        <v>11</v>
      </c>
      <c r="N93">
        <v>1.71</v>
      </c>
      <c r="O93">
        <v>1.5</v>
      </c>
      <c r="P93">
        <v>1.9</v>
      </c>
      <c r="Q93">
        <v>1.29</v>
      </c>
      <c r="R93" t="s">
        <v>1352</v>
      </c>
      <c r="S93">
        <v>3</v>
      </c>
      <c r="T93">
        <v>0</v>
      </c>
      <c r="U93">
        <v>3</v>
      </c>
      <c r="V93">
        <v>3</v>
      </c>
      <c r="W93">
        <v>3</v>
      </c>
      <c r="X93">
        <v>0</v>
      </c>
      <c r="Y93" t="s">
        <v>563</v>
      </c>
      <c r="AA93">
        <v>3</v>
      </c>
      <c r="AB93">
        <v>1</v>
      </c>
      <c r="AC93">
        <v>0</v>
      </c>
      <c r="AD93">
        <v>0</v>
      </c>
      <c r="AE93">
        <v>2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18</v>
      </c>
      <c r="AL93">
        <v>5</v>
      </c>
      <c r="AM93">
        <v>10</v>
      </c>
      <c r="AN93">
        <v>0</v>
      </c>
      <c r="AO93">
        <v>8</v>
      </c>
      <c r="AP93">
        <v>5</v>
      </c>
      <c r="AQ93">
        <v>9</v>
      </c>
      <c r="AR93">
        <v>11</v>
      </c>
      <c r="AS93">
        <v>52</v>
      </c>
      <c r="AT93">
        <v>48</v>
      </c>
      <c r="AU93">
        <v>2.17</v>
      </c>
      <c r="AV93">
        <v>0.45</v>
      </c>
      <c r="AW93">
        <v>2.36</v>
      </c>
      <c r="AX93">
        <v>40</v>
      </c>
      <c r="AY93">
        <v>75</v>
      </c>
      <c r="AZ93">
        <v>40</v>
      </c>
      <c r="BA93">
        <v>25</v>
      </c>
      <c r="BB93">
        <v>7</v>
      </c>
      <c r="BC93">
        <v>18</v>
      </c>
      <c r="BD93">
        <v>72</v>
      </c>
      <c r="BE93">
        <v>36</v>
      </c>
      <c r="BF93">
        <v>83</v>
      </c>
      <c r="BG93">
        <v>9</v>
      </c>
      <c r="BH93">
        <v>4.43</v>
      </c>
      <c r="BI93">
        <v>1.75</v>
      </c>
      <c r="BJ93">
        <v>3.55</v>
      </c>
      <c r="BK93">
        <v>4.41</v>
      </c>
      <c r="BL93">
        <v>2.6625360629384771E-2</v>
      </c>
      <c r="BM93">
        <v>1.33</v>
      </c>
      <c r="BN93">
        <v>1.93</v>
      </c>
      <c r="BO93">
        <v>3.4</v>
      </c>
      <c r="BP93">
        <v>6.5</v>
      </c>
      <c r="BQ93">
        <v>1.8</v>
      </c>
      <c r="BR93">
        <v>1.91</v>
      </c>
      <c r="BS93" t="s">
        <v>116</v>
      </c>
      <c r="BT93">
        <v>1.915666026436746</v>
      </c>
      <c r="BU93">
        <v>0.82283834599204153</v>
      </c>
      <c r="BV93">
        <v>2.6359702267612941</v>
      </c>
      <c r="BW93">
        <v>1.684957590444867</v>
      </c>
      <c r="BX93">
        <v>0.95101263631642718</v>
      </c>
      <c r="BY93">
        <v>0.72650164445213783</v>
      </c>
      <c r="BZ93">
        <v>0.42097974727367138</v>
      </c>
      <c r="CA93">
        <v>13.338806970509379</v>
      </c>
      <c r="CB93">
        <v>9.2530160857908843</v>
      </c>
      <c r="CC93">
        <v>5.9915081521739131</v>
      </c>
      <c r="CD93">
        <v>3.9772418478260869</v>
      </c>
      <c r="CE93">
        <v>7.3472988183354664</v>
      </c>
      <c r="CF93">
        <v>5.2757742379647974</v>
      </c>
      <c r="CG93">
        <v>12.59428182437032</v>
      </c>
      <c r="CH93">
        <v>13.577944179714089</v>
      </c>
      <c r="CI93">
        <v>1.4276913099870301</v>
      </c>
      <c r="CJ93">
        <v>1.940985732814527</v>
      </c>
      <c r="CK93">
        <v>8.0739299610894946E-2</v>
      </c>
      <c r="CL93">
        <v>0.12743190661478601</v>
      </c>
    </row>
    <row r="94" spans="1:90" x14ac:dyDescent="0.45">
      <c r="A94" t="s">
        <v>695</v>
      </c>
      <c r="B94">
        <v>1647824400</v>
      </c>
      <c r="C94" t="s">
        <v>564</v>
      </c>
      <c r="D94" t="s">
        <v>65</v>
      </c>
      <c r="E94" t="s">
        <v>66</v>
      </c>
      <c r="F94" t="s">
        <v>97</v>
      </c>
      <c r="G94" t="s">
        <v>90</v>
      </c>
      <c r="H94" t="s">
        <v>158</v>
      </c>
      <c r="I94">
        <v>0.42</v>
      </c>
      <c r="J94">
        <v>0.42584213172448471</v>
      </c>
      <c r="K94">
        <v>0.30668677727501259</v>
      </c>
      <c r="L94">
        <v>0.26747109100050281</v>
      </c>
      <c r="M94">
        <v>11</v>
      </c>
      <c r="N94">
        <v>1.56</v>
      </c>
      <c r="O94">
        <v>1.1399999999999999</v>
      </c>
      <c r="P94">
        <v>1.55</v>
      </c>
      <c r="Q94">
        <v>1.32</v>
      </c>
      <c r="R94" t="s">
        <v>1348</v>
      </c>
      <c r="S94">
        <v>1</v>
      </c>
      <c r="T94">
        <v>1</v>
      </c>
      <c r="U94">
        <v>2</v>
      </c>
      <c r="V94">
        <v>0</v>
      </c>
      <c r="W94">
        <v>0</v>
      </c>
      <c r="X94">
        <v>0</v>
      </c>
      <c r="Y94" t="s">
        <v>193</v>
      </c>
      <c r="Z94">
        <v>66</v>
      </c>
      <c r="AA94">
        <v>1</v>
      </c>
      <c r="AB94">
        <v>2</v>
      </c>
      <c r="AC94">
        <v>3</v>
      </c>
      <c r="AD94">
        <v>2</v>
      </c>
      <c r="AE94">
        <v>3</v>
      </c>
      <c r="AF94">
        <v>1</v>
      </c>
      <c r="AG94">
        <v>2</v>
      </c>
      <c r="AH94">
        <v>3</v>
      </c>
      <c r="AI94">
        <v>3</v>
      </c>
      <c r="AJ94">
        <v>1</v>
      </c>
      <c r="AK94">
        <v>17</v>
      </c>
      <c r="AL94">
        <v>11</v>
      </c>
      <c r="AM94">
        <v>4</v>
      </c>
      <c r="AN94">
        <v>4</v>
      </c>
      <c r="AO94">
        <v>13</v>
      </c>
      <c r="AP94">
        <v>7</v>
      </c>
      <c r="AQ94">
        <v>13</v>
      </c>
      <c r="AR94">
        <v>11</v>
      </c>
      <c r="AS94">
        <v>44</v>
      </c>
      <c r="AT94">
        <v>56</v>
      </c>
      <c r="AU94">
        <v>1.68</v>
      </c>
      <c r="AV94">
        <v>1.1200000000000001</v>
      </c>
      <c r="AW94">
        <v>1.59</v>
      </c>
      <c r="AX94">
        <v>31</v>
      </c>
      <c r="AY94">
        <v>47</v>
      </c>
      <c r="AZ94">
        <v>28</v>
      </c>
      <c r="BA94">
        <v>11</v>
      </c>
      <c r="BB94">
        <v>0</v>
      </c>
      <c r="BC94">
        <v>18</v>
      </c>
      <c r="BD94">
        <v>41</v>
      </c>
      <c r="BE94">
        <v>31</v>
      </c>
      <c r="BF94">
        <v>70</v>
      </c>
      <c r="BG94">
        <v>8.3800000000000008</v>
      </c>
      <c r="BH94">
        <v>4.6900000000000004</v>
      </c>
      <c r="BI94">
        <v>2.21</v>
      </c>
      <c r="BJ94">
        <v>3</v>
      </c>
      <c r="BK94">
        <v>3.4</v>
      </c>
      <c r="BL94">
        <v>2.6646556058320742E-2</v>
      </c>
      <c r="BM94">
        <v>1.5</v>
      </c>
      <c r="BN94">
        <v>2.38</v>
      </c>
      <c r="BO94">
        <v>4.75</v>
      </c>
      <c r="BP94">
        <v>9</v>
      </c>
      <c r="BQ94">
        <v>2.2000000000000002</v>
      </c>
      <c r="BR94">
        <v>1.62</v>
      </c>
      <c r="BS94" t="s">
        <v>136</v>
      </c>
      <c r="BT94">
        <v>1.5780106027030405</v>
      </c>
      <c r="BU94">
        <v>1.1353025412447635</v>
      </c>
      <c r="BV94">
        <v>2.4884649511978703</v>
      </c>
      <c r="BW94">
        <v>1.396960958296362</v>
      </c>
      <c r="BX94">
        <v>1.091503992901508</v>
      </c>
      <c r="BY94">
        <v>0.60765391014975045</v>
      </c>
      <c r="BZ94">
        <v>0.47276760953965608</v>
      </c>
      <c r="CA94">
        <v>12.29504785684561</v>
      </c>
      <c r="CB94">
        <v>10.047232625884311</v>
      </c>
      <c r="CC94">
        <v>5.2917192097519967</v>
      </c>
      <c r="CD94">
        <v>4.2580916351408158</v>
      </c>
      <c r="CE94">
        <v>7.0033286470936131</v>
      </c>
      <c r="CF94">
        <v>5.789140990743495</v>
      </c>
      <c r="CG94">
        <v>12.77041895895049</v>
      </c>
      <c r="CH94">
        <v>13.411129919593741</v>
      </c>
      <c r="CI94">
        <v>1.556141062018646</v>
      </c>
      <c r="CJ94">
        <v>1.9114308877178761</v>
      </c>
      <c r="CK94">
        <v>8.4920956627482766E-2</v>
      </c>
      <c r="CL94">
        <v>0.1323469801378192</v>
      </c>
    </row>
    <row r="95" spans="1:90" x14ac:dyDescent="0.45">
      <c r="A95" t="s">
        <v>695</v>
      </c>
      <c r="B95">
        <v>1647831600</v>
      </c>
      <c r="C95" t="s">
        <v>565</v>
      </c>
      <c r="D95" t="s">
        <v>65</v>
      </c>
      <c r="E95" t="s">
        <v>66</v>
      </c>
      <c r="F95" t="s">
        <v>113</v>
      </c>
      <c r="G95" t="s">
        <v>85</v>
      </c>
      <c r="H95" t="s">
        <v>66</v>
      </c>
      <c r="I95">
        <v>0.28000000000000003</v>
      </c>
      <c r="J95">
        <v>0.28935185185185186</v>
      </c>
      <c r="K95">
        <v>0.28935185185185186</v>
      </c>
      <c r="L95">
        <v>0.42129629629629628</v>
      </c>
      <c r="M95">
        <v>11</v>
      </c>
      <c r="N95">
        <v>1.69</v>
      </c>
      <c r="O95">
        <v>1.5</v>
      </c>
      <c r="P95">
        <v>1.71</v>
      </c>
      <c r="Q95">
        <v>1.4</v>
      </c>
      <c r="R95" t="s">
        <v>1351</v>
      </c>
      <c r="S95">
        <v>1</v>
      </c>
      <c r="T95">
        <v>2</v>
      </c>
      <c r="U95">
        <v>3</v>
      </c>
      <c r="V95">
        <v>2</v>
      </c>
      <c r="W95">
        <v>0</v>
      </c>
      <c r="X95">
        <v>2</v>
      </c>
      <c r="Y95">
        <v>57</v>
      </c>
      <c r="Z95" t="s">
        <v>566</v>
      </c>
      <c r="AA95">
        <v>6</v>
      </c>
      <c r="AB95">
        <v>2</v>
      </c>
      <c r="AC95">
        <v>4</v>
      </c>
      <c r="AD95">
        <v>0</v>
      </c>
      <c r="AE95">
        <v>5</v>
      </c>
      <c r="AF95">
        <v>0</v>
      </c>
      <c r="AG95">
        <v>3</v>
      </c>
      <c r="AH95">
        <v>1</v>
      </c>
      <c r="AI95">
        <v>3</v>
      </c>
      <c r="AJ95">
        <v>2</v>
      </c>
      <c r="AK95">
        <v>17</v>
      </c>
      <c r="AL95">
        <v>9</v>
      </c>
      <c r="AM95">
        <v>5</v>
      </c>
      <c r="AN95">
        <v>6</v>
      </c>
      <c r="AO95">
        <v>12</v>
      </c>
      <c r="AP95">
        <v>3</v>
      </c>
      <c r="AQ95">
        <v>21</v>
      </c>
      <c r="AR95">
        <v>14</v>
      </c>
      <c r="AS95">
        <v>57</v>
      </c>
      <c r="AT95">
        <v>43</v>
      </c>
      <c r="AU95">
        <v>1.63</v>
      </c>
      <c r="AV95">
        <v>1.1200000000000001</v>
      </c>
      <c r="AW95">
        <v>2.2400000000000002</v>
      </c>
      <c r="AX95">
        <v>47</v>
      </c>
      <c r="AY95">
        <v>64</v>
      </c>
      <c r="AZ95">
        <v>50</v>
      </c>
      <c r="BA95">
        <v>18</v>
      </c>
      <c r="BB95">
        <v>0</v>
      </c>
      <c r="BC95">
        <v>29</v>
      </c>
      <c r="BD95">
        <v>70</v>
      </c>
      <c r="BE95">
        <v>33</v>
      </c>
      <c r="BF95">
        <v>70</v>
      </c>
      <c r="BG95">
        <v>6.34</v>
      </c>
      <c r="BH95">
        <v>5.48</v>
      </c>
      <c r="BI95">
        <v>3.2</v>
      </c>
      <c r="BJ95">
        <v>3.2</v>
      </c>
      <c r="BK95">
        <v>2.25</v>
      </c>
      <c r="BL95">
        <v>2.314814814814814E-2</v>
      </c>
      <c r="BM95">
        <v>0</v>
      </c>
      <c r="BN95">
        <v>1.98</v>
      </c>
      <c r="BO95">
        <v>0</v>
      </c>
      <c r="BP95">
        <v>0</v>
      </c>
      <c r="BQ95">
        <v>0</v>
      </c>
      <c r="BR95">
        <v>0</v>
      </c>
      <c r="BS95" t="s">
        <v>120</v>
      </c>
      <c r="BT95">
        <v>1.1529533168233341</v>
      </c>
      <c r="BU95">
        <v>1.5628535554286829</v>
      </c>
      <c r="BV95">
        <v>2.5445607358071678</v>
      </c>
      <c r="BW95">
        <v>1.128766254360926</v>
      </c>
      <c r="BX95">
        <v>1.415794481446242</v>
      </c>
      <c r="BY95">
        <v>0.49635267998731369</v>
      </c>
      <c r="BZ95">
        <v>0.61084681255946716</v>
      </c>
      <c r="CA95">
        <v>11.04442036836403</v>
      </c>
      <c r="CB95">
        <v>11.38840736728061</v>
      </c>
      <c r="CC95">
        <v>4.5379574003276897</v>
      </c>
      <c r="CD95">
        <v>4.8481703986892413</v>
      </c>
      <c r="CE95">
        <v>6.5064629680363399</v>
      </c>
      <c r="CF95">
        <v>6.540236968591369</v>
      </c>
      <c r="CG95">
        <v>13.117582417582421</v>
      </c>
      <c r="CH95">
        <v>13.28241758241758</v>
      </c>
      <c r="CI95">
        <v>1.792592592592593</v>
      </c>
      <c r="CJ95">
        <v>1.806980433632998</v>
      </c>
      <c r="CK95">
        <v>0.1047065044949762</v>
      </c>
      <c r="CL95">
        <v>0.1073506081438392</v>
      </c>
    </row>
    <row r="96" spans="1:90" x14ac:dyDescent="0.45">
      <c r="A96" t="s">
        <v>695</v>
      </c>
      <c r="B96">
        <v>1647831960</v>
      </c>
      <c r="C96" t="s">
        <v>567</v>
      </c>
      <c r="D96" t="s">
        <v>65</v>
      </c>
      <c r="E96" t="s">
        <v>66</v>
      </c>
      <c r="F96" t="s">
        <v>106</v>
      </c>
      <c r="G96" t="s">
        <v>78</v>
      </c>
      <c r="H96" t="s">
        <v>98</v>
      </c>
      <c r="I96">
        <v>0.57999999999999996</v>
      </c>
      <c r="J96">
        <v>0.57942166765696179</v>
      </c>
      <c r="K96">
        <v>0.2511388393741335</v>
      </c>
      <c r="L96">
        <v>0.16943949296890476</v>
      </c>
      <c r="M96">
        <v>11</v>
      </c>
      <c r="N96">
        <v>1.38</v>
      </c>
      <c r="O96">
        <v>0.69</v>
      </c>
      <c r="P96">
        <v>1.35</v>
      </c>
      <c r="Q96">
        <v>0.71</v>
      </c>
      <c r="R96" t="s">
        <v>1352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86</v>
      </c>
      <c r="AA96">
        <v>7</v>
      </c>
      <c r="AB96">
        <v>5</v>
      </c>
      <c r="AC96">
        <v>4</v>
      </c>
      <c r="AD96">
        <v>1</v>
      </c>
      <c r="AE96">
        <v>3</v>
      </c>
      <c r="AF96">
        <v>0</v>
      </c>
      <c r="AG96">
        <v>2</v>
      </c>
      <c r="AH96">
        <v>3</v>
      </c>
      <c r="AI96">
        <v>0</v>
      </c>
      <c r="AJ96">
        <v>3</v>
      </c>
      <c r="AK96">
        <v>8</v>
      </c>
      <c r="AL96">
        <v>14</v>
      </c>
      <c r="AM96">
        <v>2</v>
      </c>
      <c r="AN96">
        <v>5</v>
      </c>
      <c r="AO96">
        <v>6</v>
      </c>
      <c r="AP96">
        <v>9</v>
      </c>
      <c r="AQ96">
        <v>13</v>
      </c>
      <c r="AR96">
        <v>7</v>
      </c>
      <c r="AS96">
        <v>41</v>
      </c>
      <c r="AT96">
        <v>59</v>
      </c>
      <c r="AU96">
        <v>0.88</v>
      </c>
      <c r="AV96">
        <v>1.47</v>
      </c>
      <c r="AW96">
        <v>2.08</v>
      </c>
      <c r="AX96">
        <v>43</v>
      </c>
      <c r="AY96">
        <v>66</v>
      </c>
      <c r="AZ96">
        <v>31</v>
      </c>
      <c r="BA96">
        <v>15</v>
      </c>
      <c r="BB96">
        <v>4</v>
      </c>
      <c r="BC96">
        <v>19</v>
      </c>
      <c r="BD96">
        <v>54</v>
      </c>
      <c r="BE96">
        <v>43</v>
      </c>
      <c r="BF96">
        <v>81</v>
      </c>
      <c r="BG96">
        <v>7.77</v>
      </c>
      <c r="BH96">
        <v>4.3</v>
      </c>
      <c r="BI96">
        <v>1.65</v>
      </c>
      <c r="BJ96">
        <v>3.6</v>
      </c>
      <c r="BK96">
        <v>5.0999999999999996</v>
      </c>
      <c r="BL96">
        <v>2.6638938403644286E-2</v>
      </c>
      <c r="BM96">
        <v>1.35</v>
      </c>
      <c r="BN96">
        <v>1.98</v>
      </c>
      <c r="BO96">
        <v>3.62</v>
      </c>
      <c r="BP96">
        <v>6.9</v>
      </c>
      <c r="BQ96">
        <v>1.86</v>
      </c>
      <c r="BR96">
        <v>1.87</v>
      </c>
      <c r="BS96" t="s">
        <v>110</v>
      </c>
      <c r="BT96">
        <v>2.0230889143600308</v>
      </c>
      <c r="BU96">
        <v>0.72731480520165426</v>
      </c>
      <c r="BV96">
        <v>2.6362999299229148</v>
      </c>
      <c r="BW96">
        <v>1.7619715019855171</v>
      </c>
      <c r="BX96">
        <v>0.87432842793739785</v>
      </c>
      <c r="BY96">
        <v>0.78411214953271025</v>
      </c>
      <c r="BZ96">
        <v>0.38060747663551397</v>
      </c>
      <c r="CA96">
        <v>14.215499378367181</v>
      </c>
      <c r="CB96">
        <v>8.9523612261806136</v>
      </c>
      <c r="CC96">
        <v>6.3083121289228163</v>
      </c>
      <c r="CD96">
        <v>3.7757524374735061</v>
      </c>
      <c r="CE96">
        <v>7.9071872494443642</v>
      </c>
      <c r="CF96">
        <v>5.1766087887071075</v>
      </c>
      <c r="CG96">
        <v>12.634239592183521</v>
      </c>
      <c r="CH96">
        <v>13.597706032285471</v>
      </c>
      <c r="CI96">
        <v>1.365400161681487</v>
      </c>
      <c r="CJ96">
        <v>1.963621665319321</v>
      </c>
      <c r="CK96">
        <v>7.1544058205335492E-2</v>
      </c>
      <c r="CL96">
        <v>0.1216653193209378</v>
      </c>
    </row>
    <row r="97" spans="1:90" x14ac:dyDescent="0.45">
      <c r="A97" t="s">
        <v>695</v>
      </c>
      <c r="B97">
        <v>1648335600</v>
      </c>
      <c r="C97" t="s">
        <v>568</v>
      </c>
      <c r="D97" t="s">
        <v>65</v>
      </c>
      <c r="E97" t="s">
        <v>66</v>
      </c>
      <c r="F97" t="s">
        <v>96</v>
      </c>
      <c r="G97" t="s">
        <v>113</v>
      </c>
      <c r="H97" t="s">
        <v>98</v>
      </c>
      <c r="I97">
        <v>0.57999999999999996</v>
      </c>
      <c r="J97">
        <v>0.58438228438228434</v>
      </c>
      <c r="K97">
        <v>0.24498834498834496</v>
      </c>
      <c r="L97">
        <v>0.17062937062937059</v>
      </c>
      <c r="M97">
        <v>9</v>
      </c>
      <c r="N97">
        <v>1.44</v>
      </c>
      <c r="O97">
        <v>0.38</v>
      </c>
      <c r="P97">
        <v>1.58</v>
      </c>
      <c r="Q97">
        <v>0.72</v>
      </c>
      <c r="R97" t="s">
        <v>1348</v>
      </c>
      <c r="S97">
        <v>1</v>
      </c>
      <c r="T97">
        <v>1</v>
      </c>
      <c r="U97">
        <v>2</v>
      </c>
      <c r="V97">
        <v>0</v>
      </c>
      <c r="W97">
        <v>0</v>
      </c>
      <c r="X97">
        <v>0</v>
      </c>
      <c r="Y97">
        <v>73</v>
      </c>
      <c r="Z97">
        <v>80</v>
      </c>
      <c r="AA97">
        <v>5</v>
      </c>
      <c r="AB97">
        <v>2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14</v>
      </c>
      <c r="AL97">
        <v>5</v>
      </c>
      <c r="AM97">
        <v>5</v>
      </c>
      <c r="AN97">
        <v>4</v>
      </c>
      <c r="AO97">
        <v>9</v>
      </c>
      <c r="AP97">
        <v>1</v>
      </c>
      <c r="AQ97">
        <v>12</v>
      </c>
      <c r="AR97">
        <v>10</v>
      </c>
      <c r="AS97">
        <v>57</v>
      </c>
      <c r="AT97">
        <v>43</v>
      </c>
      <c r="AU97">
        <v>1.66</v>
      </c>
      <c r="AV97">
        <v>0.83</v>
      </c>
      <c r="AW97">
        <v>2.54</v>
      </c>
      <c r="AX97">
        <v>38</v>
      </c>
      <c r="AY97">
        <v>71</v>
      </c>
      <c r="AZ97">
        <v>52</v>
      </c>
      <c r="BA97">
        <v>27</v>
      </c>
      <c r="BB97">
        <v>11</v>
      </c>
      <c r="BC97">
        <v>32</v>
      </c>
      <c r="BD97">
        <v>67</v>
      </c>
      <c r="BE97">
        <v>41</v>
      </c>
      <c r="BF97">
        <v>63</v>
      </c>
      <c r="BG97">
        <v>7.56</v>
      </c>
      <c r="BH97">
        <v>5.21</v>
      </c>
      <c r="BI97">
        <v>1.65</v>
      </c>
      <c r="BJ97">
        <v>3.75</v>
      </c>
      <c r="BK97">
        <v>5.2</v>
      </c>
      <c r="BL97">
        <v>2.1678321678321694E-2</v>
      </c>
      <c r="BM97">
        <v>0</v>
      </c>
      <c r="BN97">
        <v>1.98</v>
      </c>
      <c r="BO97">
        <v>0</v>
      </c>
      <c r="BP97">
        <v>0</v>
      </c>
      <c r="BQ97">
        <v>0</v>
      </c>
      <c r="BR97">
        <v>0</v>
      </c>
      <c r="BS97" t="s">
        <v>99</v>
      </c>
      <c r="BT97">
        <v>2.0230889143600308</v>
      </c>
      <c r="BU97">
        <v>0.72731480520165426</v>
      </c>
      <c r="BV97">
        <v>2.6362999299229148</v>
      </c>
      <c r="BW97">
        <v>1.7619715019855171</v>
      </c>
      <c r="BX97">
        <v>0.87432842793739785</v>
      </c>
      <c r="BY97">
        <v>0.78411214953271025</v>
      </c>
      <c r="BZ97">
        <v>0.38060747663551397</v>
      </c>
      <c r="CA97">
        <v>14.215499378367181</v>
      </c>
      <c r="CB97">
        <v>8.9523612261806136</v>
      </c>
      <c r="CC97">
        <v>6.3083121289228163</v>
      </c>
      <c r="CD97">
        <v>3.7757524374735061</v>
      </c>
      <c r="CE97">
        <v>7.9071872494443642</v>
      </c>
      <c r="CF97">
        <v>5.1766087887071075</v>
      </c>
      <c r="CG97">
        <v>12.634239592183521</v>
      </c>
      <c r="CH97">
        <v>13.597706032285471</v>
      </c>
      <c r="CI97">
        <v>1.365400161681487</v>
      </c>
      <c r="CJ97">
        <v>1.963621665319321</v>
      </c>
      <c r="CK97">
        <v>7.1544058205335492E-2</v>
      </c>
      <c r="CL97">
        <v>0.1216653193209378</v>
      </c>
    </row>
    <row r="98" spans="1:90" x14ac:dyDescent="0.45">
      <c r="A98" t="s">
        <v>695</v>
      </c>
      <c r="B98">
        <v>1648864800</v>
      </c>
      <c r="C98" t="s">
        <v>569</v>
      </c>
      <c r="D98" t="s">
        <v>65</v>
      </c>
      <c r="E98" t="s">
        <v>66</v>
      </c>
      <c r="F98" t="s">
        <v>91</v>
      </c>
      <c r="G98" t="s">
        <v>113</v>
      </c>
      <c r="H98" t="s">
        <v>158</v>
      </c>
      <c r="I98">
        <v>0.5</v>
      </c>
      <c r="J98">
        <v>0.49986709197235507</v>
      </c>
      <c r="K98">
        <v>0.27658160552897393</v>
      </c>
      <c r="L98">
        <v>0.22355130249867092</v>
      </c>
      <c r="M98">
        <v>12</v>
      </c>
      <c r="N98">
        <v>0.77</v>
      </c>
      <c r="O98">
        <v>0.43</v>
      </c>
      <c r="P98">
        <v>1.1100000000000001</v>
      </c>
      <c r="Q98">
        <v>0.72</v>
      </c>
      <c r="R98" t="s">
        <v>1352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70</v>
      </c>
      <c r="AA98">
        <v>7</v>
      </c>
      <c r="AB98">
        <v>4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17</v>
      </c>
      <c r="AL98">
        <v>7</v>
      </c>
      <c r="AM98">
        <v>8</v>
      </c>
      <c r="AN98">
        <v>4</v>
      </c>
      <c r="AO98">
        <v>9</v>
      </c>
      <c r="AP98">
        <v>3</v>
      </c>
      <c r="AQ98">
        <v>13</v>
      </c>
      <c r="AR98">
        <v>11</v>
      </c>
      <c r="AS98">
        <v>50</v>
      </c>
      <c r="AT98">
        <v>50</v>
      </c>
      <c r="AU98">
        <v>2.17</v>
      </c>
      <c r="AV98">
        <v>1.1499999999999999</v>
      </c>
      <c r="AW98">
        <v>2.67</v>
      </c>
      <c r="AX98">
        <v>45</v>
      </c>
      <c r="AY98">
        <v>78</v>
      </c>
      <c r="AZ98">
        <v>44</v>
      </c>
      <c r="BA98">
        <v>22</v>
      </c>
      <c r="BB98">
        <v>11</v>
      </c>
      <c r="BC98">
        <v>30</v>
      </c>
      <c r="BD98">
        <v>70</v>
      </c>
      <c r="BE98">
        <v>41</v>
      </c>
      <c r="BF98">
        <v>78</v>
      </c>
      <c r="BG98">
        <v>6.91</v>
      </c>
      <c r="BH98">
        <v>5.54</v>
      </c>
      <c r="BI98">
        <v>1.9</v>
      </c>
      <c r="BJ98">
        <v>3.3</v>
      </c>
      <c r="BK98">
        <v>4</v>
      </c>
      <c r="BL98">
        <v>2.6448697501329093E-2</v>
      </c>
      <c r="BM98">
        <v>0</v>
      </c>
      <c r="BN98">
        <v>2.2999999999999998</v>
      </c>
      <c r="BO98">
        <v>0</v>
      </c>
      <c r="BP98">
        <v>0</v>
      </c>
      <c r="BQ98">
        <v>0</v>
      </c>
      <c r="BR98">
        <v>0</v>
      </c>
      <c r="BS98" t="s">
        <v>144</v>
      </c>
      <c r="BT98">
        <v>1.8001937313313046</v>
      </c>
      <c r="BU98">
        <v>0.9268512077832276</v>
      </c>
      <c r="BV98">
        <v>2.5202079886551649</v>
      </c>
      <c r="BW98">
        <v>1.5342708579532029</v>
      </c>
      <c r="BX98">
        <v>0.98593713070196176</v>
      </c>
      <c r="BY98">
        <v>0.67513590167809023</v>
      </c>
      <c r="BZ98">
        <v>0.4286727337194185</v>
      </c>
      <c r="CA98">
        <v>12.98669114272602</v>
      </c>
      <c r="CB98">
        <v>9.4167049105094076</v>
      </c>
      <c r="CC98">
        <v>5.6645716945996272</v>
      </c>
      <c r="CD98">
        <v>4.0242085661080074</v>
      </c>
      <c r="CE98">
        <v>7.3221194481263927</v>
      </c>
      <c r="CF98">
        <v>5.3924963444014002</v>
      </c>
      <c r="CG98">
        <v>12.508162313432839</v>
      </c>
      <c r="CH98">
        <v>13.36963619402985</v>
      </c>
      <c r="CI98">
        <v>1.4438014689517029</v>
      </c>
      <c r="CJ98">
        <v>1.9410193634542621</v>
      </c>
      <c r="CK98">
        <v>8.4130870242599604E-2</v>
      </c>
      <c r="CL98">
        <v>0.1275317160026708</v>
      </c>
    </row>
    <row r="99" spans="1:90" x14ac:dyDescent="0.45">
      <c r="A99" t="s">
        <v>695</v>
      </c>
      <c r="B99">
        <v>1648940400</v>
      </c>
      <c r="C99" t="s">
        <v>570</v>
      </c>
      <c r="D99" t="s">
        <v>65</v>
      </c>
      <c r="E99" t="s">
        <v>66</v>
      </c>
      <c r="F99" t="s">
        <v>112</v>
      </c>
      <c r="G99" t="s">
        <v>97</v>
      </c>
      <c r="H99" t="s">
        <v>98</v>
      </c>
      <c r="I99">
        <v>0.4</v>
      </c>
      <c r="J99">
        <v>0.4039958561426461</v>
      </c>
      <c r="K99">
        <v>0.312775157336808</v>
      </c>
      <c r="L99">
        <v>0.28322898652054579</v>
      </c>
      <c r="M99">
        <v>12</v>
      </c>
      <c r="N99">
        <v>1.4</v>
      </c>
      <c r="O99">
        <v>1.76</v>
      </c>
      <c r="P99">
        <v>1.25</v>
      </c>
      <c r="Q99">
        <v>1.68</v>
      </c>
      <c r="R99" t="s">
        <v>1352</v>
      </c>
      <c r="S99">
        <v>1</v>
      </c>
      <c r="T99">
        <v>0</v>
      </c>
      <c r="U99">
        <v>1</v>
      </c>
      <c r="V99">
        <v>1</v>
      </c>
      <c r="W99">
        <v>1</v>
      </c>
      <c r="X99">
        <v>0</v>
      </c>
      <c r="Y99">
        <v>37</v>
      </c>
      <c r="AA99">
        <v>5</v>
      </c>
      <c r="AB99">
        <v>9</v>
      </c>
      <c r="AC99">
        <v>2</v>
      </c>
      <c r="AD99">
        <v>0</v>
      </c>
      <c r="AE99">
        <v>3</v>
      </c>
      <c r="AF99">
        <v>0</v>
      </c>
      <c r="AG99">
        <v>0</v>
      </c>
      <c r="AH99">
        <v>2</v>
      </c>
      <c r="AI99">
        <v>2</v>
      </c>
      <c r="AJ99">
        <v>1</v>
      </c>
      <c r="AK99">
        <v>7</v>
      </c>
      <c r="AL99">
        <v>15</v>
      </c>
      <c r="AM99">
        <v>3</v>
      </c>
      <c r="AN99">
        <v>5</v>
      </c>
      <c r="AO99">
        <v>4</v>
      </c>
      <c r="AP99">
        <v>10</v>
      </c>
      <c r="AQ99">
        <v>21</v>
      </c>
      <c r="AR99">
        <v>12</v>
      </c>
      <c r="AS99">
        <v>35</v>
      </c>
      <c r="AT99">
        <v>65</v>
      </c>
      <c r="AU99">
        <v>0.86</v>
      </c>
      <c r="AV99">
        <v>1.74</v>
      </c>
      <c r="AW99">
        <v>2.36</v>
      </c>
      <c r="AX99">
        <v>51</v>
      </c>
      <c r="AY99">
        <v>73</v>
      </c>
      <c r="AZ99">
        <v>36</v>
      </c>
      <c r="BA99">
        <v>16</v>
      </c>
      <c r="BB99">
        <v>10</v>
      </c>
      <c r="BC99">
        <v>29</v>
      </c>
      <c r="BD99">
        <v>85</v>
      </c>
      <c r="BE99">
        <v>31</v>
      </c>
      <c r="BF99">
        <v>67</v>
      </c>
      <c r="BG99">
        <v>10.210000000000001</v>
      </c>
      <c r="BH99">
        <v>4.1900000000000004</v>
      </c>
      <c r="BI99">
        <v>2.38</v>
      </c>
      <c r="BJ99">
        <v>3.04</v>
      </c>
      <c r="BK99">
        <v>3.34</v>
      </c>
      <c r="BL99">
        <v>1.6172211084244676E-2</v>
      </c>
      <c r="BM99">
        <v>1.5</v>
      </c>
      <c r="BN99">
        <v>2.41</v>
      </c>
      <c r="BO99">
        <v>5</v>
      </c>
      <c r="BP99">
        <v>9</v>
      </c>
      <c r="BQ99">
        <v>2.1</v>
      </c>
      <c r="BR99">
        <v>1.67</v>
      </c>
      <c r="BS99" t="s">
        <v>116</v>
      </c>
      <c r="BT99">
        <v>1.5181603563290151</v>
      </c>
      <c r="BU99">
        <v>1.1952730370775513</v>
      </c>
      <c r="BV99">
        <v>2.4956155335383219</v>
      </c>
      <c r="BW99">
        <v>1.344038264434575</v>
      </c>
      <c r="BX99">
        <v>1.1515772691037469</v>
      </c>
      <c r="BY99">
        <v>0.59936225942375587</v>
      </c>
      <c r="BZ99">
        <v>0.50723152260562576</v>
      </c>
      <c r="CA99">
        <v>11.99278846153846</v>
      </c>
      <c r="CB99">
        <v>10.0277534965035</v>
      </c>
      <c r="CC99">
        <v>5.2857459543338514</v>
      </c>
      <c r="CD99">
        <v>4.4067834183107957</v>
      </c>
      <c r="CE99">
        <v>6.7070425072046085</v>
      </c>
      <c r="CF99">
        <v>5.6209700781927046</v>
      </c>
      <c r="CG99">
        <v>13.04463690872752</v>
      </c>
      <c r="CH99">
        <v>13.49811236953142</v>
      </c>
      <c r="CI99">
        <v>1.5836526181353769</v>
      </c>
      <c r="CJ99">
        <v>1.8744146445295871</v>
      </c>
      <c r="CK99">
        <v>8.5994040017028525E-2</v>
      </c>
      <c r="CL99">
        <v>0.13452532992762881</v>
      </c>
    </row>
    <row r="100" spans="1:90" x14ac:dyDescent="0.45">
      <c r="A100" t="s">
        <v>695</v>
      </c>
      <c r="B100">
        <v>1648947600</v>
      </c>
      <c r="C100" t="s">
        <v>571</v>
      </c>
      <c r="D100" t="s">
        <v>65</v>
      </c>
      <c r="E100" t="s">
        <v>66</v>
      </c>
      <c r="F100" t="s">
        <v>72</v>
      </c>
      <c r="G100" t="s">
        <v>68</v>
      </c>
      <c r="H100" t="s">
        <v>66</v>
      </c>
      <c r="I100">
        <v>0.32</v>
      </c>
      <c r="J100">
        <v>0.32901650765252655</v>
      </c>
      <c r="K100">
        <v>0.30101347399054651</v>
      </c>
      <c r="L100">
        <v>0.36997001835692689</v>
      </c>
      <c r="M100">
        <v>12</v>
      </c>
      <c r="N100">
        <v>1.1499999999999999</v>
      </c>
      <c r="O100">
        <v>1.27</v>
      </c>
      <c r="P100">
        <v>1.24</v>
      </c>
      <c r="Q100">
        <v>1.53</v>
      </c>
      <c r="R100" t="s">
        <v>1351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Z100" t="s">
        <v>193</v>
      </c>
      <c r="AA100">
        <v>1</v>
      </c>
      <c r="AB100">
        <v>5</v>
      </c>
      <c r="AC100">
        <v>4</v>
      </c>
      <c r="AD100">
        <v>0</v>
      </c>
      <c r="AE100">
        <v>2</v>
      </c>
      <c r="AF100">
        <v>0</v>
      </c>
      <c r="AG100">
        <v>0</v>
      </c>
      <c r="AH100">
        <v>4</v>
      </c>
      <c r="AI100">
        <v>1</v>
      </c>
      <c r="AJ100">
        <v>1</v>
      </c>
      <c r="AK100">
        <v>7</v>
      </c>
      <c r="AL100">
        <v>15</v>
      </c>
      <c r="AM100">
        <v>3</v>
      </c>
      <c r="AN100">
        <v>4</v>
      </c>
      <c r="AO100">
        <v>4</v>
      </c>
      <c r="AP100">
        <v>11</v>
      </c>
      <c r="AQ100">
        <v>19</v>
      </c>
      <c r="AR100">
        <v>10</v>
      </c>
      <c r="AS100">
        <v>55</v>
      </c>
      <c r="AT100">
        <v>45</v>
      </c>
      <c r="AU100">
        <v>0.9</v>
      </c>
      <c r="AV100">
        <v>1.58</v>
      </c>
      <c r="AW100">
        <v>2.16</v>
      </c>
      <c r="AX100">
        <v>42</v>
      </c>
      <c r="AY100">
        <v>61</v>
      </c>
      <c r="AZ100">
        <v>51</v>
      </c>
      <c r="BA100">
        <v>14</v>
      </c>
      <c r="BB100">
        <v>4</v>
      </c>
      <c r="BC100">
        <v>46</v>
      </c>
      <c r="BD100">
        <v>69</v>
      </c>
      <c r="BE100">
        <v>19</v>
      </c>
      <c r="BF100">
        <v>65</v>
      </c>
      <c r="BG100">
        <v>9.4600000000000009</v>
      </c>
      <c r="BH100">
        <v>3.85</v>
      </c>
      <c r="BI100">
        <v>2.81</v>
      </c>
      <c r="BJ100">
        <v>3.05</v>
      </c>
      <c r="BK100">
        <v>2.52</v>
      </c>
      <c r="BL100">
        <v>2.6855378468469897E-2</v>
      </c>
      <c r="BM100">
        <v>1.45</v>
      </c>
      <c r="BN100">
        <v>2.36</v>
      </c>
      <c r="BO100">
        <v>4.75</v>
      </c>
      <c r="BP100">
        <v>8</v>
      </c>
      <c r="BQ100">
        <v>2.0499999999999998</v>
      </c>
      <c r="BR100">
        <v>1.7</v>
      </c>
      <c r="BS100" t="s">
        <v>76</v>
      </c>
      <c r="BT100">
        <v>1.274681051426811</v>
      </c>
      <c r="BU100">
        <v>1.4392482240810365</v>
      </c>
      <c r="BV100">
        <v>2.5313454284174597</v>
      </c>
      <c r="BW100">
        <v>1.210167055864918</v>
      </c>
      <c r="BX100">
        <v>1.3211783725525419</v>
      </c>
      <c r="BY100">
        <v>0.53135669362084459</v>
      </c>
      <c r="BZ100">
        <v>0.55633423180592989</v>
      </c>
      <c r="CA100">
        <v>11.21109010712035</v>
      </c>
      <c r="CB100">
        <v>11.01700787401575</v>
      </c>
      <c r="CC100">
        <v>4.6792332268370611</v>
      </c>
      <c r="CD100">
        <v>4.7080804854679013</v>
      </c>
      <c r="CE100">
        <v>6.5318568802832893</v>
      </c>
      <c r="CF100">
        <v>6.3089273885478487</v>
      </c>
      <c r="CG100">
        <v>12.72547770700637</v>
      </c>
      <c r="CH100">
        <v>13.06847133757962</v>
      </c>
      <c r="CI100">
        <v>1.6902356902356901</v>
      </c>
      <c r="CJ100">
        <v>1.8050198959289869</v>
      </c>
      <c r="CK100">
        <v>0.105907560453015</v>
      </c>
      <c r="CL100">
        <v>0.1141720232629324</v>
      </c>
    </row>
    <row r="101" spans="1:90" x14ac:dyDescent="0.45">
      <c r="A101" t="s">
        <v>695</v>
      </c>
      <c r="B101">
        <v>1648954800</v>
      </c>
      <c r="C101" t="s">
        <v>572</v>
      </c>
      <c r="D101" t="s">
        <v>65</v>
      </c>
      <c r="E101" t="s">
        <v>66</v>
      </c>
      <c r="F101" t="s">
        <v>78</v>
      </c>
      <c r="G101" t="s">
        <v>96</v>
      </c>
      <c r="H101" t="s">
        <v>122</v>
      </c>
      <c r="I101">
        <v>0.34</v>
      </c>
      <c r="J101">
        <v>0.34002556583201743</v>
      </c>
      <c r="K101">
        <v>0.2989698473569441</v>
      </c>
      <c r="L101">
        <v>0.36100458681103836</v>
      </c>
      <c r="M101">
        <v>12</v>
      </c>
      <c r="N101">
        <v>1.07</v>
      </c>
      <c r="O101">
        <v>1.19</v>
      </c>
      <c r="P101">
        <v>0.88</v>
      </c>
      <c r="Q101">
        <v>1.1000000000000001</v>
      </c>
      <c r="R101" t="s">
        <v>1351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Z101">
        <v>75</v>
      </c>
      <c r="AA101">
        <v>2</v>
      </c>
      <c r="AB101">
        <v>2</v>
      </c>
      <c r="AC101">
        <v>1</v>
      </c>
      <c r="AD101">
        <v>0</v>
      </c>
      <c r="AE101">
        <v>2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10</v>
      </c>
      <c r="AL101">
        <v>18</v>
      </c>
      <c r="AM101">
        <v>4</v>
      </c>
      <c r="AN101">
        <v>8</v>
      </c>
      <c r="AO101">
        <v>6</v>
      </c>
      <c r="AP101">
        <v>10</v>
      </c>
      <c r="AQ101">
        <v>7</v>
      </c>
      <c r="AR101">
        <v>18</v>
      </c>
      <c r="AS101">
        <v>53</v>
      </c>
      <c r="AT101">
        <v>47</v>
      </c>
      <c r="AU101">
        <v>1.1200000000000001</v>
      </c>
      <c r="AV101">
        <v>1.94</v>
      </c>
      <c r="AW101">
        <v>2.5</v>
      </c>
      <c r="AX101">
        <v>60</v>
      </c>
      <c r="AY101">
        <v>73</v>
      </c>
      <c r="AZ101">
        <v>57</v>
      </c>
      <c r="BA101">
        <v>27</v>
      </c>
      <c r="BB101">
        <v>7</v>
      </c>
      <c r="BC101">
        <v>41</v>
      </c>
      <c r="BD101">
        <v>73</v>
      </c>
      <c r="BE101">
        <v>37</v>
      </c>
      <c r="BF101">
        <v>76</v>
      </c>
      <c r="BG101">
        <v>7.09</v>
      </c>
      <c r="BH101">
        <v>5.49</v>
      </c>
      <c r="BI101">
        <v>2.75</v>
      </c>
      <c r="BJ101">
        <v>3.1</v>
      </c>
      <c r="BK101">
        <v>2.6</v>
      </c>
      <c r="BL101">
        <v>2.36107978043462E-2</v>
      </c>
      <c r="BM101">
        <v>1.42</v>
      </c>
      <c r="BN101">
        <v>2.35</v>
      </c>
      <c r="BO101">
        <v>4.5</v>
      </c>
      <c r="BP101">
        <v>8</v>
      </c>
      <c r="BQ101">
        <v>1.95</v>
      </c>
      <c r="BR101">
        <v>1.8</v>
      </c>
      <c r="BS101" t="s">
        <v>82</v>
      </c>
      <c r="BT101">
        <v>1.3382439854569812</v>
      </c>
      <c r="BU101">
        <v>1.3740319615582339</v>
      </c>
      <c r="BV101">
        <v>2.5229727551184897</v>
      </c>
      <c r="BW101">
        <v>1.228921489601805</v>
      </c>
      <c r="BX101">
        <v>1.2940512655166849</v>
      </c>
      <c r="BY101">
        <v>0.53240890035472432</v>
      </c>
      <c r="BZ101">
        <v>0.56514027732989358</v>
      </c>
      <c r="CA101">
        <v>11.417888124439131</v>
      </c>
      <c r="CB101">
        <v>10.76308704756207</v>
      </c>
      <c r="CC101">
        <v>4.8317672021824798</v>
      </c>
      <c r="CD101">
        <v>4.6698999696877843</v>
      </c>
      <c r="CE101">
        <v>6.5861209222566508</v>
      </c>
      <c r="CF101">
        <v>6.093187077874286</v>
      </c>
      <c r="CG101">
        <v>12.685679611650491</v>
      </c>
      <c r="CH101">
        <v>13.02639563106796</v>
      </c>
      <c r="CI101">
        <v>1.6481211768132831</v>
      </c>
      <c r="CJ101">
        <v>1.8572676958928049</v>
      </c>
      <c r="CK101">
        <v>9.641712787649287E-2</v>
      </c>
      <c r="CL101">
        <v>0.11302068161957469</v>
      </c>
    </row>
    <row r="102" spans="1:90" x14ac:dyDescent="0.45">
      <c r="A102" t="s">
        <v>695</v>
      </c>
      <c r="B102">
        <v>1649005200</v>
      </c>
      <c r="C102" t="s">
        <v>573</v>
      </c>
      <c r="D102" t="s">
        <v>65</v>
      </c>
      <c r="E102" t="s">
        <v>66</v>
      </c>
      <c r="F102" t="s">
        <v>79</v>
      </c>
      <c r="G102" t="s">
        <v>102</v>
      </c>
      <c r="H102" t="s">
        <v>130</v>
      </c>
      <c r="I102">
        <v>0.36</v>
      </c>
      <c r="J102">
        <v>0.3656114775659367</v>
      </c>
      <c r="K102">
        <v>0.27984598857464121</v>
      </c>
      <c r="L102">
        <v>0.35454253385942186</v>
      </c>
      <c r="M102">
        <v>12</v>
      </c>
      <c r="N102">
        <v>1.23</v>
      </c>
      <c r="O102">
        <v>1.71</v>
      </c>
      <c r="P102">
        <v>1.17</v>
      </c>
      <c r="Q102">
        <v>1.42</v>
      </c>
      <c r="R102" t="s">
        <v>1352</v>
      </c>
      <c r="S102">
        <v>2</v>
      </c>
      <c r="T102">
        <v>1</v>
      </c>
      <c r="U102">
        <v>3</v>
      </c>
      <c r="V102">
        <v>3</v>
      </c>
      <c r="W102">
        <v>2</v>
      </c>
      <c r="X102">
        <v>1</v>
      </c>
      <c r="Y102" t="s">
        <v>574</v>
      </c>
      <c r="Z102" t="s">
        <v>149</v>
      </c>
      <c r="AA102">
        <v>4</v>
      </c>
      <c r="AB102">
        <v>7</v>
      </c>
      <c r="AC102">
        <v>5</v>
      </c>
      <c r="AD102">
        <v>0</v>
      </c>
      <c r="AE102">
        <v>2</v>
      </c>
      <c r="AF102">
        <v>0</v>
      </c>
      <c r="AG102">
        <v>0</v>
      </c>
      <c r="AH102">
        <v>5</v>
      </c>
      <c r="AI102">
        <v>1</v>
      </c>
      <c r="AJ102">
        <v>1</v>
      </c>
      <c r="AK102">
        <v>10</v>
      </c>
      <c r="AL102">
        <v>22</v>
      </c>
      <c r="AM102">
        <v>6</v>
      </c>
      <c r="AN102">
        <v>7</v>
      </c>
      <c r="AO102">
        <v>4</v>
      </c>
      <c r="AP102">
        <v>15</v>
      </c>
      <c r="AQ102">
        <v>16</v>
      </c>
      <c r="AR102">
        <v>17</v>
      </c>
      <c r="AS102">
        <v>43</v>
      </c>
      <c r="AT102">
        <v>57</v>
      </c>
      <c r="AU102">
        <v>1.2</v>
      </c>
      <c r="AV102">
        <v>2.29</v>
      </c>
      <c r="AW102">
        <v>2.69</v>
      </c>
      <c r="AX102">
        <v>64</v>
      </c>
      <c r="AY102">
        <v>89</v>
      </c>
      <c r="AZ102">
        <v>49</v>
      </c>
      <c r="BA102">
        <v>26</v>
      </c>
      <c r="BB102">
        <v>8</v>
      </c>
      <c r="BC102">
        <v>46</v>
      </c>
      <c r="BD102">
        <v>71</v>
      </c>
      <c r="BE102">
        <v>49</v>
      </c>
      <c r="BF102">
        <v>78</v>
      </c>
      <c r="BG102">
        <v>8.69</v>
      </c>
      <c r="BH102">
        <v>5.92</v>
      </c>
      <c r="BI102">
        <v>2.48</v>
      </c>
      <c r="BJ102">
        <v>3.15</v>
      </c>
      <c r="BK102">
        <v>2.5499999999999998</v>
      </c>
      <c r="BL102">
        <v>3.7614328885676208E-2</v>
      </c>
      <c r="BM102">
        <v>1.36</v>
      </c>
      <c r="BN102">
        <v>2.15</v>
      </c>
      <c r="BO102">
        <v>3.75</v>
      </c>
      <c r="BP102">
        <v>7</v>
      </c>
      <c r="BQ102">
        <v>1.91</v>
      </c>
      <c r="BR102">
        <v>1.91</v>
      </c>
      <c r="BS102" t="s">
        <v>140</v>
      </c>
      <c r="BT102">
        <v>1.4023864615972674</v>
      </c>
      <c r="BU102">
        <v>1.3093265904245279</v>
      </c>
      <c r="BV102">
        <v>2.5110350525197691</v>
      </c>
      <c r="BW102">
        <v>1.269326094653606</v>
      </c>
      <c r="BX102">
        <v>1.2417089578661631</v>
      </c>
      <c r="BY102">
        <v>0.56586402266288949</v>
      </c>
      <c r="BZ102">
        <v>0.55158168083097259</v>
      </c>
      <c r="CA102">
        <v>11.49400826446281</v>
      </c>
      <c r="CB102">
        <v>10.507231404958681</v>
      </c>
      <c r="CC102">
        <v>4.9238790406673623</v>
      </c>
      <c r="CD102">
        <v>4.6296141814389991</v>
      </c>
      <c r="CE102">
        <v>6.5701292237954476</v>
      </c>
      <c r="CF102">
        <v>5.8776172235196817</v>
      </c>
      <c r="CG102">
        <v>12.798739495798319</v>
      </c>
      <c r="CH102">
        <v>12.98844537815126</v>
      </c>
      <c r="CI102">
        <v>1.604928297313674</v>
      </c>
      <c r="CJ102">
        <v>1.791961219955565</v>
      </c>
      <c r="CK102">
        <v>8.887093516461321E-2</v>
      </c>
      <c r="CL102">
        <v>0.11694607150070691</v>
      </c>
    </row>
    <row r="103" spans="1:90" x14ac:dyDescent="0.45">
      <c r="A103" t="s">
        <v>695</v>
      </c>
      <c r="B103">
        <v>1649023200</v>
      </c>
      <c r="C103" t="s">
        <v>575</v>
      </c>
      <c r="D103" t="s">
        <v>65</v>
      </c>
      <c r="E103" t="s">
        <v>66</v>
      </c>
      <c r="F103" t="s">
        <v>85</v>
      </c>
      <c r="G103" t="s">
        <v>67</v>
      </c>
      <c r="H103" t="s">
        <v>165</v>
      </c>
      <c r="I103">
        <v>0.56000000000000005</v>
      </c>
      <c r="J103">
        <v>0.56771944800113816</v>
      </c>
      <c r="K103">
        <v>0.24334898278560252</v>
      </c>
      <c r="L103">
        <v>0.18893156921325935</v>
      </c>
      <c r="M103">
        <v>12</v>
      </c>
      <c r="N103">
        <v>1.71</v>
      </c>
      <c r="O103">
        <v>0.56999999999999995</v>
      </c>
      <c r="P103">
        <v>1.55</v>
      </c>
      <c r="Q103">
        <v>0.65</v>
      </c>
      <c r="R103" t="s">
        <v>1348</v>
      </c>
      <c r="S103">
        <v>1</v>
      </c>
      <c r="T103">
        <v>1</v>
      </c>
      <c r="U103">
        <v>2</v>
      </c>
      <c r="V103">
        <v>1</v>
      </c>
      <c r="W103">
        <v>0</v>
      </c>
      <c r="X103">
        <v>1</v>
      </c>
      <c r="Y103">
        <v>69</v>
      </c>
      <c r="Z103">
        <v>44</v>
      </c>
      <c r="AA103">
        <v>8</v>
      </c>
      <c r="AB103">
        <v>3</v>
      </c>
      <c r="AC103">
        <v>3</v>
      </c>
      <c r="AD103">
        <v>1</v>
      </c>
      <c r="AE103">
        <v>3</v>
      </c>
      <c r="AF103">
        <v>0</v>
      </c>
      <c r="AG103">
        <v>0</v>
      </c>
      <c r="AH103">
        <v>4</v>
      </c>
      <c r="AI103">
        <v>1</v>
      </c>
      <c r="AJ103">
        <v>2</v>
      </c>
      <c r="AK103">
        <v>9</v>
      </c>
      <c r="AL103">
        <v>11</v>
      </c>
      <c r="AM103">
        <v>5</v>
      </c>
      <c r="AN103">
        <v>6</v>
      </c>
      <c r="AO103">
        <v>4</v>
      </c>
      <c r="AP103">
        <v>5</v>
      </c>
      <c r="AQ103">
        <v>13</v>
      </c>
      <c r="AR103">
        <v>15</v>
      </c>
      <c r="AS103">
        <v>64</v>
      </c>
      <c r="AT103">
        <v>36</v>
      </c>
      <c r="AU103">
        <v>1.28</v>
      </c>
      <c r="AV103">
        <v>1.44</v>
      </c>
      <c r="AW103">
        <v>2</v>
      </c>
      <c r="AX103">
        <v>48</v>
      </c>
      <c r="AY103">
        <v>70</v>
      </c>
      <c r="AZ103">
        <v>37</v>
      </c>
      <c r="BA103">
        <v>7</v>
      </c>
      <c r="BB103">
        <v>3</v>
      </c>
      <c r="BC103">
        <v>22</v>
      </c>
      <c r="BD103">
        <v>70</v>
      </c>
      <c r="BE103">
        <v>32</v>
      </c>
      <c r="BF103">
        <v>70</v>
      </c>
      <c r="BG103">
        <v>10</v>
      </c>
      <c r="BH103">
        <v>5.43</v>
      </c>
      <c r="BI103">
        <v>1.65</v>
      </c>
      <c r="BJ103">
        <v>3.55</v>
      </c>
      <c r="BK103">
        <v>4.4000000000000004</v>
      </c>
      <c r="BL103">
        <v>3.8341158059467917E-2</v>
      </c>
      <c r="BM103">
        <v>1.32</v>
      </c>
      <c r="BN103">
        <v>1.95</v>
      </c>
      <c r="BO103">
        <v>3.3</v>
      </c>
      <c r="BP103">
        <v>6.25</v>
      </c>
      <c r="BQ103">
        <v>1.95</v>
      </c>
      <c r="BR103">
        <v>1.8</v>
      </c>
      <c r="BS103" t="s">
        <v>128</v>
      </c>
      <c r="BT103">
        <v>1.9673156855724254</v>
      </c>
      <c r="BU103">
        <v>0.77729484582409181</v>
      </c>
      <c r="BV103">
        <v>2.6892488954344627</v>
      </c>
      <c r="BW103">
        <v>1.7546812539448771</v>
      </c>
      <c r="BX103">
        <v>0.93456764148958549</v>
      </c>
      <c r="BY103">
        <v>0.77824531874605507</v>
      </c>
      <c r="BZ103">
        <v>0.41237113402061848</v>
      </c>
      <c r="CA103">
        <v>13.77153558052435</v>
      </c>
      <c r="CB103">
        <v>9.0445692883895124</v>
      </c>
      <c r="CC103">
        <v>6.0821292775665396</v>
      </c>
      <c r="CD103">
        <v>3.8201520912547529</v>
      </c>
      <c r="CE103">
        <v>7.6894063029578108</v>
      </c>
      <c r="CF103">
        <v>5.224417197134759</v>
      </c>
      <c r="CG103">
        <v>12.297605473204101</v>
      </c>
      <c r="CH103">
        <v>13.310908399847969</v>
      </c>
      <c r="CI103">
        <v>1.3713126843657819</v>
      </c>
      <c r="CJ103">
        <v>1.9516961651917399</v>
      </c>
      <c r="CK103">
        <v>6.6002949852507375E-2</v>
      </c>
      <c r="CL103">
        <v>0.1297935103244838</v>
      </c>
    </row>
    <row r="104" spans="1:90" x14ac:dyDescent="0.45">
      <c r="A104" t="s">
        <v>695</v>
      </c>
      <c r="B104">
        <v>1649030400</v>
      </c>
      <c r="C104" t="s">
        <v>576</v>
      </c>
      <c r="D104" t="s">
        <v>65</v>
      </c>
      <c r="E104" t="s">
        <v>66</v>
      </c>
      <c r="F104" t="s">
        <v>107</v>
      </c>
      <c r="G104" t="s">
        <v>106</v>
      </c>
      <c r="H104" t="s">
        <v>108</v>
      </c>
      <c r="I104">
        <v>0.57999999999999996</v>
      </c>
      <c r="J104">
        <v>0.57540860529184301</v>
      </c>
      <c r="K104">
        <v>0.24762595849079128</v>
      </c>
      <c r="L104">
        <v>0.17696543621736577</v>
      </c>
      <c r="M104">
        <v>12</v>
      </c>
      <c r="N104">
        <v>2.06</v>
      </c>
      <c r="O104">
        <v>0.62</v>
      </c>
      <c r="P104">
        <v>2</v>
      </c>
      <c r="Q104">
        <v>0.53</v>
      </c>
      <c r="R104" t="s">
        <v>1352</v>
      </c>
      <c r="S104">
        <v>2</v>
      </c>
      <c r="T104">
        <v>0</v>
      </c>
      <c r="U104">
        <v>2</v>
      </c>
      <c r="V104">
        <v>0</v>
      </c>
      <c r="W104">
        <v>0</v>
      </c>
      <c r="X104">
        <v>0</v>
      </c>
      <c r="Y104" t="s">
        <v>577</v>
      </c>
      <c r="AA104">
        <v>7</v>
      </c>
      <c r="AB104">
        <v>6</v>
      </c>
      <c r="AC104">
        <v>0</v>
      </c>
      <c r="AD104">
        <v>0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13</v>
      </c>
      <c r="AL104">
        <v>10</v>
      </c>
      <c r="AM104">
        <v>7</v>
      </c>
      <c r="AN104">
        <v>9</v>
      </c>
      <c r="AO104">
        <v>6</v>
      </c>
      <c r="AP104">
        <v>1</v>
      </c>
      <c r="AQ104">
        <v>6</v>
      </c>
      <c r="AR104">
        <v>8</v>
      </c>
      <c r="AS104">
        <v>58</v>
      </c>
      <c r="AT104">
        <v>42</v>
      </c>
      <c r="AU104">
        <v>1.8</v>
      </c>
      <c r="AV104">
        <v>1.65</v>
      </c>
      <c r="AW104">
        <v>2.78</v>
      </c>
      <c r="AX104">
        <v>52</v>
      </c>
      <c r="AY104">
        <v>91</v>
      </c>
      <c r="AZ104">
        <v>55</v>
      </c>
      <c r="BA104">
        <v>25</v>
      </c>
      <c r="BB104">
        <v>7</v>
      </c>
      <c r="BC104">
        <v>27</v>
      </c>
      <c r="BD104">
        <v>74</v>
      </c>
      <c r="BE104">
        <v>45</v>
      </c>
      <c r="BF104">
        <v>87</v>
      </c>
      <c r="BG104">
        <v>10.06</v>
      </c>
      <c r="BH104">
        <v>4.9800000000000004</v>
      </c>
      <c r="BI104">
        <v>1.63</v>
      </c>
      <c r="BJ104">
        <v>3.5</v>
      </c>
      <c r="BK104">
        <v>4.6500000000000004</v>
      </c>
      <c r="BL104">
        <v>3.8088327223494423E-2</v>
      </c>
      <c r="BM104">
        <v>1.34</v>
      </c>
      <c r="BN104">
        <v>1.87</v>
      </c>
      <c r="BO104">
        <v>3.5</v>
      </c>
      <c r="BP104">
        <v>6.75</v>
      </c>
      <c r="BQ104">
        <v>2.0499999999999998</v>
      </c>
      <c r="BR104">
        <v>1.7</v>
      </c>
      <c r="BS104" t="s">
        <v>161</v>
      </c>
      <c r="BT104">
        <v>2.0230889143600308</v>
      </c>
      <c r="BU104">
        <v>0.72731480520165426</v>
      </c>
      <c r="BV104">
        <v>2.6362999299229148</v>
      </c>
      <c r="BW104">
        <v>1.7619715019855171</v>
      </c>
      <c r="BX104">
        <v>0.87432842793739785</v>
      </c>
      <c r="BY104">
        <v>0.78411214953271025</v>
      </c>
      <c r="BZ104">
        <v>0.38060747663551397</v>
      </c>
      <c r="CA104">
        <v>14.215499378367181</v>
      </c>
      <c r="CB104">
        <v>8.9523612261806136</v>
      </c>
      <c r="CC104">
        <v>6.3083121289228163</v>
      </c>
      <c r="CD104">
        <v>3.7757524374735061</v>
      </c>
      <c r="CE104">
        <v>7.9071872494443642</v>
      </c>
      <c r="CF104">
        <v>5.1766087887071075</v>
      </c>
      <c r="CG104">
        <v>12.634239592183521</v>
      </c>
      <c r="CH104">
        <v>13.597706032285471</v>
      </c>
      <c r="CI104">
        <v>1.365400161681487</v>
      </c>
      <c r="CJ104">
        <v>1.963621665319321</v>
      </c>
      <c r="CK104">
        <v>7.1544058205335492E-2</v>
      </c>
      <c r="CL104">
        <v>0.1216653193209378</v>
      </c>
    </row>
    <row r="105" spans="1:90" x14ac:dyDescent="0.45">
      <c r="A105" t="s">
        <v>695</v>
      </c>
      <c r="B105">
        <v>1649030400</v>
      </c>
      <c r="C105" t="s">
        <v>576</v>
      </c>
      <c r="D105" t="s">
        <v>65</v>
      </c>
      <c r="E105" t="s">
        <v>66</v>
      </c>
      <c r="F105" t="s">
        <v>73</v>
      </c>
      <c r="G105" t="s">
        <v>84</v>
      </c>
      <c r="H105" t="s">
        <v>133</v>
      </c>
      <c r="I105">
        <v>0.32</v>
      </c>
      <c r="J105">
        <v>0.31156793364168917</v>
      </c>
      <c r="K105">
        <v>0.29426170570712984</v>
      </c>
      <c r="L105">
        <v>0.394170360651181</v>
      </c>
      <c r="M105">
        <v>12</v>
      </c>
      <c r="N105">
        <v>1.56</v>
      </c>
      <c r="O105">
        <v>1.57</v>
      </c>
      <c r="P105">
        <v>1.58</v>
      </c>
      <c r="Q105">
        <v>1.42</v>
      </c>
      <c r="R105" t="s">
        <v>1352</v>
      </c>
      <c r="S105">
        <v>3</v>
      </c>
      <c r="T105">
        <v>1</v>
      </c>
      <c r="U105">
        <v>4</v>
      </c>
      <c r="V105">
        <v>1</v>
      </c>
      <c r="W105">
        <v>1</v>
      </c>
      <c r="X105">
        <v>0</v>
      </c>
      <c r="Y105" t="s">
        <v>578</v>
      </c>
      <c r="Z105">
        <v>82</v>
      </c>
      <c r="AA105">
        <v>9</v>
      </c>
      <c r="AB105">
        <v>3</v>
      </c>
      <c r="AC105">
        <v>4</v>
      </c>
      <c r="AD105">
        <v>0</v>
      </c>
      <c r="AE105">
        <v>1</v>
      </c>
      <c r="AF105">
        <v>0</v>
      </c>
      <c r="AG105">
        <v>2</v>
      </c>
      <c r="AH105">
        <v>2</v>
      </c>
      <c r="AI105">
        <v>1</v>
      </c>
      <c r="AJ105">
        <v>0</v>
      </c>
      <c r="AK105">
        <v>11</v>
      </c>
      <c r="AL105">
        <v>13</v>
      </c>
      <c r="AM105">
        <v>7</v>
      </c>
      <c r="AN105">
        <v>3</v>
      </c>
      <c r="AO105">
        <v>4</v>
      </c>
      <c r="AP105">
        <v>10</v>
      </c>
      <c r="AQ105">
        <v>13</v>
      </c>
      <c r="AR105">
        <v>8</v>
      </c>
      <c r="AS105">
        <v>35</v>
      </c>
      <c r="AT105">
        <v>65</v>
      </c>
      <c r="AU105">
        <v>1.51</v>
      </c>
      <c r="AV105">
        <v>1.38</v>
      </c>
      <c r="AW105">
        <v>2.75</v>
      </c>
      <c r="AX105">
        <v>60</v>
      </c>
      <c r="AY105">
        <v>84</v>
      </c>
      <c r="AZ105">
        <v>54</v>
      </c>
      <c r="BA105">
        <v>30</v>
      </c>
      <c r="BB105">
        <v>13</v>
      </c>
      <c r="BC105">
        <v>38</v>
      </c>
      <c r="BD105">
        <v>65</v>
      </c>
      <c r="BE105">
        <v>53</v>
      </c>
      <c r="BF105">
        <v>91</v>
      </c>
      <c r="BG105">
        <v>11.83</v>
      </c>
      <c r="BH105">
        <v>3.99</v>
      </c>
      <c r="BI105">
        <v>2.87</v>
      </c>
      <c r="BJ105">
        <v>3.02</v>
      </c>
      <c r="BK105">
        <v>2.3199999999999998</v>
      </c>
      <c r="BL105">
        <v>3.6864122107439723E-2</v>
      </c>
      <c r="BM105">
        <v>1.44</v>
      </c>
      <c r="BN105">
        <v>2.15</v>
      </c>
      <c r="BO105">
        <v>4.33</v>
      </c>
      <c r="BP105">
        <v>9</v>
      </c>
      <c r="BQ105">
        <v>1.95</v>
      </c>
      <c r="BR105">
        <v>1.8</v>
      </c>
      <c r="BS105" t="s">
        <v>142</v>
      </c>
      <c r="BT105">
        <v>1.274681051426811</v>
      </c>
      <c r="BU105">
        <v>1.4392482240810365</v>
      </c>
      <c r="BV105">
        <v>2.5313454284174597</v>
      </c>
      <c r="BW105">
        <v>1.210167055864918</v>
      </c>
      <c r="BX105">
        <v>1.3211783725525419</v>
      </c>
      <c r="BY105">
        <v>0.53135669362084459</v>
      </c>
      <c r="BZ105">
        <v>0.55633423180592989</v>
      </c>
      <c r="CA105">
        <v>11.21109010712035</v>
      </c>
      <c r="CB105">
        <v>11.01700787401575</v>
      </c>
      <c r="CC105">
        <v>4.6792332268370611</v>
      </c>
      <c r="CD105">
        <v>4.7080804854679013</v>
      </c>
      <c r="CE105">
        <v>6.5318568802832893</v>
      </c>
      <c r="CF105">
        <v>6.3089273885478487</v>
      </c>
      <c r="CG105">
        <v>12.72547770700637</v>
      </c>
      <c r="CH105">
        <v>13.06847133757962</v>
      </c>
      <c r="CI105">
        <v>1.6902356902356901</v>
      </c>
      <c r="CJ105">
        <v>1.8050198959289869</v>
      </c>
      <c r="CK105">
        <v>0.105907560453015</v>
      </c>
      <c r="CL105">
        <v>0.1141720232629324</v>
      </c>
    </row>
    <row r="106" spans="1:90" x14ac:dyDescent="0.45">
      <c r="A106" t="s">
        <v>695</v>
      </c>
      <c r="B106">
        <v>1649289600</v>
      </c>
      <c r="C106" t="s">
        <v>579</v>
      </c>
      <c r="D106" t="s">
        <v>65</v>
      </c>
      <c r="E106" t="s">
        <v>66</v>
      </c>
      <c r="F106" t="s">
        <v>79</v>
      </c>
      <c r="G106" t="s">
        <v>101</v>
      </c>
      <c r="H106" t="s">
        <v>92</v>
      </c>
      <c r="I106">
        <v>0.24</v>
      </c>
      <c r="J106">
        <v>0.23182145099953325</v>
      </c>
      <c r="K106">
        <v>0.2608791512901103</v>
      </c>
      <c r="L106">
        <v>0.50729939771035659</v>
      </c>
      <c r="M106">
        <v>4</v>
      </c>
      <c r="N106">
        <v>1.36</v>
      </c>
      <c r="O106">
        <v>1.07</v>
      </c>
      <c r="P106">
        <v>1.17</v>
      </c>
      <c r="Q106">
        <v>1.05</v>
      </c>
      <c r="R106" t="s">
        <v>1348</v>
      </c>
      <c r="S106">
        <v>2</v>
      </c>
      <c r="T106">
        <v>2</v>
      </c>
      <c r="U106">
        <v>4</v>
      </c>
      <c r="V106">
        <v>3</v>
      </c>
      <c r="W106">
        <v>1</v>
      </c>
      <c r="X106">
        <v>2</v>
      </c>
      <c r="Y106" t="s">
        <v>580</v>
      </c>
      <c r="Z106" t="s">
        <v>581</v>
      </c>
      <c r="AA106">
        <v>2</v>
      </c>
      <c r="AB106">
        <v>3</v>
      </c>
      <c r="AC106">
        <v>3</v>
      </c>
      <c r="AD106">
        <v>0</v>
      </c>
      <c r="AE106">
        <v>4</v>
      </c>
      <c r="AF106">
        <v>0</v>
      </c>
      <c r="AG106">
        <v>2</v>
      </c>
      <c r="AH106">
        <v>1</v>
      </c>
      <c r="AI106">
        <v>2</v>
      </c>
      <c r="AJ106">
        <v>2</v>
      </c>
      <c r="AK106">
        <v>13</v>
      </c>
      <c r="AL106">
        <v>12</v>
      </c>
      <c r="AM106">
        <v>5</v>
      </c>
      <c r="AN106">
        <v>5</v>
      </c>
      <c r="AO106">
        <v>8</v>
      </c>
      <c r="AP106">
        <v>7</v>
      </c>
      <c r="AQ106">
        <v>11</v>
      </c>
      <c r="AR106">
        <v>12</v>
      </c>
      <c r="AS106">
        <v>61</v>
      </c>
      <c r="AT106">
        <v>39</v>
      </c>
      <c r="AU106">
        <v>1.43</v>
      </c>
      <c r="AV106">
        <v>1.31</v>
      </c>
      <c r="AW106">
        <v>2.7</v>
      </c>
      <c r="AX106">
        <v>73</v>
      </c>
      <c r="AY106">
        <v>83</v>
      </c>
      <c r="AZ106">
        <v>60</v>
      </c>
      <c r="BA106">
        <v>32</v>
      </c>
      <c r="BB106">
        <v>7</v>
      </c>
      <c r="BC106">
        <v>49</v>
      </c>
      <c r="BD106">
        <v>73</v>
      </c>
      <c r="BE106">
        <v>42</v>
      </c>
      <c r="BF106">
        <v>69</v>
      </c>
      <c r="BG106">
        <v>9.77</v>
      </c>
      <c r="BH106">
        <v>5.8</v>
      </c>
      <c r="BI106">
        <v>3.65</v>
      </c>
      <c r="BJ106">
        <v>3.3</v>
      </c>
      <c r="BK106">
        <v>1.82</v>
      </c>
      <c r="BL106">
        <v>4.2151151740192759E-2</v>
      </c>
      <c r="BM106">
        <v>1.28</v>
      </c>
      <c r="BN106">
        <v>1.92</v>
      </c>
      <c r="BO106">
        <v>3.13</v>
      </c>
      <c r="BP106">
        <v>5.95</v>
      </c>
      <c r="BQ106">
        <v>1.67</v>
      </c>
      <c r="BR106">
        <v>2.08</v>
      </c>
      <c r="BS106" t="s">
        <v>140</v>
      </c>
      <c r="BT106">
        <v>1.0221684690062811</v>
      </c>
      <c r="BU106">
        <v>1.7036119427882386</v>
      </c>
      <c r="BV106">
        <v>2.6014437689969609</v>
      </c>
      <c r="BW106">
        <v>1.067249240121581</v>
      </c>
      <c r="BX106">
        <v>1.53419452887538</v>
      </c>
      <c r="BY106">
        <v>0.45589353612167299</v>
      </c>
      <c r="BZ106">
        <v>0.65133079847908748</v>
      </c>
      <c r="CA106">
        <v>10.75886524822695</v>
      </c>
      <c r="CB106">
        <v>12.46679561573179</v>
      </c>
      <c r="CC106">
        <v>4.1157347204161248</v>
      </c>
      <c r="CD106">
        <v>5.1072821846553964</v>
      </c>
      <c r="CE106">
        <v>6.6431305278108255</v>
      </c>
      <c r="CF106">
        <v>7.3595134310763939</v>
      </c>
      <c r="CG106">
        <v>13.11140235910878</v>
      </c>
      <c r="CH106">
        <v>12.93184796854522</v>
      </c>
      <c r="CI106">
        <v>1.8341677096370459</v>
      </c>
      <c r="CJ106">
        <v>1.7903629536921151</v>
      </c>
      <c r="CK106">
        <v>0.1095118898623279</v>
      </c>
      <c r="CL106">
        <v>9.3241551939924908E-2</v>
      </c>
    </row>
    <row r="107" spans="1:90" x14ac:dyDescent="0.45">
      <c r="A107" t="s">
        <v>695</v>
      </c>
      <c r="B107">
        <v>1649297160</v>
      </c>
      <c r="C107" t="s">
        <v>582</v>
      </c>
      <c r="D107" t="s">
        <v>65</v>
      </c>
      <c r="E107" t="s">
        <v>66</v>
      </c>
      <c r="F107" t="s">
        <v>106</v>
      </c>
      <c r="G107" t="s">
        <v>91</v>
      </c>
      <c r="H107" t="s">
        <v>583</v>
      </c>
      <c r="I107">
        <v>0.46</v>
      </c>
      <c r="J107">
        <v>0.45638954983536434</v>
      </c>
      <c r="K107">
        <v>0.27180522508231791</v>
      </c>
      <c r="L107">
        <v>0.27180522508231791</v>
      </c>
      <c r="M107">
        <v>9</v>
      </c>
      <c r="N107">
        <v>1.5</v>
      </c>
      <c r="O107">
        <v>1.33</v>
      </c>
      <c r="P107">
        <v>1.35</v>
      </c>
      <c r="Q107">
        <v>1.25</v>
      </c>
      <c r="R107" t="s">
        <v>1348</v>
      </c>
      <c r="S107">
        <v>1</v>
      </c>
      <c r="T107">
        <v>1</v>
      </c>
      <c r="U107">
        <v>2</v>
      </c>
      <c r="V107">
        <v>0</v>
      </c>
      <c r="W107">
        <v>0</v>
      </c>
      <c r="X107">
        <v>0</v>
      </c>
      <c r="Y107">
        <v>73</v>
      </c>
      <c r="Z107">
        <v>85</v>
      </c>
      <c r="AA107">
        <v>7</v>
      </c>
      <c r="AB107">
        <v>3</v>
      </c>
      <c r="AC107">
        <v>2</v>
      </c>
      <c r="AD107">
        <v>0</v>
      </c>
      <c r="AE107">
        <v>3</v>
      </c>
      <c r="AF107">
        <v>0</v>
      </c>
      <c r="AG107">
        <v>1</v>
      </c>
      <c r="AH107">
        <v>1</v>
      </c>
      <c r="AI107">
        <v>1</v>
      </c>
      <c r="AJ107">
        <v>2</v>
      </c>
      <c r="AK107">
        <v>23</v>
      </c>
      <c r="AL107">
        <v>12</v>
      </c>
      <c r="AM107">
        <v>9</v>
      </c>
      <c r="AN107">
        <v>5</v>
      </c>
      <c r="AO107">
        <v>14</v>
      </c>
      <c r="AP107">
        <v>7</v>
      </c>
      <c r="AQ107">
        <v>12</v>
      </c>
      <c r="AR107">
        <v>9</v>
      </c>
      <c r="AS107">
        <v>57</v>
      </c>
      <c r="AT107">
        <v>43</v>
      </c>
      <c r="AU107">
        <v>2.4700000000000002</v>
      </c>
      <c r="AV107">
        <v>1.38</v>
      </c>
      <c r="AW107">
        <v>2.17</v>
      </c>
      <c r="AX107">
        <v>52</v>
      </c>
      <c r="AY107">
        <v>66</v>
      </c>
      <c r="AZ107">
        <v>41</v>
      </c>
      <c r="BA107">
        <v>21</v>
      </c>
      <c r="BB107">
        <v>7</v>
      </c>
      <c r="BC107">
        <v>21</v>
      </c>
      <c r="BD107">
        <v>59</v>
      </c>
      <c r="BE107">
        <v>38</v>
      </c>
      <c r="BF107">
        <v>69</v>
      </c>
      <c r="BG107">
        <v>8.06</v>
      </c>
      <c r="BH107">
        <v>4.74</v>
      </c>
      <c r="BI107">
        <v>2.0699999999999998</v>
      </c>
      <c r="BJ107">
        <v>3.35</v>
      </c>
      <c r="BK107">
        <v>3.35</v>
      </c>
      <c r="BL107">
        <v>2.6702237604249241E-2</v>
      </c>
      <c r="BM107">
        <v>1.36</v>
      </c>
      <c r="BN107">
        <v>2.09</v>
      </c>
      <c r="BO107">
        <v>3.5</v>
      </c>
      <c r="BP107">
        <v>7</v>
      </c>
      <c r="BQ107">
        <v>1.85</v>
      </c>
      <c r="BR107">
        <v>1.85</v>
      </c>
      <c r="BS107" t="s">
        <v>110</v>
      </c>
      <c r="BT107">
        <v>1.6955772349985931</v>
      </c>
      <c r="BU107">
        <v>1.0239029519551039</v>
      </c>
      <c r="BV107">
        <v>2.5405629139072849</v>
      </c>
      <c r="BW107">
        <v>1.4888836329233679</v>
      </c>
      <c r="BX107">
        <v>1.0516792809839171</v>
      </c>
      <c r="BY107">
        <v>0.64581362346263005</v>
      </c>
      <c r="BZ107">
        <v>0.45364238410596031</v>
      </c>
      <c r="CA107">
        <v>12.686892177589851</v>
      </c>
      <c r="CB107">
        <v>9.8059196617336148</v>
      </c>
      <c r="CC107">
        <v>5.3198121263877027</v>
      </c>
      <c r="CD107">
        <v>4.0954312553373189</v>
      </c>
      <c r="CE107">
        <v>7.3670800512021479</v>
      </c>
      <c r="CF107">
        <v>5.710488406396296</v>
      </c>
      <c r="CG107">
        <v>13.0488908033599</v>
      </c>
      <c r="CH107">
        <v>13.714839543398661</v>
      </c>
      <c r="CI107">
        <v>1.567523459812322</v>
      </c>
      <c r="CJ107">
        <v>1.951040391676867</v>
      </c>
      <c r="CK107">
        <v>8.3027335781313744E-2</v>
      </c>
      <c r="CL107">
        <v>0.13117095063239501</v>
      </c>
    </row>
    <row r="108" spans="1:90" x14ac:dyDescent="0.45">
      <c r="A108" t="s">
        <v>695</v>
      </c>
      <c r="B108">
        <v>1649376000</v>
      </c>
      <c r="C108" t="s">
        <v>584</v>
      </c>
      <c r="D108" t="s">
        <v>65</v>
      </c>
      <c r="E108" t="s">
        <v>66</v>
      </c>
      <c r="F108" t="s">
        <v>84</v>
      </c>
      <c r="G108" t="s">
        <v>107</v>
      </c>
      <c r="H108" t="s">
        <v>66</v>
      </c>
      <c r="I108">
        <v>0.38</v>
      </c>
      <c r="J108">
        <v>0.3761652809271856</v>
      </c>
      <c r="K108">
        <v>0.28546233308138064</v>
      </c>
      <c r="L108">
        <v>0.33837238599143354</v>
      </c>
      <c r="M108">
        <v>9</v>
      </c>
      <c r="N108">
        <v>1.62</v>
      </c>
      <c r="O108">
        <v>1.6</v>
      </c>
      <c r="P108">
        <v>1.89</v>
      </c>
      <c r="Q108">
        <v>1.48</v>
      </c>
      <c r="R108" t="s">
        <v>1352</v>
      </c>
      <c r="S108">
        <v>2</v>
      </c>
      <c r="T108">
        <v>1</v>
      </c>
      <c r="U108">
        <v>3</v>
      </c>
      <c r="V108">
        <v>0</v>
      </c>
      <c r="W108">
        <v>0</v>
      </c>
      <c r="X108">
        <v>0</v>
      </c>
      <c r="Y108" t="s">
        <v>585</v>
      </c>
      <c r="Z108">
        <v>65</v>
      </c>
      <c r="AA108">
        <v>5</v>
      </c>
      <c r="AB108">
        <v>3</v>
      </c>
      <c r="AC108">
        <v>1</v>
      </c>
      <c r="AD108">
        <v>0</v>
      </c>
      <c r="AE108">
        <v>2</v>
      </c>
      <c r="AF108">
        <v>0</v>
      </c>
      <c r="AG108">
        <v>0</v>
      </c>
      <c r="AH108">
        <v>1</v>
      </c>
      <c r="AI108">
        <v>2</v>
      </c>
      <c r="AJ108">
        <v>0</v>
      </c>
      <c r="AK108">
        <v>19</v>
      </c>
      <c r="AL108">
        <v>7</v>
      </c>
      <c r="AM108">
        <v>9</v>
      </c>
      <c r="AN108">
        <v>3</v>
      </c>
      <c r="AO108">
        <v>10</v>
      </c>
      <c r="AP108">
        <v>4</v>
      </c>
      <c r="AQ108">
        <v>9</v>
      </c>
      <c r="AR108">
        <v>10</v>
      </c>
      <c r="AS108">
        <v>45</v>
      </c>
      <c r="AT108">
        <v>55</v>
      </c>
      <c r="AU108">
        <v>2.08</v>
      </c>
      <c r="AV108">
        <v>0.97</v>
      </c>
      <c r="AW108">
        <v>2.5499999999999998</v>
      </c>
      <c r="AX108">
        <v>65</v>
      </c>
      <c r="AY108">
        <v>81</v>
      </c>
      <c r="AZ108">
        <v>53</v>
      </c>
      <c r="BA108">
        <v>22</v>
      </c>
      <c r="BB108">
        <v>4</v>
      </c>
      <c r="BC108">
        <v>43</v>
      </c>
      <c r="BD108">
        <v>79</v>
      </c>
      <c r="BE108">
        <v>34</v>
      </c>
      <c r="BF108">
        <v>78</v>
      </c>
      <c r="BG108">
        <v>9.43</v>
      </c>
      <c r="BH108">
        <v>4.2699999999999996</v>
      </c>
      <c r="BI108">
        <v>2.4500000000000002</v>
      </c>
      <c r="BJ108">
        <v>3.15</v>
      </c>
      <c r="BK108">
        <v>2.7</v>
      </c>
      <c r="BL108">
        <v>3.1997984378936785E-2</v>
      </c>
      <c r="BM108">
        <v>1.3</v>
      </c>
      <c r="BN108">
        <v>1.75</v>
      </c>
      <c r="BO108">
        <v>3.25</v>
      </c>
      <c r="BP108">
        <v>6</v>
      </c>
      <c r="BQ108">
        <v>1.73</v>
      </c>
      <c r="BR108">
        <v>2</v>
      </c>
      <c r="BS108" t="s">
        <v>88</v>
      </c>
      <c r="BT108">
        <v>1.464160929441638</v>
      </c>
      <c r="BU108">
        <v>1.2477119808919459</v>
      </c>
      <c r="BV108">
        <v>2.4900895140664963</v>
      </c>
      <c r="BW108">
        <v>1.330562659846547</v>
      </c>
      <c r="BX108">
        <v>1.1595268542199491</v>
      </c>
      <c r="BY108">
        <v>0.59053607588191415</v>
      </c>
      <c r="BZ108">
        <v>0.50069274219332838</v>
      </c>
      <c r="CA108">
        <v>11.79715236686391</v>
      </c>
      <c r="CB108">
        <v>10.317122781065089</v>
      </c>
      <c r="CC108">
        <v>5.0637025966747622</v>
      </c>
      <c r="CD108">
        <v>4.4674014571268454</v>
      </c>
      <c r="CE108">
        <v>6.7334497701891483</v>
      </c>
      <c r="CF108">
        <v>5.849721323938244</v>
      </c>
      <c r="CG108">
        <v>12.89644194756554</v>
      </c>
      <c r="CH108">
        <v>13.3434456928839</v>
      </c>
      <c r="CI108">
        <v>1.6144382124117971</v>
      </c>
      <c r="CJ108">
        <v>1.9032024606477289</v>
      </c>
      <c r="CK108">
        <v>9.372172969060974E-2</v>
      </c>
      <c r="CL108">
        <v>0.11669983716301791</v>
      </c>
    </row>
    <row r="109" spans="1:90" x14ac:dyDescent="0.45">
      <c r="A109" t="s">
        <v>695</v>
      </c>
      <c r="B109">
        <v>1649383200</v>
      </c>
      <c r="C109" t="s">
        <v>586</v>
      </c>
      <c r="D109" t="s">
        <v>65</v>
      </c>
      <c r="E109" t="s">
        <v>66</v>
      </c>
      <c r="F109" t="s">
        <v>97</v>
      </c>
      <c r="G109" t="s">
        <v>72</v>
      </c>
      <c r="H109" t="s">
        <v>74</v>
      </c>
      <c r="I109">
        <v>0.48</v>
      </c>
      <c r="J109">
        <v>0.48299319727891155</v>
      </c>
      <c r="K109">
        <v>0.30612244897959179</v>
      </c>
      <c r="L109">
        <v>0.21088435374149656</v>
      </c>
      <c r="M109">
        <v>13</v>
      </c>
      <c r="N109">
        <v>1.53</v>
      </c>
      <c r="O109">
        <v>1.27</v>
      </c>
      <c r="P109">
        <v>1.55</v>
      </c>
      <c r="Q109">
        <v>1.28</v>
      </c>
      <c r="R109" t="s">
        <v>1352</v>
      </c>
      <c r="S109">
        <v>2</v>
      </c>
      <c r="T109">
        <v>1</v>
      </c>
      <c r="U109">
        <v>3</v>
      </c>
      <c r="V109">
        <v>1</v>
      </c>
      <c r="W109">
        <v>1</v>
      </c>
      <c r="X109">
        <v>0</v>
      </c>
      <c r="Y109" t="s">
        <v>587</v>
      </c>
      <c r="Z109">
        <v>49</v>
      </c>
      <c r="AA109">
        <v>5</v>
      </c>
      <c r="AB109">
        <v>5</v>
      </c>
      <c r="AC109">
        <v>0</v>
      </c>
      <c r="AD109">
        <v>0</v>
      </c>
      <c r="AE109">
        <v>2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20</v>
      </c>
      <c r="AL109">
        <v>14</v>
      </c>
      <c r="AM109">
        <v>9</v>
      </c>
      <c r="AN109">
        <v>7</v>
      </c>
      <c r="AO109">
        <v>11</v>
      </c>
      <c r="AP109">
        <v>7</v>
      </c>
      <c r="AQ109">
        <v>7</v>
      </c>
      <c r="AR109">
        <v>17</v>
      </c>
      <c r="AS109">
        <v>49</v>
      </c>
      <c r="AT109">
        <v>51</v>
      </c>
      <c r="AU109">
        <v>2.23</v>
      </c>
      <c r="AV109">
        <v>1.56</v>
      </c>
      <c r="AW109">
        <v>1.87</v>
      </c>
      <c r="AX109">
        <v>39</v>
      </c>
      <c r="AY109">
        <v>60</v>
      </c>
      <c r="AZ109">
        <v>33</v>
      </c>
      <c r="BA109">
        <v>7</v>
      </c>
      <c r="BB109">
        <v>4</v>
      </c>
      <c r="BC109">
        <v>13</v>
      </c>
      <c r="BD109">
        <v>51</v>
      </c>
      <c r="BE109">
        <v>42</v>
      </c>
      <c r="BF109">
        <v>78</v>
      </c>
      <c r="BG109">
        <v>8.98</v>
      </c>
      <c r="BH109">
        <v>5.4</v>
      </c>
      <c r="BI109">
        <v>1.96</v>
      </c>
      <c r="BJ109">
        <v>3</v>
      </c>
      <c r="BK109">
        <v>4.2</v>
      </c>
      <c r="BL109">
        <v>2.7210884353741527E-2</v>
      </c>
      <c r="BM109">
        <v>1.52</v>
      </c>
      <c r="BN109">
        <v>1.74</v>
      </c>
      <c r="BO109">
        <v>3</v>
      </c>
      <c r="BP109">
        <v>5.5</v>
      </c>
      <c r="BQ109">
        <v>1.73</v>
      </c>
      <c r="BR109">
        <v>2</v>
      </c>
      <c r="BS109" t="s">
        <v>136</v>
      </c>
      <c r="BT109">
        <v>1.743992017160418</v>
      </c>
      <c r="BU109">
        <v>0.97803937284245479</v>
      </c>
      <c r="BV109">
        <v>2.5271929824561399</v>
      </c>
      <c r="BW109">
        <v>1.510877192982456</v>
      </c>
      <c r="BX109">
        <v>1.0163157894736841</v>
      </c>
      <c r="BY109">
        <v>0.67350877192982461</v>
      </c>
      <c r="BZ109">
        <v>0.4442105263157895</v>
      </c>
      <c r="CA109">
        <v>12.80980392156863</v>
      </c>
      <c r="CB109">
        <v>9.6872549019607845</v>
      </c>
      <c r="CC109">
        <v>5.6491169610129957</v>
      </c>
      <c r="CD109">
        <v>4.1379540153282237</v>
      </c>
      <c r="CE109">
        <v>7.1606869605556343</v>
      </c>
      <c r="CF109">
        <v>5.5493008866325608</v>
      </c>
      <c r="CG109">
        <v>12.9029029029029</v>
      </c>
      <c r="CH109">
        <v>13.75508842175509</v>
      </c>
      <c r="CI109">
        <v>1.5287356321839081</v>
      </c>
      <c r="CJ109">
        <v>1.9664750957854411</v>
      </c>
      <c r="CK109">
        <v>8.8441890166028103E-2</v>
      </c>
      <c r="CL109">
        <v>0.13409961685823751</v>
      </c>
    </row>
    <row r="110" spans="1:90" x14ac:dyDescent="0.45">
      <c r="A110" t="s">
        <v>695</v>
      </c>
      <c r="B110">
        <v>1649462400</v>
      </c>
      <c r="C110" t="s">
        <v>588</v>
      </c>
      <c r="D110" t="s">
        <v>65</v>
      </c>
      <c r="E110" t="s">
        <v>66</v>
      </c>
      <c r="F110" t="s">
        <v>102</v>
      </c>
      <c r="G110" t="s">
        <v>96</v>
      </c>
      <c r="H110" t="s">
        <v>175</v>
      </c>
      <c r="I110">
        <v>0.46</v>
      </c>
      <c r="J110">
        <v>0.45496238179165016</v>
      </c>
      <c r="K110">
        <v>0.27018780677317267</v>
      </c>
      <c r="L110">
        <v>0.27484981143517734</v>
      </c>
      <c r="M110">
        <v>13</v>
      </c>
      <c r="N110">
        <v>1.53</v>
      </c>
      <c r="O110">
        <v>1.29</v>
      </c>
      <c r="P110">
        <v>1.38</v>
      </c>
      <c r="Q110">
        <v>1.1000000000000001</v>
      </c>
      <c r="R110" t="s">
        <v>1348</v>
      </c>
      <c r="S110">
        <v>2</v>
      </c>
      <c r="T110">
        <v>2</v>
      </c>
      <c r="U110">
        <v>4</v>
      </c>
      <c r="V110">
        <v>3</v>
      </c>
      <c r="W110">
        <v>2</v>
      </c>
      <c r="X110">
        <v>1</v>
      </c>
      <c r="Y110" t="s">
        <v>589</v>
      </c>
      <c r="Z110" t="s">
        <v>590</v>
      </c>
      <c r="AA110">
        <v>2</v>
      </c>
      <c r="AB110">
        <v>6</v>
      </c>
      <c r="AC110">
        <v>4</v>
      </c>
      <c r="AD110">
        <v>0</v>
      </c>
      <c r="AE110">
        <v>2</v>
      </c>
      <c r="AF110">
        <v>0</v>
      </c>
      <c r="AG110">
        <v>1</v>
      </c>
      <c r="AH110">
        <v>3</v>
      </c>
      <c r="AI110">
        <v>0</v>
      </c>
      <c r="AJ110">
        <v>2</v>
      </c>
      <c r="AK110">
        <v>7</v>
      </c>
      <c r="AL110">
        <v>11</v>
      </c>
      <c r="AM110">
        <v>6</v>
      </c>
      <c r="AN110">
        <v>5</v>
      </c>
      <c r="AO110">
        <v>1</v>
      </c>
      <c r="AP110">
        <v>6</v>
      </c>
      <c r="AQ110">
        <v>15</v>
      </c>
      <c r="AR110">
        <v>9</v>
      </c>
      <c r="AS110">
        <v>45</v>
      </c>
      <c r="AT110">
        <v>55</v>
      </c>
      <c r="AU110">
        <v>1.1000000000000001</v>
      </c>
      <c r="AV110">
        <v>1.21</v>
      </c>
      <c r="AW110">
        <v>2.38</v>
      </c>
      <c r="AX110">
        <v>59</v>
      </c>
      <c r="AY110">
        <v>74</v>
      </c>
      <c r="AZ110">
        <v>44</v>
      </c>
      <c r="BA110">
        <v>24</v>
      </c>
      <c r="BB110">
        <v>3</v>
      </c>
      <c r="BC110">
        <v>29</v>
      </c>
      <c r="BD110">
        <v>62</v>
      </c>
      <c r="BE110">
        <v>38</v>
      </c>
      <c r="BF110">
        <v>85</v>
      </c>
      <c r="BG110">
        <v>9</v>
      </c>
      <c r="BH110">
        <v>5.65</v>
      </c>
      <c r="BI110">
        <v>2.0499999999999998</v>
      </c>
      <c r="BJ110">
        <v>3.3</v>
      </c>
      <c r="BK110">
        <v>3.25</v>
      </c>
      <c r="BL110">
        <v>3.2842496257130392E-2</v>
      </c>
      <c r="BM110">
        <v>1.29</v>
      </c>
      <c r="BN110">
        <v>1.91</v>
      </c>
      <c r="BO110">
        <v>3</v>
      </c>
      <c r="BP110">
        <v>5.5</v>
      </c>
      <c r="BQ110">
        <v>1.7</v>
      </c>
      <c r="BR110">
        <v>2.0499999999999998</v>
      </c>
      <c r="BS110" t="s">
        <v>124</v>
      </c>
      <c r="BT110">
        <v>1.6955772349985931</v>
      </c>
      <c r="BU110">
        <v>1.0239029519551039</v>
      </c>
      <c r="BV110">
        <v>2.5405629139072849</v>
      </c>
      <c r="BW110">
        <v>1.4888836329233679</v>
      </c>
      <c r="BX110">
        <v>1.0516792809839171</v>
      </c>
      <c r="BY110">
        <v>0.64581362346263005</v>
      </c>
      <c r="BZ110">
        <v>0.45364238410596031</v>
      </c>
      <c r="CA110">
        <v>12.686892177589851</v>
      </c>
      <c r="CB110">
        <v>9.8059196617336148</v>
      </c>
      <c r="CC110">
        <v>5.3198121263877027</v>
      </c>
      <c r="CD110">
        <v>4.0954312553373189</v>
      </c>
      <c r="CE110">
        <v>7.3670800512021479</v>
      </c>
      <c r="CF110">
        <v>5.710488406396296</v>
      </c>
      <c r="CG110">
        <v>13.0488908033599</v>
      </c>
      <c r="CH110">
        <v>13.714839543398661</v>
      </c>
      <c r="CI110">
        <v>1.567523459812322</v>
      </c>
      <c r="CJ110">
        <v>1.951040391676867</v>
      </c>
      <c r="CK110">
        <v>8.3027335781313744E-2</v>
      </c>
      <c r="CL110">
        <v>0.13117095063239501</v>
      </c>
    </row>
    <row r="111" spans="1:90" x14ac:dyDescent="0.45">
      <c r="A111" t="s">
        <v>695</v>
      </c>
      <c r="B111">
        <v>1649469600</v>
      </c>
      <c r="C111" t="s">
        <v>591</v>
      </c>
      <c r="D111" t="s">
        <v>65</v>
      </c>
      <c r="E111" t="s">
        <v>66</v>
      </c>
      <c r="F111" t="s">
        <v>113</v>
      </c>
      <c r="G111" t="s">
        <v>112</v>
      </c>
      <c r="H111" t="s">
        <v>215</v>
      </c>
      <c r="I111">
        <v>0.32</v>
      </c>
      <c r="J111">
        <v>0.31076397285228352</v>
      </c>
      <c r="K111">
        <v>0.28851703180667726</v>
      </c>
      <c r="L111">
        <v>0.40071899534103916</v>
      </c>
      <c r="M111">
        <v>13</v>
      </c>
      <c r="N111">
        <v>1.57</v>
      </c>
      <c r="O111">
        <v>1.36</v>
      </c>
      <c r="P111">
        <v>1.71</v>
      </c>
      <c r="Q111">
        <v>1.5</v>
      </c>
      <c r="R111" t="s">
        <v>1348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0</v>
      </c>
      <c r="Y111">
        <v>39</v>
      </c>
      <c r="Z111">
        <v>46</v>
      </c>
      <c r="AA111">
        <v>4</v>
      </c>
      <c r="AB111">
        <v>5</v>
      </c>
      <c r="AC111">
        <v>3</v>
      </c>
      <c r="AD111">
        <v>0</v>
      </c>
      <c r="AE111">
        <v>5</v>
      </c>
      <c r="AF111">
        <v>0</v>
      </c>
      <c r="AG111">
        <v>1</v>
      </c>
      <c r="AH111">
        <v>2</v>
      </c>
      <c r="AI111">
        <v>2</v>
      </c>
      <c r="AJ111">
        <v>3</v>
      </c>
      <c r="AK111">
        <v>14</v>
      </c>
      <c r="AL111">
        <v>13</v>
      </c>
      <c r="AM111">
        <v>5</v>
      </c>
      <c r="AN111">
        <v>6</v>
      </c>
      <c r="AO111">
        <v>9</v>
      </c>
      <c r="AP111">
        <v>7</v>
      </c>
      <c r="AQ111">
        <v>13</v>
      </c>
      <c r="AR111">
        <v>15</v>
      </c>
      <c r="AS111">
        <v>52</v>
      </c>
      <c r="AT111">
        <v>48</v>
      </c>
      <c r="AU111">
        <v>1.56</v>
      </c>
      <c r="AV111">
        <v>1.48</v>
      </c>
      <c r="AW111">
        <v>2.54</v>
      </c>
      <c r="AX111">
        <v>64</v>
      </c>
      <c r="AY111">
        <v>72</v>
      </c>
      <c r="AZ111">
        <v>54</v>
      </c>
      <c r="BA111">
        <v>25</v>
      </c>
      <c r="BB111">
        <v>7</v>
      </c>
      <c r="BC111">
        <v>43</v>
      </c>
      <c r="BD111">
        <v>79</v>
      </c>
      <c r="BE111">
        <v>36</v>
      </c>
      <c r="BF111">
        <v>65</v>
      </c>
      <c r="BG111">
        <v>5.64</v>
      </c>
      <c r="BH111">
        <v>6.21</v>
      </c>
      <c r="BI111">
        <v>2.9</v>
      </c>
      <c r="BJ111">
        <v>3.1</v>
      </c>
      <c r="BK111">
        <v>2.2999999999999998</v>
      </c>
      <c r="BL111">
        <v>3.4063613354613054E-2</v>
      </c>
      <c r="BM111">
        <v>0</v>
      </c>
      <c r="BN111">
        <v>2.38</v>
      </c>
      <c r="BO111">
        <v>0</v>
      </c>
      <c r="BP111">
        <v>0</v>
      </c>
      <c r="BQ111">
        <v>0</v>
      </c>
      <c r="BR111">
        <v>0</v>
      </c>
      <c r="BS111" t="s">
        <v>120</v>
      </c>
      <c r="BT111">
        <v>1.274681051426811</v>
      </c>
      <c r="BU111">
        <v>1.4392482240810365</v>
      </c>
      <c r="BV111">
        <v>2.5313454284174597</v>
      </c>
      <c r="BW111">
        <v>1.210167055864918</v>
      </c>
      <c r="BX111">
        <v>1.3211783725525419</v>
      </c>
      <c r="BY111">
        <v>0.53135669362084459</v>
      </c>
      <c r="BZ111">
        <v>0.55633423180592989</v>
      </c>
      <c r="CA111">
        <v>11.21109010712035</v>
      </c>
      <c r="CB111">
        <v>11.01700787401575</v>
      </c>
      <c r="CC111">
        <v>4.6792332268370611</v>
      </c>
      <c r="CD111">
        <v>4.7080804854679013</v>
      </c>
      <c r="CE111">
        <v>6.5318568802832893</v>
      </c>
      <c r="CF111">
        <v>6.3089273885478487</v>
      </c>
      <c r="CG111">
        <v>12.72547770700637</v>
      </c>
      <c r="CH111">
        <v>13.06847133757962</v>
      </c>
      <c r="CI111">
        <v>1.6902356902356901</v>
      </c>
      <c r="CJ111">
        <v>1.8050198959289869</v>
      </c>
      <c r="CK111">
        <v>0.105907560453015</v>
      </c>
      <c r="CL111">
        <v>0.1141720232629324</v>
      </c>
    </row>
    <row r="112" spans="1:90" x14ac:dyDescent="0.45">
      <c r="A112" t="s">
        <v>695</v>
      </c>
      <c r="B112">
        <v>1649541600</v>
      </c>
      <c r="C112" t="s">
        <v>592</v>
      </c>
      <c r="D112" t="s">
        <v>65</v>
      </c>
      <c r="E112" t="s">
        <v>66</v>
      </c>
      <c r="F112" t="s">
        <v>91</v>
      </c>
      <c r="G112" t="s">
        <v>85</v>
      </c>
      <c r="H112" t="s">
        <v>98</v>
      </c>
      <c r="I112">
        <v>0.36</v>
      </c>
      <c r="J112">
        <v>0.35699718213379411</v>
      </c>
      <c r="K112">
        <v>0.30025064997742595</v>
      </c>
      <c r="L112">
        <v>0.34275216788877988</v>
      </c>
      <c r="M112">
        <v>13</v>
      </c>
      <c r="N112">
        <v>0.93</v>
      </c>
      <c r="O112">
        <v>1.59</v>
      </c>
      <c r="P112">
        <v>1.1100000000000001</v>
      </c>
      <c r="Q112">
        <v>1.4</v>
      </c>
      <c r="R112" t="s">
        <v>1352</v>
      </c>
      <c r="S112">
        <v>2</v>
      </c>
      <c r="T112">
        <v>0</v>
      </c>
      <c r="U112">
        <v>2</v>
      </c>
      <c r="V112">
        <v>1</v>
      </c>
      <c r="W112">
        <v>1</v>
      </c>
      <c r="X112">
        <v>0</v>
      </c>
      <c r="Y112" t="s">
        <v>593</v>
      </c>
      <c r="AA112">
        <v>3</v>
      </c>
      <c r="AB112">
        <v>7</v>
      </c>
      <c r="AC112">
        <v>2</v>
      </c>
      <c r="AD112">
        <v>0</v>
      </c>
      <c r="AE112">
        <v>3</v>
      </c>
      <c r="AF112">
        <v>0</v>
      </c>
      <c r="AG112">
        <v>1</v>
      </c>
      <c r="AH112">
        <v>1</v>
      </c>
      <c r="AI112">
        <v>1</v>
      </c>
      <c r="AJ112">
        <v>2</v>
      </c>
      <c r="AK112">
        <v>16</v>
      </c>
      <c r="AL112">
        <v>15</v>
      </c>
      <c r="AM112">
        <v>6</v>
      </c>
      <c r="AN112">
        <v>4</v>
      </c>
      <c r="AO112">
        <v>10</v>
      </c>
      <c r="AP112">
        <v>11</v>
      </c>
      <c r="AQ112">
        <v>14</v>
      </c>
      <c r="AR112">
        <v>9</v>
      </c>
      <c r="AS112">
        <v>33</v>
      </c>
      <c r="AT112">
        <v>67</v>
      </c>
      <c r="AU112">
        <v>1.57</v>
      </c>
      <c r="AV112">
        <v>1.68</v>
      </c>
      <c r="AW112">
        <v>2.25</v>
      </c>
      <c r="AX112">
        <v>39</v>
      </c>
      <c r="AY112">
        <v>59</v>
      </c>
      <c r="AZ112">
        <v>39</v>
      </c>
      <c r="BA112">
        <v>17</v>
      </c>
      <c r="BB112">
        <v>7</v>
      </c>
      <c r="BC112">
        <v>23</v>
      </c>
      <c r="BD112">
        <v>65</v>
      </c>
      <c r="BE112">
        <v>27</v>
      </c>
      <c r="BF112">
        <v>76</v>
      </c>
      <c r="BG112">
        <v>8.85</v>
      </c>
      <c r="BH112">
        <v>5.14</v>
      </c>
      <c r="BI112">
        <v>2.6</v>
      </c>
      <c r="BJ112">
        <v>3.05</v>
      </c>
      <c r="BK112">
        <v>2.7</v>
      </c>
      <c r="BL112">
        <v>2.7618202481590453E-2</v>
      </c>
      <c r="BM112">
        <v>1.33</v>
      </c>
      <c r="BN112">
        <v>2.12</v>
      </c>
      <c r="BO112">
        <v>3.5</v>
      </c>
      <c r="BP112">
        <v>6.8</v>
      </c>
      <c r="BQ112">
        <v>1.76</v>
      </c>
      <c r="BR112">
        <v>1.96</v>
      </c>
      <c r="BS112" t="s">
        <v>144</v>
      </c>
      <c r="BT112">
        <v>1.4023864615972674</v>
      </c>
      <c r="BU112">
        <v>1.3093265904245279</v>
      </c>
      <c r="BV112">
        <v>2.5110350525197691</v>
      </c>
      <c r="BW112">
        <v>1.269326094653606</v>
      </c>
      <c r="BX112">
        <v>1.2417089578661631</v>
      </c>
      <c r="BY112">
        <v>0.56586402266288949</v>
      </c>
      <c r="BZ112">
        <v>0.55158168083097259</v>
      </c>
      <c r="CA112">
        <v>11.49400826446281</v>
      </c>
      <c r="CB112">
        <v>10.507231404958681</v>
      </c>
      <c r="CC112">
        <v>4.9238790406673623</v>
      </c>
      <c r="CD112">
        <v>4.6296141814389991</v>
      </c>
      <c r="CE112">
        <v>6.5701292237954476</v>
      </c>
      <c r="CF112">
        <v>5.8776172235196817</v>
      </c>
      <c r="CG112">
        <v>12.798739495798319</v>
      </c>
      <c r="CH112">
        <v>12.98844537815126</v>
      </c>
      <c r="CI112">
        <v>1.604928297313674</v>
      </c>
      <c r="CJ112">
        <v>1.791961219955565</v>
      </c>
      <c r="CK112">
        <v>8.887093516461321E-2</v>
      </c>
      <c r="CL112">
        <v>0.11694607150070691</v>
      </c>
    </row>
    <row r="113" spans="1:90" x14ac:dyDescent="0.45">
      <c r="A113" t="s">
        <v>695</v>
      </c>
      <c r="B113">
        <v>1649548800</v>
      </c>
      <c r="C113" t="s">
        <v>594</v>
      </c>
      <c r="D113" t="s">
        <v>65</v>
      </c>
      <c r="E113" t="s">
        <v>66</v>
      </c>
      <c r="F113" t="s">
        <v>79</v>
      </c>
      <c r="G113" t="s">
        <v>90</v>
      </c>
      <c r="H113" t="s">
        <v>108</v>
      </c>
      <c r="I113">
        <v>0.38</v>
      </c>
      <c r="J113">
        <v>0.37237654320987656</v>
      </c>
      <c r="K113">
        <v>0.28487654320987654</v>
      </c>
      <c r="L113">
        <v>0.34274691358024689</v>
      </c>
      <c r="M113">
        <v>13</v>
      </c>
      <c r="N113">
        <v>1.33</v>
      </c>
      <c r="O113">
        <v>1.1299999999999999</v>
      </c>
      <c r="P113">
        <v>1.17</v>
      </c>
      <c r="Q113">
        <v>1.32</v>
      </c>
      <c r="R113" t="s">
        <v>1348</v>
      </c>
      <c r="S113">
        <v>1</v>
      </c>
      <c r="T113">
        <v>1</v>
      </c>
      <c r="U113">
        <v>2</v>
      </c>
      <c r="V113">
        <v>0</v>
      </c>
      <c r="W113">
        <v>0</v>
      </c>
      <c r="X113">
        <v>0</v>
      </c>
      <c r="Y113" t="s">
        <v>304</v>
      </c>
      <c r="Z113">
        <v>68</v>
      </c>
      <c r="AA113">
        <v>6</v>
      </c>
      <c r="AB113">
        <v>4</v>
      </c>
      <c r="AC113">
        <v>3</v>
      </c>
      <c r="AD113">
        <v>0</v>
      </c>
      <c r="AE113">
        <v>3</v>
      </c>
      <c r="AF113">
        <v>1</v>
      </c>
      <c r="AG113">
        <v>2</v>
      </c>
      <c r="AH113">
        <v>1</v>
      </c>
      <c r="AI113">
        <v>3</v>
      </c>
      <c r="AJ113">
        <v>1</v>
      </c>
      <c r="AK113">
        <v>16</v>
      </c>
      <c r="AL113">
        <v>10</v>
      </c>
      <c r="AM113">
        <v>7</v>
      </c>
      <c r="AN113">
        <v>3</v>
      </c>
      <c r="AO113">
        <v>9</v>
      </c>
      <c r="AP113">
        <v>7</v>
      </c>
      <c r="AQ113">
        <v>15</v>
      </c>
      <c r="AR113">
        <v>12</v>
      </c>
      <c r="AS113">
        <v>60</v>
      </c>
      <c r="AT113">
        <v>40</v>
      </c>
      <c r="AU113">
        <v>1.84</v>
      </c>
      <c r="AV113">
        <v>0.98</v>
      </c>
      <c r="AW113">
        <v>2.4700000000000002</v>
      </c>
      <c r="AX113">
        <v>67</v>
      </c>
      <c r="AY113">
        <v>73</v>
      </c>
      <c r="AZ113">
        <v>60</v>
      </c>
      <c r="BA113">
        <v>30</v>
      </c>
      <c r="BB113">
        <v>4</v>
      </c>
      <c r="BC113">
        <v>47</v>
      </c>
      <c r="BD113">
        <v>60</v>
      </c>
      <c r="BE113">
        <v>47</v>
      </c>
      <c r="BF113">
        <v>70</v>
      </c>
      <c r="BG113">
        <v>8.27</v>
      </c>
      <c r="BH113">
        <v>5.67</v>
      </c>
      <c r="BI113">
        <v>2.5</v>
      </c>
      <c r="BJ113">
        <v>3.2</v>
      </c>
      <c r="BK113">
        <v>2.7</v>
      </c>
      <c r="BL113">
        <v>2.7623456790123457E-2</v>
      </c>
      <c r="BM113">
        <v>1.36</v>
      </c>
      <c r="BN113">
        <v>2.04</v>
      </c>
      <c r="BO113">
        <v>3.5</v>
      </c>
      <c r="BP113">
        <v>6.5</v>
      </c>
      <c r="BQ113">
        <v>1.8</v>
      </c>
      <c r="BR113">
        <v>1.91</v>
      </c>
      <c r="BS113" t="s">
        <v>140</v>
      </c>
      <c r="BT113">
        <v>1.464160929441638</v>
      </c>
      <c r="BU113">
        <v>1.2477119808919459</v>
      </c>
      <c r="BV113">
        <v>2.4900895140664963</v>
      </c>
      <c r="BW113">
        <v>1.330562659846547</v>
      </c>
      <c r="BX113">
        <v>1.1595268542199491</v>
      </c>
      <c r="BY113">
        <v>0.59053607588191415</v>
      </c>
      <c r="BZ113">
        <v>0.50069274219332838</v>
      </c>
      <c r="CA113">
        <v>11.79715236686391</v>
      </c>
      <c r="CB113">
        <v>10.317122781065089</v>
      </c>
      <c r="CC113">
        <v>5.0637025966747622</v>
      </c>
      <c r="CD113">
        <v>4.4674014571268454</v>
      </c>
      <c r="CE113">
        <v>6.7334497701891483</v>
      </c>
      <c r="CF113">
        <v>5.849721323938244</v>
      </c>
      <c r="CG113">
        <v>12.89644194756554</v>
      </c>
      <c r="CH113">
        <v>13.3434456928839</v>
      </c>
      <c r="CI113">
        <v>1.6144382124117971</v>
      </c>
      <c r="CJ113">
        <v>1.9032024606477289</v>
      </c>
      <c r="CK113">
        <v>9.372172969060974E-2</v>
      </c>
      <c r="CL113">
        <v>0.11669983716301791</v>
      </c>
    </row>
    <row r="114" spans="1:90" x14ac:dyDescent="0.45">
      <c r="A114" t="s">
        <v>695</v>
      </c>
      <c r="B114">
        <v>1649549160</v>
      </c>
      <c r="C114" t="s">
        <v>595</v>
      </c>
      <c r="D114" t="s">
        <v>65</v>
      </c>
      <c r="E114" t="s">
        <v>66</v>
      </c>
      <c r="F114" t="s">
        <v>101</v>
      </c>
      <c r="G114" t="s">
        <v>73</v>
      </c>
      <c r="H114" t="s">
        <v>69</v>
      </c>
      <c r="I114">
        <v>0.56000000000000005</v>
      </c>
      <c r="J114">
        <v>0.56747856943118602</v>
      </c>
      <c r="K114">
        <v>0.24645395199938289</v>
      </c>
      <c r="L114">
        <v>0.18606747856943121</v>
      </c>
      <c r="M114">
        <v>13</v>
      </c>
      <c r="N114">
        <v>1.73</v>
      </c>
      <c r="O114">
        <v>1.1299999999999999</v>
      </c>
      <c r="P114">
        <v>1.79</v>
      </c>
      <c r="Q114">
        <v>1.1100000000000001</v>
      </c>
      <c r="R114" t="s">
        <v>1352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83</v>
      </c>
      <c r="AA114">
        <v>7</v>
      </c>
      <c r="AB114">
        <v>7</v>
      </c>
      <c r="AC114">
        <v>2</v>
      </c>
      <c r="AD114">
        <v>1</v>
      </c>
      <c r="AE114">
        <v>1</v>
      </c>
      <c r="AF114">
        <v>0</v>
      </c>
      <c r="AG114">
        <v>1</v>
      </c>
      <c r="AH114">
        <v>2</v>
      </c>
      <c r="AI114">
        <v>1</v>
      </c>
      <c r="AJ114">
        <v>0</v>
      </c>
      <c r="AK114">
        <v>22</v>
      </c>
      <c r="AL114">
        <v>14</v>
      </c>
      <c r="AM114">
        <v>8</v>
      </c>
      <c r="AN114">
        <v>4</v>
      </c>
      <c r="AO114">
        <v>14</v>
      </c>
      <c r="AP114">
        <v>10</v>
      </c>
      <c r="AQ114">
        <v>8</v>
      </c>
      <c r="AR114">
        <v>11</v>
      </c>
      <c r="AS114">
        <v>56</v>
      </c>
      <c r="AT114">
        <v>44</v>
      </c>
      <c r="AU114">
        <v>2.3199999999999998</v>
      </c>
      <c r="AV114">
        <v>1.4</v>
      </c>
      <c r="AW114">
        <v>2.27</v>
      </c>
      <c r="AX114">
        <v>50</v>
      </c>
      <c r="AY114">
        <v>74</v>
      </c>
      <c r="AZ114">
        <v>47</v>
      </c>
      <c r="BA114">
        <v>17</v>
      </c>
      <c r="BB114">
        <v>4</v>
      </c>
      <c r="BC114">
        <v>20</v>
      </c>
      <c r="BD114">
        <v>60</v>
      </c>
      <c r="BE114">
        <v>40</v>
      </c>
      <c r="BF114">
        <v>83</v>
      </c>
      <c r="BG114">
        <v>11.8</v>
      </c>
      <c r="BH114">
        <v>5.6</v>
      </c>
      <c r="BI114">
        <v>1.67</v>
      </c>
      <c r="BJ114">
        <v>3.6</v>
      </c>
      <c r="BK114">
        <v>4.5999999999999996</v>
      </c>
      <c r="BL114">
        <v>3.1323825778394911E-2</v>
      </c>
      <c r="BM114">
        <v>1.29</v>
      </c>
      <c r="BN114">
        <v>1.83</v>
      </c>
      <c r="BO114">
        <v>3</v>
      </c>
      <c r="BP114">
        <v>5.5</v>
      </c>
      <c r="BQ114">
        <v>1.73</v>
      </c>
      <c r="BR114">
        <v>2</v>
      </c>
      <c r="BS114" t="s">
        <v>104</v>
      </c>
      <c r="BT114">
        <v>1.9673156855724254</v>
      </c>
      <c r="BU114">
        <v>0.77729484582409181</v>
      </c>
      <c r="BV114">
        <v>2.6892488954344627</v>
      </c>
      <c r="BW114">
        <v>1.7546812539448771</v>
      </c>
      <c r="BX114">
        <v>0.93456764148958549</v>
      </c>
      <c r="BY114">
        <v>0.77824531874605507</v>
      </c>
      <c r="BZ114">
        <v>0.41237113402061848</v>
      </c>
      <c r="CA114">
        <v>13.77153558052435</v>
      </c>
      <c r="CB114">
        <v>9.0445692883895124</v>
      </c>
      <c r="CC114">
        <v>6.0821292775665396</v>
      </c>
      <c r="CD114">
        <v>3.8201520912547529</v>
      </c>
      <c r="CE114">
        <v>7.6894063029578108</v>
      </c>
      <c r="CF114">
        <v>5.224417197134759</v>
      </c>
      <c r="CG114">
        <v>12.297605473204101</v>
      </c>
      <c r="CH114">
        <v>13.310908399847969</v>
      </c>
      <c r="CI114">
        <v>1.3713126843657819</v>
      </c>
      <c r="CJ114">
        <v>1.9516961651917399</v>
      </c>
      <c r="CK114">
        <v>6.6002949852507375E-2</v>
      </c>
      <c r="CL114">
        <v>0.1297935103244838</v>
      </c>
    </row>
    <row r="115" spans="1:90" x14ac:dyDescent="0.45">
      <c r="A115" t="s">
        <v>695</v>
      </c>
      <c r="B115">
        <v>1649556000</v>
      </c>
      <c r="C115" t="s">
        <v>596</v>
      </c>
      <c r="D115" t="s">
        <v>65</v>
      </c>
      <c r="E115" t="s">
        <v>66</v>
      </c>
      <c r="F115" t="s">
        <v>68</v>
      </c>
      <c r="G115" t="s">
        <v>78</v>
      </c>
      <c r="H115" t="s">
        <v>158</v>
      </c>
      <c r="I115">
        <v>0.6</v>
      </c>
      <c r="J115">
        <v>0.5930910206272525</v>
      </c>
      <c r="K115">
        <v>0.24975078598267009</v>
      </c>
      <c r="L115">
        <v>0.15715819339007747</v>
      </c>
      <c r="M115">
        <v>13</v>
      </c>
      <c r="N115">
        <v>1.8</v>
      </c>
      <c r="O115">
        <v>0.64</v>
      </c>
      <c r="P115">
        <v>1.9</v>
      </c>
      <c r="Q115">
        <v>0.71</v>
      </c>
      <c r="R115" t="s">
        <v>1352</v>
      </c>
      <c r="S115">
        <v>3</v>
      </c>
      <c r="T115">
        <v>0</v>
      </c>
      <c r="U115">
        <v>3</v>
      </c>
      <c r="V115">
        <v>2</v>
      </c>
      <c r="W115">
        <v>2</v>
      </c>
      <c r="X115">
        <v>0</v>
      </c>
      <c r="Y115" t="s">
        <v>597</v>
      </c>
      <c r="AA115">
        <v>6</v>
      </c>
      <c r="AB115">
        <v>2</v>
      </c>
      <c r="AC115">
        <v>1</v>
      </c>
      <c r="AD115">
        <v>0</v>
      </c>
      <c r="AE115">
        <v>3</v>
      </c>
      <c r="AF115">
        <v>0</v>
      </c>
      <c r="AG115">
        <v>0</v>
      </c>
      <c r="AH115">
        <v>1</v>
      </c>
      <c r="AI115">
        <v>1</v>
      </c>
      <c r="AJ115">
        <v>2</v>
      </c>
      <c r="AK115">
        <v>18</v>
      </c>
      <c r="AL115">
        <v>5</v>
      </c>
      <c r="AM115">
        <v>4</v>
      </c>
      <c r="AN115">
        <v>2</v>
      </c>
      <c r="AO115">
        <v>14</v>
      </c>
      <c r="AP115">
        <v>3</v>
      </c>
      <c r="AQ115">
        <v>6</v>
      </c>
      <c r="AR115">
        <v>12</v>
      </c>
      <c r="AS115">
        <v>58</v>
      </c>
      <c r="AT115">
        <v>42</v>
      </c>
      <c r="AU115">
        <v>1.83</v>
      </c>
      <c r="AV115">
        <v>0.6</v>
      </c>
      <c r="AW115">
        <v>2.17</v>
      </c>
      <c r="AX115">
        <v>35</v>
      </c>
      <c r="AY115">
        <v>69</v>
      </c>
      <c r="AZ115">
        <v>35</v>
      </c>
      <c r="BA115">
        <v>17</v>
      </c>
      <c r="BB115">
        <v>4</v>
      </c>
      <c r="BC115">
        <v>17</v>
      </c>
      <c r="BD115">
        <v>48</v>
      </c>
      <c r="BE115">
        <v>45</v>
      </c>
      <c r="BF115">
        <v>87</v>
      </c>
      <c r="BG115">
        <v>8.41</v>
      </c>
      <c r="BH115">
        <v>4.2300000000000004</v>
      </c>
      <c r="BI115">
        <v>1.61</v>
      </c>
      <c r="BJ115">
        <v>3.6</v>
      </c>
      <c r="BK115">
        <v>5.4</v>
      </c>
      <c r="BL115">
        <v>2.8026991795107703E-2</v>
      </c>
      <c r="BM115">
        <v>1.3</v>
      </c>
      <c r="BN115">
        <v>1.83</v>
      </c>
      <c r="BO115">
        <v>1.91</v>
      </c>
      <c r="BP115">
        <v>5</v>
      </c>
      <c r="BQ115">
        <v>1.91</v>
      </c>
      <c r="BR115">
        <v>1.8</v>
      </c>
      <c r="BS115" t="s">
        <v>116</v>
      </c>
      <c r="BT115">
        <v>2.0749792289385525</v>
      </c>
      <c r="BU115">
        <v>0.68220664089703831</v>
      </c>
      <c r="BV115">
        <v>2.7310090702947849</v>
      </c>
      <c r="BW115">
        <v>1.841836734693878</v>
      </c>
      <c r="BX115">
        <v>0.88917233560090703</v>
      </c>
      <c r="BY115">
        <v>0.804822695035461</v>
      </c>
      <c r="BZ115">
        <v>0.38099290780141842</v>
      </c>
      <c r="CA115">
        <v>14.25174825174825</v>
      </c>
      <c r="CB115">
        <v>8.8316683316683324</v>
      </c>
      <c r="CC115">
        <v>6.2901265822784813</v>
      </c>
      <c r="CD115">
        <v>3.6162025316455702</v>
      </c>
      <c r="CE115">
        <v>7.9616216694697686</v>
      </c>
      <c r="CF115">
        <v>5.2154658000227627</v>
      </c>
      <c r="CG115">
        <v>12.444895886236671</v>
      </c>
      <c r="CH115">
        <v>13.620619603859829</v>
      </c>
      <c r="CI115">
        <v>1.406084017382907</v>
      </c>
      <c r="CJ115">
        <v>2.070980202800579</v>
      </c>
      <c r="CK115">
        <v>6.1323032351521013E-2</v>
      </c>
      <c r="CL115">
        <v>0.1313375181071946</v>
      </c>
    </row>
    <row r="116" spans="1:90" x14ac:dyDescent="0.45">
      <c r="A116" t="s">
        <v>695</v>
      </c>
      <c r="B116">
        <v>1649635200</v>
      </c>
      <c r="C116" t="s">
        <v>598</v>
      </c>
      <c r="D116" t="s">
        <v>65</v>
      </c>
      <c r="E116" t="s">
        <v>66</v>
      </c>
      <c r="F116" t="s">
        <v>67</v>
      </c>
      <c r="G116" t="s">
        <v>107</v>
      </c>
      <c r="H116" t="s">
        <v>114</v>
      </c>
      <c r="I116">
        <v>0.24</v>
      </c>
      <c r="J116">
        <v>0.24365299198531451</v>
      </c>
      <c r="K116">
        <v>0.26750036877386785</v>
      </c>
      <c r="L116">
        <v>0.48884663924081756</v>
      </c>
      <c r="M116">
        <v>13</v>
      </c>
      <c r="N116">
        <v>1.29</v>
      </c>
      <c r="O116">
        <v>1.5</v>
      </c>
      <c r="P116">
        <v>1.24</v>
      </c>
      <c r="Q116">
        <v>1.48</v>
      </c>
      <c r="R116" t="s">
        <v>1351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Z116">
        <v>75</v>
      </c>
      <c r="AA116">
        <v>6</v>
      </c>
      <c r="AB116">
        <v>3</v>
      </c>
      <c r="AC116">
        <v>2</v>
      </c>
      <c r="AD116">
        <v>0</v>
      </c>
      <c r="AE116">
        <v>1</v>
      </c>
      <c r="AF116">
        <v>2</v>
      </c>
      <c r="AG116">
        <v>1</v>
      </c>
      <c r="AH116">
        <v>1</v>
      </c>
      <c r="AI116">
        <v>1</v>
      </c>
      <c r="AJ116">
        <v>2</v>
      </c>
      <c r="AK116">
        <v>10</v>
      </c>
      <c r="AL116">
        <v>9</v>
      </c>
      <c r="AM116">
        <v>3</v>
      </c>
      <c r="AN116">
        <v>3</v>
      </c>
      <c r="AO116">
        <v>7</v>
      </c>
      <c r="AP116">
        <v>6</v>
      </c>
      <c r="AQ116">
        <v>15</v>
      </c>
      <c r="AR116">
        <v>8</v>
      </c>
      <c r="AS116">
        <v>58</v>
      </c>
      <c r="AT116">
        <v>42</v>
      </c>
      <c r="AU116">
        <v>1.5</v>
      </c>
      <c r="AV116">
        <v>1.1599999999999999</v>
      </c>
      <c r="AW116">
        <v>2.48</v>
      </c>
      <c r="AX116">
        <v>53</v>
      </c>
      <c r="AY116">
        <v>79</v>
      </c>
      <c r="AZ116">
        <v>49</v>
      </c>
      <c r="BA116">
        <v>17</v>
      </c>
      <c r="BB116">
        <v>7</v>
      </c>
      <c r="BC116">
        <v>37</v>
      </c>
      <c r="BD116">
        <v>73</v>
      </c>
      <c r="BE116">
        <v>39</v>
      </c>
      <c r="BF116">
        <v>79</v>
      </c>
      <c r="BG116">
        <v>8.42</v>
      </c>
      <c r="BH116">
        <v>4.96</v>
      </c>
      <c r="BI116">
        <v>3.7</v>
      </c>
      <c r="BJ116">
        <v>3.4</v>
      </c>
      <c r="BK116">
        <v>1.94</v>
      </c>
      <c r="BL116">
        <v>2.6617278284955709E-2</v>
      </c>
      <c r="BM116">
        <v>1.33</v>
      </c>
      <c r="BN116">
        <v>1.97</v>
      </c>
      <c r="BO116">
        <v>3.75</v>
      </c>
      <c r="BP116">
        <v>6.5</v>
      </c>
      <c r="BQ116">
        <v>1.91</v>
      </c>
      <c r="BR116">
        <v>1.91</v>
      </c>
      <c r="BS116" t="s">
        <v>70</v>
      </c>
      <c r="BT116">
        <v>1.0221684690062811</v>
      </c>
      <c r="BU116">
        <v>1.7036119427882386</v>
      </c>
      <c r="BV116">
        <v>2.6014437689969609</v>
      </c>
      <c r="BW116">
        <v>1.067249240121581</v>
      </c>
      <c r="BX116">
        <v>1.53419452887538</v>
      </c>
      <c r="BY116">
        <v>0.45589353612167299</v>
      </c>
      <c r="BZ116">
        <v>0.65133079847908748</v>
      </c>
      <c r="CA116">
        <v>10.75886524822695</v>
      </c>
      <c r="CB116">
        <v>12.46679561573179</v>
      </c>
      <c r="CC116">
        <v>4.1157347204161248</v>
      </c>
      <c r="CD116">
        <v>5.1072821846553964</v>
      </c>
      <c r="CE116">
        <v>6.6431305278108255</v>
      </c>
      <c r="CF116">
        <v>7.3595134310763939</v>
      </c>
      <c r="CG116">
        <v>13.11140235910878</v>
      </c>
      <c r="CH116">
        <v>12.93184796854522</v>
      </c>
      <c r="CI116">
        <v>1.8341677096370459</v>
      </c>
      <c r="CJ116">
        <v>1.7903629536921151</v>
      </c>
      <c r="CK116">
        <v>0.1095118898623279</v>
      </c>
      <c r="CL116">
        <v>9.3241551939924908E-2</v>
      </c>
    </row>
    <row r="117" spans="1:90" x14ac:dyDescent="0.45">
      <c r="A117" t="s">
        <v>695</v>
      </c>
      <c r="B117">
        <v>1649728800</v>
      </c>
      <c r="C117" t="s">
        <v>599</v>
      </c>
      <c r="D117" t="s">
        <v>65</v>
      </c>
      <c r="E117" t="s">
        <v>66</v>
      </c>
      <c r="F117" t="s">
        <v>84</v>
      </c>
      <c r="G117" t="s">
        <v>106</v>
      </c>
      <c r="H117" t="s">
        <v>66</v>
      </c>
      <c r="I117">
        <v>0.54</v>
      </c>
      <c r="J117">
        <v>0.53465691396725878</v>
      </c>
      <c r="K117">
        <v>0.2456585560033836</v>
      </c>
      <c r="L117">
        <v>0.21968453002935762</v>
      </c>
      <c r="M117">
        <v>13</v>
      </c>
      <c r="N117">
        <v>1.71</v>
      </c>
      <c r="O117">
        <v>0.56999999999999995</v>
      </c>
      <c r="P117">
        <v>1.89</v>
      </c>
      <c r="Q117">
        <v>0.53</v>
      </c>
      <c r="R117" t="s">
        <v>1348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AA117">
        <v>12</v>
      </c>
      <c r="AB117">
        <v>2</v>
      </c>
      <c r="AC117">
        <v>3</v>
      </c>
      <c r="AD117">
        <v>0</v>
      </c>
      <c r="AE117">
        <v>4</v>
      </c>
      <c r="AF117">
        <v>0</v>
      </c>
      <c r="AG117">
        <v>1</v>
      </c>
      <c r="AH117">
        <v>2</v>
      </c>
      <c r="AI117">
        <v>1</v>
      </c>
      <c r="AJ117">
        <v>3</v>
      </c>
      <c r="AK117">
        <v>13</v>
      </c>
      <c r="AL117">
        <v>0</v>
      </c>
      <c r="AM117">
        <v>6</v>
      </c>
      <c r="AN117">
        <v>0</v>
      </c>
      <c r="AO117">
        <v>7</v>
      </c>
      <c r="AP117">
        <v>0</v>
      </c>
      <c r="AQ117">
        <v>9</v>
      </c>
      <c r="AR117">
        <v>11</v>
      </c>
      <c r="AS117">
        <v>66</v>
      </c>
      <c r="AT117">
        <v>34</v>
      </c>
      <c r="AU117">
        <v>1.79</v>
      </c>
      <c r="AV117">
        <v>0.23</v>
      </c>
      <c r="AW117">
        <v>2.58</v>
      </c>
      <c r="AX117">
        <v>57</v>
      </c>
      <c r="AY117">
        <v>86</v>
      </c>
      <c r="AZ117">
        <v>47</v>
      </c>
      <c r="BA117">
        <v>25</v>
      </c>
      <c r="BB117">
        <v>4</v>
      </c>
      <c r="BC117">
        <v>29</v>
      </c>
      <c r="BD117">
        <v>75</v>
      </c>
      <c r="BE117">
        <v>36</v>
      </c>
      <c r="BF117">
        <v>79</v>
      </c>
      <c r="BG117">
        <v>8.7100000000000009</v>
      </c>
      <c r="BH117">
        <v>4.43</v>
      </c>
      <c r="BI117">
        <v>1.74</v>
      </c>
      <c r="BJ117">
        <v>3.5</v>
      </c>
      <c r="BK117">
        <v>3.85</v>
      </c>
      <c r="BL117">
        <v>4.0055729710902099E-2</v>
      </c>
      <c r="BM117">
        <v>1.29</v>
      </c>
      <c r="BN117">
        <v>1.73</v>
      </c>
      <c r="BO117">
        <v>3</v>
      </c>
      <c r="BP117">
        <v>5.5</v>
      </c>
      <c r="BQ117">
        <v>1.73</v>
      </c>
      <c r="BR117">
        <v>2</v>
      </c>
      <c r="BS117" t="s">
        <v>88</v>
      </c>
      <c r="BT117">
        <v>1.915666026436746</v>
      </c>
      <c r="BU117">
        <v>0.82283834599204153</v>
      </c>
      <c r="BV117">
        <v>2.6359702267612941</v>
      </c>
      <c r="BW117">
        <v>1.684957590444867</v>
      </c>
      <c r="BX117">
        <v>0.95101263631642718</v>
      </c>
      <c r="BY117">
        <v>0.72650164445213783</v>
      </c>
      <c r="BZ117">
        <v>0.42097974727367138</v>
      </c>
      <c r="CA117">
        <v>13.338806970509379</v>
      </c>
      <c r="CB117">
        <v>9.2530160857908843</v>
      </c>
      <c r="CC117">
        <v>5.9915081521739131</v>
      </c>
      <c r="CD117">
        <v>3.9772418478260869</v>
      </c>
      <c r="CE117">
        <v>7.3472988183354664</v>
      </c>
      <c r="CF117">
        <v>5.2757742379647974</v>
      </c>
      <c r="CG117">
        <v>12.59428182437032</v>
      </c>
      <c r="CH117">
        <v>13.577944179714089</v>
      </c>
      <c r="CI117">
        <v>1.4276913099870301</v>
      </c>
      <c r="CJ117">
        <v>1.940985732814527</v>
      </c>
      <c r="CK117">
        <v>8.0739299610894946E-2</v>
      </c>
      <c r="CL117">
        <v>0.12743190661478601</v>
      </c>
    </row>
    <row r="118" spans="1:90" x14ac:dyDescent="0.45">
      <c r="A118" t="s">
        <v>695</v>
      </c>
      <c r="B118">
        <v>1649898300</v>
      </c>
      <c r="C118" t="s">
        <v>600</v>
      </c>
      <c r="D118" t="s">
        <v>65</v>
      </c>
      <c r="E118" t="s">
        <v>66</v>
      </c>
      <c r="F118" t="s">
        <v>90</v>
      </c>
      <c r="G118" t="s">
        <v>101</v>
      </c>
      <c r="H118" t="s">
        <v>114</v>
      </c>
      <c r="I118">
        <v>0.3</v>
      </c>
      <c r="J118">
        <v>0.3080639167595689</v>
      </c>
      <c r="K118">
        <v>0.2824228911185433</v>
      </c>
      <c r="L118">
        <v>0.4095131921218878</v>
      </c>
      <c r="M118">
        <v>12</v>
      </c>
      <c r="N118">
        <v>1.36</v>
      </c>
      <c r="O118">
        <v>1.06</v>
      </c>
      <c r="P118">
        <v>1.47</v>
      </c>
      <c r="Q118">
        <v>1.05</v>
      </c>
      <c r="R118" t="s">
        <v>1351</v>
      </c>
      <c r="S118">
        <v>1</v>
      </c>
      <c r="T118">
        <v>3</v>
      </c>
      <c r="U118">
        <v>4</v>
      </c>
      <c r="V118">
        <v>2</v>
      </c>
      <c r="W118">
        <v>1</v>
      </c>
      <c r="X118">
        <v>1</v>
      </c>
      <c r="Y118">
        <v>39</v>
      </c>
      <c r="Z118" t="s">
        <v>601</v>
      </c>
      <c r="AA118">
        <v>3</v>
      </c>
      <c r="AB118">
        <v>6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9</v>
      </c>
      <c r="AL118">
        <v>11</v>
      </c>
      <c r="AM118">
        <v>3</v>
      </c>
      <c r="AN118">
        <v>5</v>
      </c>
      <c r="AO118">
        <v>6</v>
      </c>
      <c r="AP118">
        <v>6</v>
      </c>
      <c r="AQ118">
        <v>8</v>
      </c>
      <c r="AR118">
        <v>16</v>
      </c>
      <c r="AS118">
        <v>60</v>
      </c>
      <c r="AT118">
        <v>40</v>
      </c>
      <c r="AU118">
        <v>1.27</v>
      </c>
      <c r="AV118">
        <v>1.53</v>
      </c>
      <c r="AW118">
        <v>2.44</v>
      </c>
      <c r="AX118">
        <v>57</v>
      </c>
      <c r="AY118">
        <v>73</v>
      </c>
      <c r="AZ118">
        <v>47</v>
      </c>
      <c r="BA118">
        <v>26</v>
      </c>
      <c r="BB118">
        <v>7</v>
      </c>
      <c r="BC118">
        <v>37</v>
      </c>
      <c r="BD118">
        <v>74</v>
      </c>
      <c r="BE118">
        <v>37</v>
      </c>
      <c r="BF118">
        <v>70</v>
      </c>
      <c r="BG118">
        <v>10.130000000000001</v>
      </c>
      <c r="BH118">
        <v>5.52</v>
      </c>
      <c r="BI118">
        <v>3</v>
      </c>
      <c r="BJ118">
        <v>3.25</v>
      </c>
      <c r="BK118">
        <v>2.2999999999999998</v>
      </c>
      <c r="BL118">
        <v>2.5269416573764431E-2</v>
      </c>
      <c r="BM118">
        <v>1.41</v>
      </c>
      <c r="BN118">
        <v>2.25</v>
      </c>
      <c r="BO118">
        <v>4</v>
      </c>
      <c r="BP118">
        <v>8.25</v>
      </c>
      <c r="BQ118">
        <v>1.95</v>
      </c>
      <c r="BR118">
        <v>1.77</v>
      </c>
      <c r="BS118" t="s">
        <v>94</v>
      </c>
      <c r="BT118">
        <v>1.2142445227270171</v>
      </c>
      <c r="BU118">
        <v>1.4993969533036628</v>
      </c>
      <c r="BV118">
        <v>2.5726407816919519</v>
      </c>
      <c r="BW118">
        <v>1.1805091283106199</v>
      </c>
      <c r="BX118">
        <v>1.3921316533813319</v>
      </c>
      <c r="BY118">
        <v>0.5209673269873939</v>
      </c>
      <c r="BZ118">
        <v>0.61847182917417032</v>
      </c>
      <c r="CA118">
        <v>11.149200710479571</v>
      </c>
      <c r="CB118">
        <v>11.444049733570161</v>
      </c>
      <c r="CC118">
        <v>4.5257270693512304</v>
      </c>
      <c r="CD118">
        <v>4.8465324384787474</v>
      </c>
      <c r="CE118">
        <v>6.6234736411283404</v>
      </c>
      <c r="CF118">
        <v>6.5975172950914134</v>
      </c>
      <c r="CG118">
        <v>12.90081154192967</v>
      </c>
      <c r="CH118">
        <v>13.00360685302074</v>
      </c>
      <c r="CI118">
        <v>1.7502145922746779</v>
      </c>
      <c r="CJ118">
        <v>1.831402831402831</v>
      </c>
      <c r="CK118">
        <v>9.6525096525096526E-2</v>
      </c>
      <c r="CL118">
        <v>0.1244101244101244</v>
      </c>
    </row>
    <row r="119" spans="1:90" x14ac:dyDescent="0.45">
      <c r="A119" t="s">
        <v>695</v>
      </c>
      <c r="B119">
        <v>1649988000</v>
      </c>
      <c r="C119" t="s">
        <v>602</v>
      </c>
      <c r="D119" t="s">
        <v>65</v>
      </c>
      <c r="E119" t="s">
        <v>66</v>
      </c>
      <c r="F119" t="s">
        <v>97</v>
      </c>
      <c r="G119" t="s">
        <v>113</v>
      </c>
      <c r="H119" t="s">
        <v>66</v>
      </c>
      <c r="I119">
        <v>0.66</v>
      </c>
      <c r="J119">
        <v>0.65589569160997729</v>
      </c>
      <c r="K119">
        <v>0.2256235827664399</v>
      </c>
      <c r="L119">
        <v>0.11848072562358275</v>
      </c>
      <c r="M119">
        <v>14</v>
      </c>
      <c r="N119">
        <v>1.61</v>
      </c>
      <c r="O119">
        <v>0.4</v>
      </c>
      <c r="P119">
        <v>1.55</v>
      </c>
      <c r="Q119">
        <v>0.72</v>
      </c>
      <c r="R119" t="s">
        <v>1351</v>
      </c>
      <c r="S119">
        <v>1</v>
      </c>
      <c r="T119">
        <v>2</v>
      </c>
      <c r="U119">
        <v>3</v>
      </c>
      <c r="V119">
        <v>2</v>
      </c>
      <c r="W119">
        <v>0</v>
      </c>
      <c r="X119">
        <v>2</v>
      </c>
      <c r="Y119">
        <v>51</v>
      </c>
      <c r="Z119" t="s">
        <v>603</v>
      </c>
      <c r="AA119">
        <v>7</v>
      </c>
      <c r="AB119">
        <v>6</v>
      </c>
      <c r="AC119">
        <v>4</v>
      </c>
      <c r="AD119">
        <v>1</v>
      </c>
      <c r="AE119">
        <v>3</v>
      </c>
      <c r="AF119">
        <v>0</v>
      </c>
      <c r="AG119">
        <v>2</v>
      </c>
      <c r="AH119">
        <v>3</v>
      </c>
      <c r="AI119">
        <v>1</v>
      </c>
      <c r="AJ119">
        <v>2</v>
      </c>
      <c r="AK119">
        <v>12</v>
      </c>
      <c r="AL119">
        <v>8</v>
      </c>
      <c r="AM119">
        <v>3</v>
      </c>
      <c r="AN119">
        <v>2</v>
      </c>
      <c r="AO119">
        <v>9</v>
      </c>
      <c r="AP119">
        <v>6</v>
      </c>
      <c r="AQ119">
        <v>14</v>
      </c>
      <c r="AR119">
        <v>17</v>
      </c>
      <c r="AS119">
        <v>55</v>
      </c>
      <c r="AT119">
        <v>45</v>
      </c>
      <c r="AU119">
        <v>1.4</v>
      </c>
      <c r="AV119">
        <v>0.84</v>
      </c>
      <c r="AW119">
        <v>2.0499999999999998</v>
      </c>
      <c r="AX119">
        <v>34</v>
      </c>
      <c r="AY119">
        <v>65</v>
      </c>
      <c r="AZ119">
        <v>32</v>
      </c>
      <c r="BA119">
        <v>10</v>
      </c>
      <c r="BB119">
        <v>4</v>
      </c>
      <c r="BC119">
        <v>20</v>
      </c>
      <c r="BD119">
        <v>53</v>
      </c>
      <c r="BE119">
        <v>34</v>
      </c>
      <c r="BF119">
        <v>76</v>
      </c>
      <c r="BG119">
        <v>6.62</v>
      </c>
      <c r="BH119">
        <v>5.2</v>
      </c>
      <c r="BI119">
        <v>1.47</v>
      </c>
      <c r="BJ119">
        <v>4</v>
      </c>
      <c r="BK119">
        <v>7</v>
      </c>
      <c r="BL119">
        <v>2.4376417233560099E-2</v>
      </c>
      <c r="BM119">
        <v>0</v>
      </c>
      <c r="BN119">
        <v>2.02</v>
      </c>
      <c r="BO119">
        <v>0</v>
      </c>
      <c r="BP119">
        <v>0</v>
      </c>
      <c r="BQ119">
        <v>0</v>
      </c>
      <c r="BR119">
        <v>0</v>
      </c>
      <c r="BS119" t="s">
        <v>136</v>
      </c>
      <c r="BT119">
        <v>2.2311424831798083</v>
      </c>
      <c r="BU119">
        <v>0.55281092137037047</v>
      </c>
      <c r="BV119">
        <v>2.9251336898395728</v>
      </c>
      <c r="BW119">
        <v>2.089675030851502</v>
      </c>
      <c r="BX119">
        <v>0.8354586589880707</v>
      </c>
      <c r="BY119">
        <v>0.92472233648704238</v>
      </c>
      <c r="BZ119">
        <v>0.35252982311805842</v>
      </c>
      <c r="CA119">
        <v>15.366666666666671</v>
      </c>
      <c r="CB119">
        <v>8.5234848484848484</v>
      </c>
      <c r="CC119">
        <v>6.6873065015479876</v>
      </c>
      <c r="CD119">
        <v>3.3490712074303399</v>
      </c>
      <c r="CE119">
        <v>8.679360165118684</v>
      </c>
      <c r="CF119">
        <v>5.1744136410545085</v>
      </c>
      <c r="CG119">
        <v>12.62384615384615</v>
      </c>
      <c r="CH119">
        <v>13.844615384615381</v>
      </c>
      <c r="CI119">
        <v>1.369710467706013</v>
      </c>
      <c r="CJ119">
        <v>2.0920564216778019</v>
      </c>
      <c r="CK119">
        <v>7.126948775055679E-2</v>
      </c>
      <c r="CL119">
        <v>0.13214550853749071</v>
      </c>
    </row>
    <row r="120" spans="1:90" x14ac:dyDescent="0.45">
      <c r="A120" t="s">
        <v>695</v>
      </c>
      <c r="B120">
        <v>1650067200</v>
      </c>
      <c r="C120" t="s">
        <v>604</v>
      </c>
      <c r="D120" t="s">
        <v>65</v>
      </c>
      <c r="E120" t="s">
        <v>66</v>
      </c>
      <c r="F120" t="s">
        <v>72</v>
      </c>
      <c r="G120" t="s">
        <v>91</v>
      </c>
      <c r="H120" t="s">
        <v>103</v>
      </c>
      <c r="I120">
        <v>0.44</v>
      </c>
      <c r="J120">
        <v>0.43706164636397193</v>
      </c>
      <c r="K120">
        <v>0.30527870062753781</v>
      </c>
      <c r="L120">
        <v>0.2576596530084902</v>
      </c>
      <c r="M120">
        <v>14</v>
      </c>
      <c r="N120">
        <v>1.07</v>
      </c>
      <c r="O120">
        <v>1.31</v>
      </c>
      <c r="P120">
        <v>1.24</v>
      </c>
      <c r="Q120">
        <v>1.25</v>
      </c>
      <c r="R120" t="s">
        <v>1352</v>
      </c>
      <c r="S120">
        <v>4</v>
      </c>
      <c r="T120">
        <v>2</v>
      </c>
      <c r="U120">
        <v>6</v>
      </c>
      <c r="V120">
        <v>4</v>
      </c>
      <c r="W120">
        <v>3</v>
      </c>
      <c r="X120">
        <v>1</v>
      </c>
      <c r="Y120" t="s">
        <v>605</v>
      </c>
      <c r="Z120" t="s">
        <v>606</v>
      </c>
      <c r="AA120">
        <v>2</v>
      </c>
      <c r="AB120">
        <v>6</v>
      </c>
      <c r="AC120">
        <v>2</v>
      </c>
      <c r="AD120">
        <v>1</v>
      </c>
      <c r="AE120">
        <v>1</v>
      </c>
      <c r="AF120">
        <v>0</v>
      </c>
      <c r="AG120">
        <v>1</v>
      </c>
      <c r="AH120">
        <v>2</v>
      </c>
      <c r="AI120">
        <v>0</v>
      </c>
      <c r="AJ120">
        <v>1</v>
      </c>
      <c r="AK120">
        <v>13</v>
      </c>
      <c r="AL120">
        <v>16</v>
      </c>
      <c r="AM120">
        <v>6</v>
      </c>
      <c r="AN120">
        <v>7</v>
      </c>
      <c r="AO120">
        <v>7</v>
      </c>
      <c r="AP120">
        <v>9</v>
      </c>
      <c r="AQ120">
        <v>16</v>
      </c>
      <c r="AR120">
        <v>9</v>
      </c>
      <c r="AS120">
        <v>43</v>
      </c>
      <c r="AT120">
        <v>57</v>
      </c>
      <c r="AU120">
        <v>1.41</v>
      </c>
      <c r="AV120">
        <v>1.75</v>
      </c>
      <c r="AW120">
        <v>2.2999999999999998</v>
      </c>
      <c r="AX120">
        <v>39</v>
      </c>
      <c r="AY120">
        <v>63</v>
      </c>
      <c r="AZ120">
        <v>54</v>
      </c>
      <c r="BA120">
        <v>20</v>
      </c>
      <c r="BB120">
        <v>3</v>
      </c>
      <c r="BC120">
        <v>28</v>
      </c>
      <c r="BD120">
        <v>61</v>
      </c>
      <c r="BE120">
        <v>40</v>
      </c>
      <c r="BF120">
        <v>74</v>
      </c>
      <c r="BG120">
        <v>8.27</v>
      </c>
      <c r="BH120">
        <v>4.13</v>
      </c>
      <c r="BI120">
        <v>2.15</v>
      </c>
      <c r="BJ120">
        <v>3</v>
      </c>
      <c r="BK120">
        <v>3.5</v>
      </c>
      <c r="BL120">
        <v>2.8054632705795484E-2</v>
      </c>
      <c r="BM120">
        <v>1.36</v>
      </c>
      <c r="BN120">
        <v>2.2999999999999998</v>
      </c>
      <c r="BO120">
        <v>3.5</v>
      </c>
      <c r="BP120">
        <v>6.5</v>
      </c>
      <c r="BQ120">
        <v>1.85</v>
      </c>
      <c r="BR120">
        <v>1.85</v>
      </c>
      <c r="BS120" t="s">
        <v>76</v>
      </c>
      <c r="BT120">
        <v>1.6395459745305552</v>
      </c>
      <c r="BU120">
        <v>1.0758429359324786</v>
      </c>
      <c r="BV120">
        <v>2.4807646356033461</v>
      </c>
      <c r="BW120">
        <v>1.4140979689366791</v>
      </c>
      <c r="BX120">
        <v>1.0666666666666671</v>
      </c>
      <c r="BY120">
        <v>0.62712066905615294</v>
      </c>
      <c r="BZ120">
        <v>0.46009557945041818</v>
      </c>
      <c r="CA120">
        <v>12.56969280146722</v>
      </c>
      <c r="CB120">
        <v>9.8695552498853729</v>
      </c>
      <c r="CC120">
        <v>5.2754256787850897</v>
      </c>
      <c r="CD120">
        <v>4.1279337321675103</v>
      </c>
      <c r="CE120">
        <v>7.2942671226821298</v>
      </c>
      <c r="CF120">
        <v>5.7416215177178627</v>
      </c>
      <c r="CG120">
        <v>12.897246007868549</v>
      </c>
      <c r="CH120">
        <v>13.507058551261281</v>
      </c>
      <c r="CI120">
        <v>1.576522702104098</v>
      </c>
      <c r="CJ120">
        <v>1.917165005537099</v>
      </c>
      <c r="CK120">
        <v>8.4385382059800659E-2</v>
      </c>
      <c r="CL120">
        <v>0.1233665559246955</v>
      </c>
    </row>
    <row r="121" spans="1:90" x14ac:dyDescent="0.45">
      <c r="A121" t="s">
        <v>695</v>
      </c>
      <c r="B121">
        <v>1650074400</v>
      </c>
      <c r="C121" t="s">
        <v>607</v>
      </c>
      <c r="D121" t="s">
        <v>65</v>
      </c>
      <c r="E121" t="s">
        <v>66</v>
      </c>
      <c r="F121" t="s">
        <v>78</v>
      </c>
      <c r="G121" t="s">
        <v>84</v>
      </c>
      <c r="H121" t="s">
        <v>108</v>
      </c>
      <c r="I121">
        <v>0.2</v>
      </c>
      <c r="J121">
        <v>0.19709919709919707</v>
      </c>
      <c r="K121">
        <v>0.27751877751877752</v>
      </c>
      <c r="L121">
        <v>0.52538202538202539</v>
      </c>
      <c r="M121">
        <v>14</v>
      </c>
      <c r="N121">
        <v>1</v>
      </c>
      <c r="O121">
        <v>1.47</v>
      </c>
      <c r="P121">
        <v>0.88</v>
      </c>
      <c r="Q121">
        <v>1.42</v>
      </c>
      <c r="R121" t="s">
        <v>1351</v>
      </c>
      <c r="S121">
        <v>1</v>
      </c>
      <c r="T121">
        <v>2</v>
      </c>
      <c r="U121">
        <v>3</v>
      </c>
      <c r="V121">
        <v>2</v>
      </c>
      <c r="W121">
        <v>1</v>
      </c>
      <c r="X121">
        <v>1</v>
      </c>
      <c r="Y121">
        <v>44</v>
      </c>
      <c r="Z121" t="s">
        <v>608</v>
      </c>
      <c r="AA121">
        <v>3</v>
      </c>
      <c r="AB121">
        <v>5</v>
      </c>
      <c r="AC121">
        <v>1</v>
      </c>
      <c r="AD121">
        <v>0</v>
      </c>
      <c r="AE121">
        <v>3</v>
      </c>
      <c r="AF121">
        <v>0</v>
      </c>
      <c r="AG121">
        <v>0</v>
      </c>
      <c r="AH121">
        <v>1</v>
      </c>
      <c r="AI121">
        <v>0</v>
      </c>
      <c r="AJ121">
        <v>3</v>
      </c>
      <c r="AK121">
        <v>15</v>
      </c>
      <c r="AL121">
        <v>7</v>
      </c>
      <c r="AM121">
        <v>5</v>
      </c>
      <c r="AN121">
        <v>4</v>
      </c>
      <c r="AO121">
        <v>10</v>
      </c>
      <c r="AP121">
        <v>3</v>
      </c>
      <c r="AQ121">
        <v>16</v>
      </c>
      <c r="AR121">
        <v>19</v>
      </c>
      <c r="AS121">
        <v>48</v>
      </c>
      <c r="AT121">
        <v>52</v>
      </c>
      <c r="AU121">
        <v>1.54</v>
      </c>
      <c r="AV121">
        <v>0.98</v>
      </c>
      <c r="AW121">
        <v>2.67</v>
      </c>
      <c r="AX121">
        <v>60</v>
      </c>
      <c r="AY121">
        <v>77</v>
      </c>
      <c r="AZ121">
        <v>60</v>
      </c>
      <c r="BA121">
        <v>30</v>
      </c>
      <c r="BB121">
        <v>7</v>
      </c>
      <c r="BC121">
        <v>47</v>
      </c>
      <c r="BD121">
        <v>74</v>
      </c>
      <c r="BE121">
        <v>44</v>
      </c>
      <c r="BF121">
        <v>84</v>
      </c>
      <c r="BG121">
        <v>8.6</v>
      </c>
      <c r="BH121">
        <v>4.66</v>
      </c>
      <c r="BI121">
        <v>4.4000000000000004</v>
      </c>
      <c r="BJ121">
        <v>3.25</v>
      </c>
      <c r="BK121">
        <v>1.8</v>
      </c>
      <c r="BL121">
        <v>3.0173530173530194E-2</v>
      </c>
      <c r="BM121">
        <v>1.36</v>
      </c>
      <c r="BN121">
        <v>2.15</v>
      </c>
      <c r="BO121">
        <v>3.5</v>
      </c>
      <c r="BP121">
        <v>6.5</v>
      </c>
      <c r="BQ121">
        <v>1.91</v>
      </c>
      <c r="BR121">
        <v>1.8</v>
      </c>
      <c r="BS121" t="s">
        <v>82</v>
      </c>
      <c r="BT121">
        <v>0.89040268062788797</v>
      </c>
      <c r="BU121">
        <v>1.8482406971105219</v>
      </c>
      <c r="BV121">
        <v>2.7065095398428731</v>
      </c>
      <c r="BW121">
        <v>1.0101010101010099</v>
      </c>
      <c r="BX121">
        <v>1.696408529741863</v>
      </c>
      <c r="BY121">
        <v>0.44044943820224719</v>
      </c>
      <c r="BZ121">
        <v>0.74606741573033708</v>
      </c>
      <c r="CA121">
        <v>10.265072765072761</v>
      </c>
      <c r="CB121">
        <v>13.023908523908521</v>
      </c>
      <c r="CC121">
        <v>4.0483193277310923</v>
      </c>
      <c r="CD121">
        <v>5.60609243697479</v>
      </c>
      <c r="CE121">
        <v>6.2167534373416684</v>
      </c>
      <c r="CF121">
        <v>7.4178160869337306</v>
      </c>
      <c r="CG121">
        <v>13.223628691983119</v>
      </c>
      <c r="CH121">
        <v>12.78586497890295</v>
      </c>
      <c r="CI121">
        <v>1.8442211055276381</v>
      </c>
      <c r="CJ121">
        <v>1.7989949748743721</v>
      </c>
      <c r="CK121">
        <v>0.12060301507537689</v>
      </c>
      <c r="CL121">
        <v>0.11658291457286429</v>
      </c>
    </row>
    <row r="122" spans="1:90" x14ac:dyDescent="0.45">
      <c r="A122" t="s">
        <v>695</v>
      </c>
      <c r="B122">
        <v>1650074760</v>
      </c>
      <c r="C122" t="s">
        <v>609</v>
      </c>
      <c r="D122" t="s">
        <v>65</v>
      </c>
      <c r="E122" t="s">
        <v>66</v>
      </c>
      <c r="F122" t="s">
        <v>106</v>
      </c>
      <c r="G122" t="s">
        <v>68</v>
      </c>
      <c r="H122" t="s">
        <v>98</v>
      </c>
      <c r="I122">
        <v>0.3</v>
      </c>
      <c r="J122">
        <v>0.30743879472693031</v>
      </c>
      <c r="K122">
        <v>0.30743879472693031</v>
      </c>
      <c r="L122">
        <v>0.38512241054613938</v>
      </c>
      <c r="M122">
        <v>14</v>
      </c>
      <c r="N122">
        <v>1.47</v>
      </c>
      <c r="O122">
        <v>1.38</v>
      </c>
      <c r="P122">
        <v>1.35</v>
      </c>
      <c r="Q122">
        <v>1.53</v>
      </c>
      <c r="R122" t="s">
        <v>1351</v>
      </c>
      <c r="S122">
        <v>1</v>
      </c>
      <c r="T122">
        <v>3</v>
      </c>
      <c r="U122">
        <v>4</v>
      </c>
      <c r="V122">
        <v>3</v>
      </c>
      <c r="W122">
        <v>1</v>
      </c>
      <c r="X122">
        <v>2</v>
      </c>
      <c r="Y122">
        <v>31</v>
      </c>
      <c r="Z122" t="s">
        <v>610</v>
      </c>
      <c r="AA122">
        <v>6</v>
      </c>
      <c r="AB122">
        <v>7</v>
      </c>
      <c r="AC122">
        <v>3</v>
      </c>
      <c r="AD122">
        <v>0</v>
      </c>
      <c r="AE122">
        <v>2</v>
      </c>
      <c r="AF122">
        <v>0</v>
      </c>
      <c r="AG122">
        <v>0</v>
      </c>
      <c r="AH122">
        <v>3</v>
      </c>
      <c r="AI122">
        <v>2</v>
      </c>
      <c r="AJ122">
        <v>0</v>
      </c>
      <c r="AK122">
        <v>11</v>
      </c>
      <c r="AL122">
        <v>19</v>
      </c>
      <c r="AM122">
        <v>4</v>
      </c>
      <c r="AN122">
        <v>9</v>
      </c>
      <c r="AO122">
        <v>7</v>
      </c>
      <c r="AP122">
        <v>10</v>
      </c>
      <c r="AQ122">
        <v>16</v>
      </c>
      <c r="AR122">
        <v>15</v>
      </c>
      <c r="AS122">
        <v>50</v>
      </c>
      <c r="AT122">
        <v>50</v>
      </c>
      <c r="AU122">
        <v>1.22</v>
      </c>
      <c r="AV122">
        <v>2.2000000000000002</v>
      </c>
      <c r="AW122">
        <v>1.94</v>
      </c>
      <c r="AX122">
        <v>55</v>
      </c>
      <c r="AY122">
        <v>62</v>
      </c>
      <c r="AZ122">
        <v>33</v>
      </c>
      <c r="BA122">
        <v>13</v>
      </c>
      <c r="BB122">
        <v>7</v>
      </c>
      <c r="BC122">
        <v>35</v>
      </c>
      <c r="BD122">
        <v>58</v>
      </c>
      <c r="BE122">
        <v>20</v>
      </c>
      <c r="BF122">
        <v>65</v>
      </c>
      <c r="BG122">
        <v>9.1300000000000008</v>
      </c>
      <c r="BH122">
        <v>4.6399999999999997</v>
      </c>
      <c r="BI122">
        <v>2.95</v>
      </c>
      <c r="BJ122">
        <v>2.95</v>
      </c>
      <c r="BK122">
        <v>2.4</v>
      </c>
      <c r="BL122">
        <v>3.1544256120527324E-2</v>
      </c>
      <c r="BM122">
        <v>1.4</v>
      </c>
      <c r="BN122">
        <v>2.25</v>
      </c>
      <c r="BO122">
        <v>4</v>
      </c>
      <c r="BP122">
        <v>7.5</v>
      </c>
      <c r="BQ122">
        <v>1.91</v>
      </c>
      <c r="BR122">
        <v>1.8</v>
      </c>
      <c r="BS122" t="s">
        <v>110</v>
      </c>
      <c r="BT122">
        <v>1.2142445227270171</v>
      </c>
      <c r="BU122">
        <v>1.4993969533036628</v>
      </c>
      <c r="BV122">
        <v>2.5726407816919519</v>
      </c>
      <c r="BW122">
        <v>1.1805091283106199</v>
      </c>
      <c r="BX122">
        <v>1.3921316533813319</v>
      </c>
      <c r="BY122">
        <v>0.5209673269873939</v>
      </c>
      <c r="BZ122">
        <v>0.61847182917417032</v>
      </c>
      <c r="CA122">
        <v>11.149200710479571</v>
      </c>
      <c r="CB122">
        <v>11.444049733570161</v>
      </c>
      <c r="CC122">
        <v>4.5257270693512304</v>
      </c>
      <c r="CD122">
        <v>4.8465324384787474</v>
      </c>
      <c r="CE122">
        <v>6.6234736411283404</v>
      </c>
      <c r="CF122">
        <v>6.5975172950914134</v>
      </c>
      <c r="CG122">
        <v>12.90081154192967</v>
      </c>
      <c r="CH122">
        <v>13.00360685302074</v>
      </c>
      <c r="CI122">
        <v>1.7502145922746779</v>
      </c>
      <c r="CJ122">
        <v>1.831402831402831</v>
      </c>
      <c r="CK122">
        <v>9.6525096525096526E-2</v>
      </c>
      <c r="CL122">
        <v>0.1244101244101244</v>
      </c>
    </row>
    <row r="123" spans="1:90" x14ac:dyDescent="0.45">
      <c r="A123" t="s">
        <v>695</v>
      </c>
      <c r="B123">
        <v>1650146400</v>
      </c>
      <c r="C123" t="s">
        <v>611</v>
      </c>
      <c r="D123" t="s">
        <v>65</v>
      </c>
      <c r="E123" t="s">
        <v>66</v>
      </c>
      <c r="F123" t="s">
        <v>85</v>
      </c>
      <c r="G123" t="s">
        <v>102</v>
      </c>
      <c r="H123" t="s">
        <v>92</v>
      </c>
      <c r="I123">
        <v>0.46</v>
      </c>
      <c r="J123">
        <v>0.45484117872177571</v>
      </c>
      <c r="K123">
        <v>0.27257941063911212</v>
      </c>
      <c r="L123">
        <v>0.27257941063911212</v>
      </c>
      <c r="M123">
        <v>14</v>
      </c>
      <c r="N123">
        <v>1.67</v>
      </c>
      <c r="O123">
        <v>1.6</v>
      </c>
      <c r="P123">
        <v>1.55</v>
      </c>
      <c r="Q123">
        <v>1.42</v>
      </c>
      <c r="R123" t="s">
        <v>1351</v>
      </c>
      <c r="S123">
        <v>0</v>
      </c>
      <c r="T123">
        <v>1</v>
      </c>
      <c r="U123">
        <v>1</v>
      </c>
      <c r="V123">
        <v>1</v>
      </c>
      <c r="W123">
        <v>0</v>
      </c>
      <c r="X123">
        <v>1</v>
      </c>
      <c r="Z123">
        <v>43</v>
      </c>
      <c r="AA123">
        <v>3</v>
      </c>
      <c r="AB123">
        <v>4</v>
      </c>
      <c r="AC123">
        <v>4</v>
      </c>
      <c r="AD123">
        <v>2</v>
      </c>
      <c r="AE123">
        <v>9</v>
      </c>
      <c r="AF123">
        <v>2</v>
      </c>
      <c r="AG123">
        <v>3</v>
      </c>
      <c r="AH123">
        <v>3</v>
      </c>
      <c r="AI123">
        <v>2</v>
      </c>
      <c r="AJ123">
        <v>9</v>
      </c>
      <c r="AK123">
        <v>16</v>
      </c>
      <c r="AL123">
        <v>25</v>
      </c>
      <c r="AM123">
        <v>0</v>
      </c>
      <c r="AN123">
        <v>9</v>
      </c>
      <c r="AO123">
        <v>16</v>
      </c>
      <c r="AP123">
        <v>16</v>
      </c>
      <c r="AQ123">
        <v>12</v>
      </c>
      <c r="AR123">
        <v>22</v>
      </c>
      <c r="AS123">
        <v>39</v>
      </c>
      <c r="AT123">
        <v>61</v>
      </c>
      <c r="AU123">
        <v>1.28</v>
      </c>
      <c r="AV123">
        <v>2.58</v>
      </c>
      <c r="AW123">
        <v>2.31</v>
      </c>
      <c r="AX123">
        <v>52</v>
      </c>
      <c r="AY123">
        <v>83</v>
      </c>
      <c r="AZ123">
        <v>39</v>
      </c>
      <c r="BA123">
        <v>10</v>
      </c>
      <c r="BB123">
        <v>7</v>
      </c>
      <c r="BC123">
        <v>31</v>
      </c>
      <c r="BD123">
        <v>75</v>
      </c>
      <c r="BE123">
        <v>37</v>
      </c>
      <c r="BF123">
        <v>76</v>
      </c>
      <c r="BG123">
        <v>9.44</v>
      </c>
      <c r="BH123">
        <v>5.39</v>
      </c>
      <c r="BI123">
        <v>2.08</v>
      </c>
      <c r="BJ123">
        <v>3.35</v>
      </c>
      <c r="BK123">
        <v>3.35</v>
      </c>
      <c r="BL123">
        <v>2.5928052047455036E-2</v>
      </c>
      <c r="BM123">
        <v>1.31</v>
      </c>
      <c r="BN123">
        <v>2.0499999999999998</v>
      </c>
      <c r="BO123">
        <v>3.37</v>
      </c>
      <c r="BP123">
        <v>6.5</v>
      </c>
      <c r="BQ123">
        <v>1.87</v>
      </c>
      <c r="BR123">
        <v>1.89</v>
      </c>
      <c r="BS123" t="s">
        <v>128</v>
      </c>
      <c r="BT123">
        <v>1.6955772349985931</v>
      </c>
      <c r="BU123">
        <v>1.0239029519551039</v>
      </c>
      <c r="BV123">
        <v>2.5405629139072849</v>
      </c>
      <c r="BW123">
        <v>1.4888836329233679</v>
      </c>
      <c r="BX123">
        <v>1.0516792809839171</v>
      </c>
      <c r="BY123">
        <v>0.64581362346263005</v>
      </c>
      <c r="BZ123">
        <v>0.45364238410596031</v>
      </c>
      <c r="CA123">
        <v>12.686892177589851</v>
      </c>
      <c r="CB123">
        <v>9.8059196617336148</v>
      </c>
      <c r="CC123">
        <v>5.3198121263877027</v>
      </c>
      <c r="CD123">
        <v>4.0954312553373189</v>
      </c>
      <c r="CE123">
        <v>7.3670800512021479</v>
      </c>
      <c r="CF123">
        <v>5.710488406396296</v>
      </c>
      <c r="CG123">
        <v>13.0488908033599</v>
      </c>
      <c r="CH123">
        <v>13.714839543398661</v>
      </c>
      <c r="CI123">
        <v>1.567523459812322</v>
      </c>
      <c r="CJ123">
        <v>1.951040391676867</v>
      </c>
      <c r="CK123">
        <v>8.3027335781313744E-2</v>
      </c>
      <c r="CL123">
        <v>0.13117095063239501</v>
      </c>
    </row>
    <row r="124" spans="1:90" x14ac:dyDescent="0.45">
      <c r="A124" t="s">
        <v>695</v>
      </c>
      <c r="B124">
        <v>1650153600</v>
      </c>
      <c r="C124" t="s">
        <v>612</v>
      </c>
      <c r="D124" t="s">
        <v>65</v>
      </c>
      <c r="E124" t="s">
        <v>66</v>
      </c>
      <c r="F124" t="s">
        <v>73</v>
      </c>
      <c r="G124" t="s">
        <v>67</v>
      </c>
      <c r="H124" t="s">
        <v>158</v>
      </c>
      <c r="I124">
        <v>0.54</v>
      </c>
      <c r="J124">
        <v>0.54376064818026937</v>
      </c>
      <c r="K124">
        <v>0.25402221759676835</v>
      </c>
      <c r="L124">
        <v>0.20221713422296234</v>
      </c>
      <c r="M124">
        <v>14</v>
      </c>
      <c r="N124">
        <v>1.65</v>
      </c>
      <c r="O124">
        <v>0.6</v>
      </c>
      <c r="P124">
        <v>1.58</v>
      </c>
      <c r="Q124">
        <v>0.65</v>
      </c>
      <c r="R124" t="s">
        <v>1348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0</v>
      </c>
      <c r="Y124" t="s">
        <v>308</v>
      </c>
      <c r="Z124">
        <v>68</v>
      </c>
      <c r="AA124">
        <v>5</v>
      </c>
      <c r="AB124">
        <v>7</v>
      </c>
      <c r="AC124">
        <v>2</v>
      </c>
      <c r="AD124">
        <v>0</v>
      </c>
      <c r="AE124">
        <v>4</v>
      </c>
      <c r="AF124">
        <v>0</v>
      </c>
      <c r="AG124">
        <v>1</v>
      </c>
      <c r="AH124">
        <v>1</v>
      </c>
      <c r="AI124">
        <v>3</v>
      </c>
      <c r="AJ124">
        <v>1</v>
      </c>
      <c r="AK124">
        <v>21</v>
      </c>
      <c r="AL124">
        <v>12</v>
      </c>
      <c r="AM124">
        <v>9</v>
      </c>
      <c r="AN124">
        <v>5</v>
      </c>
      <c r="AO124">
        <v>12</v>
      </c>
      <c r="AP124">
        <v>7</v>
      </c>
      <c r="AQ124">
        <v>12</v>
      </c>
      <c r="AR124">
        <v>12</v>
      </c>
      <c r="AS124">
        <v>52</v>
      </c>
      <c r="AT124">
        <v>48</v>
      </c>
      <c r="AU124">
        <v>2.3199999999999998</v>
      </c>
      <c r="AV124">
        <v>1.45</v>
      </c>
      <c r="AW124">
        <v>2.2200000000000002</v>
      </c>
      <c r="AX124">
        <v>56</v>
      </c>
      <c r="AY124">
        <v>75</v>
      </c>
      <c r="AZ124">
        <v>34</v>
      </c>
      <c r="BA124">
        <v>21</v>
      </c>
      <c r="BB124">
        <v>9</v>
      </c>
      <c r="BC124">
        <v>19</v>
      </c>
      <c r="BD124">
        <v>57</v>
      </c>
      <c r="BE124">
        <v>46</v>
      </c>
      <c r="BF124">
        <v>75</v>
      </c>
      <c r="BG124">
        <v>11.22</v>
      </c>
      <c r="BH124">
        <v>4.84</v>
      </c>
      <c r="BI124">
        <v>1.75</v>
      </c>
      <c r="BJ124">
        <v>3.55</v>
      </c>
      <c r="BK124">
        <v>4.3499999999999996</v>
      </c>
      <c r="BL124">
        <v>2.7667923248302067E-2</v>
      </c>
      <c r="BM124">
        <v>1.36</v>
      </c>
      <c r="BN124">
        <v>2.04</v>
      </c>
      <c r="BO124">
        <v>3.5</v>
      </c>
      <c r="BP124">
        <v>7</v>
      </c>
      <c r="BQ124">
        <v>2</v>
      </c>
      <c r="BR124">
        <v>1.73</v>
      </c>
      <c r="BS124" t="s">
        <v>142</v>
      </c>
      <c r="BT124">
        <v>1.915666026436746</v>
      </c>
      <c r="BU124">
        <v>0.82283834599204153</v>
      </c>
      <c r="BV124">
        <v>2.6359702267612941</v>
      </c>
      <c r="BW124">
        <v>1.684957590444867</v>
      </c>
      <c r="BX124">
        <v>0.95101263631642718</v>
      </c>
      <c r="BY124">
        <v>0.72650164445213783</v>
      </c>
      <c r="BZ124">
        <v>0.42097974727367138</v>
      </c>
      <c r="CA124">
        <v>13.338806970509379</v>
      </c>
      <c r="CB124">
        <v>9.2530160857908843</v>
      </c>
      <c r="CC124">
        <v>5.9915081521739131</v>
      </c>
      <c r="CD124">
        <v>3.9772418478260869</v>
      </c>
      <c r="CE124">
        <v>7.3472988183354664</v>
      </c>
      <c r="CF124">
        <v>5.2757742379647974</v>
      </c>
      <c r="CG124">
        <v>12.59428182437032</v>
      </c>
      <c r="CH124">
        <v>13.577944179714089</v>
      </c>
      <c r="CI124">
        <v>1.4276913099870301</v>
      </c>
      <c r="CJ124">
        <v>1.940985732814527</v>
      </c>
      <c r="CK124">
        <v>8.0739299610894946E-2</v>
      </c>
      <c r="CL124">
        <v>0.12743190661478601</v>
      </c>
    </row>
    <row r="125" spans="1:90" x14ac:dyDescent="0.45">
      <c r="A125" t="s">
        <v>695</v>
      </c>
      <c r="B125">
        <v>1650153600</v>
      </c>
      <c r="C125" t="s">
        <v>612</v>
      </c>
      <c r="D125" t="s">
        <v>65</v>
      </c>
      <c r="E125" t="s">
        <v>66</v>
      </c>
      <c r="F125" t="s">
        <v>107</v>
      </c>
      <c r="G125" t="s">
        <v>79</v>
      </c>
      <c r="H125" t="s">
        <v>69</v>
      </c>
      <c r="I125">
        <v>0.68</v>
      </c>
      <c r="J125">
        <v>0.68314125295508277</v>
      </c>
      <c r="K125">
        <v>0.18668735224586289</v>
      </c>
      <c r="L125">
        <v>0.13017139479905437</v>
      </c>
      <c r="M125">
        <v>14</v>
      </c>
      <c r="N125">
        <v>2.12</v>
      </c>
      <c r="O125">
        <v>1.4</v>
      </c>
      <c r="P125">
        <v>2</v>
      </c>
      <c r="Q125">
        <v>1.29</v>
      </c>
      <c r="R125" t="s">
        <v>1352</v>
      </c>
      <c r="S125">
        <v>3</v>
      </c>
      <c r="T125">
        <v>0</v>
      </c>
      <c r="U125">
        <v>3</v>
      </c>
      <c r="V125">
        <v>0</v>
      </c>
      <c r="W125">
        <v>0</v>
      </c>
      <c r="X125">
        <v>0</v>
      </c>
      <c r="Y125" t="s">
        <v>613</v>
      </c>
      <c r="AA125">
        <v>5</v>
      </c>
      <c r="AB125">
        <v>5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29</v>
      </c>
      <c r="AL125">
        <v>8</v>
      </c>
      <c r="AM125">
        <v>9</v>
      </c>
      <c r="AN125">
        <v>3</v>
      </c>
      <c r="AO125">
        <v>20</v>
      </c>
      <c r="AP125">
        <v>5</v>
      </c>
      <c r="AQ125">
        <v>13</v>
      </c>
      <c r="AR125">
        <v>11</v>
      </c>
      <c r="AS125">
        <v>57</v>
      </c>
      <c r="AT125">
        <v>43</v>
      </c>
      <c r="AU125">
        <v>3.02</v>
      </c>
      <c r="AV125">
        <v>0.87</v>
      </c>
      <c r="AW125">
        <v>2.5299999999999998</v>
      </c>
      <c r="AX125">
        <v>40</v>
      </c>
      <c r="AY125">
        <v>78</v>
      </c>
      <c r="AZ125">
        <v>50</v>
      </c>
      <c r="BA125">
        <v>23</v>
      </c>
      <c r="BB125">
        <v>7</v>
      </c>
      <c r="BC125">
        <v>28</v>
      </c>
      <c r="BD125">
        <v>73</v>
      </c>
      <c r="BE125">
        <v>37</v>
      </c>
      <c r="BF125">
        <v>78</v>
      </c>
      <c r="BG125">
        <v>10.16</v>
      </c>
      <c r="BH125">
        <v>4.76</v>
      </c>
      <c r="BI125">
        <v>1.41</v>
      </c>
      <c r="BJ125">
        <v>4.7</v>
      </c>
      <c r="BK125">
        <v>6.4</v>
      </c>
      <c r="BL125">
        <v>2.6078605200945626E-2</v>
      </c>
      <c r="BM125">
        <v>1.25</v>
      </c>
      <c r="BN125">
        <v>1.71</v>
      </c>
      <c r="BO125">
        <v>2.75</v>
      </c>
      <c r="BP125">
        <v>5</v>
      </c>
      <c r="BQ125">
        <v>1.91</v>
      </c>
      <c r="BR125">
        <v>1.8</v>
      </c>
      <c r="BS125" t="s">
        <v>161</v>
      </c>
      <c r="BT125">
        <v>2.2809240428978073</v>
      </c>
      <c r="BU125">
        <v>0.51285766971545521</v>
      </c>
      <c r="BV125">
        <v>2.9107565011820329</v>
      </c>
      <c r="BW125">
        <v>2.1359338061465718</v>
      </c>
      <c r="BX125">
        <v>0.77482269503546097</v>
      </c>
      <c r="BY125">
        <v>0.93380614657210403</v>
      </c>
      <c r="BZ125">
        <v>0.33747044917257679</v>
      </c>
      <c r="CA125">
        <v>15.783723522853959</v>
      </c>
      <c r="CB125">
        <v>8.5830546265328866</v>
      </c>
      <c r="CC125">
        <v>6.7338618346545864</v>
      </c>
      <c r="CD125">
        <v>3.2842582106455271</v>
      </c>
      <c r="CE125">
        <v>9.049861688199373</v>
      </c>
      <c r="CF125">
        <v>5.2987964158873595</v>
      </c>
      <c r="CG125">
        <v>12.362500000000001</v>
      </c>
      <c r="CH125">
        <v>13.904545454545451</v>
      </c>
      <c r="CI125">
        <v>1.353005464480874</v>
      </c>
      <c r="CJ125">
        <v>2.0185792349726781</v>
      </c>
      <c r="CK125">
        <v>6.6666666666666666E-2</v>
      </c>
      <c r="CL125">
        <v>0.1213114754098361</v>
      </c>
    </row>
    <row r="126" spans="1:90" x14ac:dyDescent="0.45">
      <c r="A126" t="s">
        <v>695</v>
      </c>
      <c r="B126">
        <v>1650160800</v>
      </c>
      <c r="C126" t="s">
        <v>614</v>
      </c>
      <c r="D126" t="s">
        <v>65</v>
      </c>
      <c r="E126" t="s">
        <v>66</v>
      </c>
      <c r="F126" t="s">
        <v>112</v>
      </c>
      <c r="G126" t="s">
        <v>90</v>
      </c>
      <c r="H126" t="s">
        <v>74</v>
      </c>
      <c r="I126">
        <v>0.42</v>
      </c>
      <c r="J126">
        <v>0.41798941798941797</v>
      </c>
      <c r="K126">
        <v>0.29100529100529099</v>
      </c>
      <c r="L126">
        <v>0.29100529100529099</v>
      </c>
      <c r="M126">
        <v>14</v>
      </c>
      <c r="N126">
        <v>1.5</v>
      </c>
      <c r="O126">
        <v>1.1299999999999999</v>
      </c>
      <c r="P126">
        <v>1.25</v>
      </c>
      <c r="Q126">
        <v>1.32</v>
      </c>
      <c r="R126" t="s">
        <v>1351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Z126">
        <v>58</v>
      </c>
      <c r="AA126">
        <v>7</v>
      </c>
      <c r="AB126">
        <v>5</v>
      </c>
      <c r="AC126">
        <v>3</v>
      </c>
      <c r="AD126">
        <v>0</v>
      </c>
      <c r="AE126">
        <v>1</v>
      </c>
      <c r="AF126">
        <v>1</v>
      </c>
      <c r="AG126">
        <v>0</v>
      </c>
      <c r="AH126">
        <v>3</v>
      </c>
      <c r="AI126">
        <v>0</v>
      </c>
      <c r="AJ126">
        <v>2</v>
      </c>
      <c r="AK126">
        <v>13</v>
      </c>
      <c r="AL126">
        <v>14</v>
      </c>
      <c r="AM126">
        <v>2</v>
      </c>
      <c r="AN126">
        <v>7</v>
      </c>
      <c r="AO126">
        <v>11</v>
      </c>
      <c r="AP126">
        <v>7</v>
      </c>
      <c r="AQ126">
        <v>12</v>
      </c>
      <c r="AR126">
        <v>16</v>
      </c>
      <c r="AS126">
        <v>58</v>
      </c>
      <c r="AT126">
        <v>42</v>
      </c>
      <c r="AU126">
        <v>1.3</v>
      </c>
      <c r="AV126">
        <v>1.58</v>
      </c>
      <c r="AW126">
        <v>2.16</v>
      </c>
      <c r="AX126">
        <v>53</v>
      </c>
      <c r="AY126">
        <v>69</v>
      </c>
      <c r="AZ126">
        <v>41</v>
      </c>
      <c r="BA126">
        <v>19</v>
      </c>
      <c r="BB126">
        <v>3</v>
      </c>
      <c r="BC126">
        <v>28</v>
      </c>
      <c r="BD126">
        <v>66</v>
      </c>
      <c r="BE126">
        <v>41</v>
      </c>
      <c r="BF126">
        <v>72</v>
      </c>
      <c r="BG126">
        <v>9.1300000000000008</v>
      </c>
      <c r="BH126">
        <v>4.87</v>
      </c>
      <c r="BI126">
        <v>2.25</v>
      </c>
      <c r="BJ126">
        <v>3.15</v>
      </c>
      <c r="BK126">
        <v>3.15</v>
      </c>
      <c r="BL126">
        <v>2.6455026455026436E-2</v>
      </c>
      <c r="BM126">
        <v>1.4</v>
      </c>
      <c r="BN126">
        <v>2.48</v>
      </c>
      <c r="BO126">
        <v>3.75</v>
      </c>
      <c r="BP126">
        <v>7.5</v>
      </c>
      <c r="BQ126">
        <v>1.91</v>
      </c>
      <c r="BR126">
        <v>1.8</v>
      </c>
      <c r="BS126" t="s">
        <v>116</v>
      </c>
      <c r="BT126">
        <v>1.5780106027030405</v>
      </c>
      <c r="BU126">
        <v>1.1353025412447635</v>
      </c>
      <c r="BV126">
        <v>2.4884649511978703</v>
      </c>
      <c r="BW126">
        <v>1.396960958296362</v>
      </c>
      <c r="BX126">
        <v>1.091503992901508</v>
      </c>
      <c r="BY126">
        <v>0.60765391014975045</v>
      </c>
      <c r="BZ126">
        <v>0.47276760953965608</v>
      </c>
      <c r="CA126">
        <v>12.29504785684561</v>
      </c>
      <c r="CB126">
        <v>10.047232625884311</v>
      </c>
      <c r="CC126">
        <v>5.2917192097519967</v>
      </c>
      <c r="CD126">
        <v>4.2580916351408158</v>
      </c>
      <c r="CE126">
        <v>7.0033286470936131</v>
      </c>
      <c r="CF126">
        <v>5.789140990743495</v>
      </c>
      <c r="CG126">
        <v>12.77041895895049</v>
      </c>
      <c r="CH126">
        <v>13.411129919593741</v>
      </c>
      <c r="CI126">
        <v>1.556141062018646</v>
      </c>
      <c r="CJ126">
        <v>1.9114308877178761</v>
      </c>
      <c r="CK126">
        <v>8.4920956627482766E-2</v>
      </c>
      <c r="CL126">
        <v>0.1323469801378192</v>
      </c>
    </row>
    <row r="127" spans="1:90" x14ac:dyDescent="0.45">
      <c r="A127" t="s">
        <v>695</v>
      </c>
      <c r="B127">
        <v>1650214800</v>
      </c>
      <c r="C127" t="s">
        <v>615</v>
      </c>
      <c r="D127" t="s">
        <v>65</v>
      </c>
      <c r="E127" t="s">
        <v>66</v>
      </c>
      <c r="F127" t="s">
        <v>96</v>
      </c>
      <c r="G127" t="s">
        <v>101</v>
      </c>
      <c r="H127" t="s">
        <v>215</v>
      </c>
      <c r="I127">
        <v>0.32</v>
      </c>
      <c r="J127">
        <v>0.32176539935160625</v>
      </c>
      <c r="K127">
        <v>0.28463012083701739</v>
      </c>
      <c r="L127">
        <v>0.39360447981137636</v>
      </c>
      <c r="M127">
        <v>14</v>
      </c>
      <c r="N127">
        <v>1.41</v>
      </c>
      <c r="O127">
        <v>1.18</v>
      </c>
      <c r="P127">
        <v>1.58</v>
      </c>
      <c r="Q127">
        <v>1.05</v>
      </c>
      <c r="R127" t="s">
        <v>1352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0</v>
      </c>
      <c r="Y127" t="s">
        <v>207</v>
      </c>
      <c r="AA127">
        <v>5</v>
      </c>
      <c r="AB127">
        <v>6</v>
      </c>
      <c r="AC127">
        <v>3</v>
      </c>
      <c r="AD127">
        <v>1</v>
      </c>
      <c r="AE127">
        <v>1</v>
      </c>
      <c r="AF127">
        <v>0</v>
      </c>
      <c r="AG127">
        <v>2</v>
      </c>
      <c r="AH127">
        <v>2</v>
      </c>
      <c r="AI127">
        <v>0</v>
      </c>
      <c r="AJ127">
        <v>1</v>
      </c>
      <c r="AK127">
        <v>16</v>
      </c>
      <c r="AL127">
        <v>18</v>
      </c>
      <c r="AM127">
        <v>6</v>
      </c>
      <c r="AN127">
        <v>5</v>
      </c>
      <c r="AO127">
        <v>10</v>
      </c>
      <c r="AP127">
        <v>13</v>
      </c>
      <c r="AQ127">
        <v>10</v>
      </c>
      <c r="AR127">
        <v>8</v>
      </c>
      <c r="AS127">
        <v>42</v>
      </c>
      <c r="AT127">
        <v>58</v>
      </c>
      <c r="AU127">
        <v>1.69</v>
      </c>
      <c r="AV127">
        <v>1.79</v>
      </c>
      <c r="AW127">
        <v>2.41</v>
      </c>
      <c r="AX127">
        <v>53</v>
      </c>
      <c r="AY127">
        <v>68</v>
      </c>
      <c r="AZ127">
        <v>47</v>
      </c>
      <c r="BA127">
        <v>32</v>
      </c>
      <c r="BB127">
        <v>9</v>
      </c>
      <c r="BC127">
        <v>33</v>
      </c>
      <c r="BD127">
        <v>62</v>
      </c>
      <c r="BE127">
        <v>41</v>
      </c>
      <c r="BF127">
        <v>65</v>
      </c>
      <c r="BG127">
        <v>10.36</v>
      </c>
      <c r="BH127">
        <v>4.76</v>
      </c>
      <c r="BI127">
        <v>2.9</v>
      </c>
      <c r="BJ127">
        <v>3.25</v>
      </c>
      <c r="BK127">
        <v>2.4</v>
      </c>
      <c r="BL127">
        <v>2.306218685529034E-2</v>
      </c>
      <c r="BM127">
        <v>1.34</v>
      </c>
      <c r="BN127">
        <v>2.1</v>
      </c>
      <c r="BO127">
        <v>3.58</v>
      </c>
      <c r="BP127">
        <v>6.95</v>
      </c>
      <c r="BQ127">
        <v>1.79</v>
      </c>
      <c r="BR127">
        <v>1.92</v>
      </c>
      <c r="BS127" t="s">
        <v>99</v>
      </c>
      <c r="BT127">
        <v>1.274681051426811</v>
      </c>
      <c r="BU127">
        <v>1.4392482240810365</v>
      </c>
      <c r="BV127">
        <v>2.5313454284174597</v>
      </c>
      <c r="BW127">
        <v>1.210167055864918</v>
      </c>
      <c r="BX127">
        <v>1.3211783725525419</v>
      </c>
      <c r="BY127">
        <v>0.53135669362084459</v>
      </c>
      <c r="BZ127">
        <v>0.55633423180592989</v>
      </c>
      <c r="CA127">
        <v>11.21109010712035</v>
      </c>
      <c r="CB127">
        <v>11.01700787401575</v>
      </c>
      <c r="CC127">
        <v>4.6792332268370611</v>
      </c>
      <c r="CD127">
        <v>4.7080804854679013</v>
      </c>
      <c r="CE127">
        <v>6.5318568802832893</v>
      </c>
      <c r="CF127">
        <v>6.3089273885478487</v>
      </c>
      <c r="CG127">
        <v>12.72547770700637</v>
      </c>
      <c r="CH127">
        <v>13.06847133757962</v>
      </c>
      <c r="CI127">
        <v>1.6902356902356901</v>
      </c>
      <c r="CJ127">
        <v>1.8050198959289869</v>
      </c>
      <c r="CK127">
        <v>0.105907560453015</v>
      </c>
      <c r="CL127">
        <v>0.1141720232629324</v>
      </c>
    </row>
    <row r="128" spans="1:90" x14ac:dyDescent="0.45">
      <c r="A128" t="s">
        <v>695</v>
      </c>
      <c r="B128">
        <v>1650412800</v>
      </c>
      <c r="C128" t="s">
        <v>616</v>
      </c>
      <c r="D128" t="s">
        <v>65</v>
      </c>
      <c r="E128" t="s">
        <v>66</v>
      </c>
      <c r="F128" t="s">
        <v>84</v>
      </c>
      <c r="G128" t="s">
        <v>102</v>
      </c>
      <c r="H128" t="s">
        <v>103</v>
      </c>
      <c r="I128">
        <v>0.56000000000000005</v>
      </c>
      <c r="J128">
        <v>0.55470182317427774</v>
      </c>
      <c r="K128">
        <v>0.23997314100373504</v>
      </c>
      <c r="L128">
        <v>0.20532503582198719</v>
      </c>
      <c r="M128">
        <v>15</v>
      </c>
      <c r="N128">
        <v>1.67</v>
      </c>
      <c r="O128">
        <v>1.69</v>
      </c>
      <c r="P128">
        <v>1.89</v>
      </c>
      <c r="Q128">
        <v>1.42</v>
      </c>
      <c r="R128" t="s">
        <v>1352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0</v>
      </c>
      <c r="Y128">
        <v>11</v>
      </c>
      <c r="AA128">
        <v>8</v>
      </c>
      <c r="AB128">
        <v>4</v>
      </c>
      <c r="AC128">
        <v>1</v>
      </c>
      <c r="AD128">
        <v>1</v>
      </c>
      <c r="AE128">
        <v>2</v>
      </c>
      <c r="AF128">
        <v>0</v>
      </c>
      <c r="AG128">
        <v>0</v>
      </c>
      <c r="AH128">
        <v>2</v>
      </c>
      <c r="AI128">
        <v>0</v>
      </c>
      <c r="AJ128">
        <v>2</v>
      </c>
      <c r="AK128">
        <v>19</v>
      </c>
      <c r="AL128">
        <v>13</v>
      </c>
      <c r="AM128">
        <v>5</v>
      </c>
      <c r="AN128">
        <v>3</v>
      </c>
      <c r="AO128">
        <v>14</v>
      </c>
      <c r="AP128">
        <v>10</v>
      </c>
      <c r="AQ128">
        <v>10</v>
      </c>
      <c r="AR128">
        <v>15</v>
      </c>
      <c r="AS128">
        <v>38</v>
      </c>
      <c r="AT128">
        <v>62</v>
      </c>
      <c r="AU128">
        <v>1.84</v>
      </c>
      <c r="AV128">
        <v>1.36</v>
      </c>
      <c r="AW128">
        <v>2.19</v>
      </c>
      <c r="AX128">
        <v>52</v>
      </c>
      <c r="AY128">
        <v>74</v>
      </c>
      <c r="AZ128">
        <v>33</v>
      </c>
      <c r="BA128">
        <v>17</v>
      </c>
      <c r="BB128">
        <v>3</v>
      </c>
      <c r="BC128">
        <v>32</v>
      </c>
      <c r="BD128">
        <v>68</v>
      </c>
      <c r="BE128">
        <v>29</v>
      </c>
      <c r="BF128">
        <v>65</v>
      </c>
      <c r="BG128">
        <v>9.92</v>
      </c>
      <c r="BH128">
        <v>5.5</v>
      </c>
      <c r="BI128">
        <v>1.72</v>
      </c>
      <c r="BJ128">
        <v>3.75</v>
      </c>
      <c r="BK128">
        <v>4.3099999999999996</v>
      </c>
      <c r="BL128">
        <v>2.6693525662931632E-2</v>
      </c>
      <c r="BM128">
        <v>1.2</v>
      </c>
      <c r="BN128">
        <v>1.68</v>
      </c>
      <c r="BO128">
        <v>2.56</v>
      </c>
      <c r="BP128">
        <v>4.57</v>
      </c>
      <c r="BQ128">
        <v>1.6</v>
      </c>
      <c r="BR128">
        <v>2.2000000000000002</v>
      </c>
      <c r="BS128" t="s">
        <v>88</v>
      </c>
      <c r="BT128">
        <v>1.9673156855724254</v>
      </c>
      <c r="BU128">
        <v>0.77729484582409181</v>
      </c>
      <c r="BV128">
        <v>2.6892488954344627</v>
      </c>
      <c r="BW128">
        <v>1.7546812539448771</v>
      </c>
      <c r="BX128">
        <v>0.93456764148958549</v>
      </c>
      <c r="BY128">
        <v>0.77824531874605507</v>
      </c>
      <c r="BZ128">
        <v>0.41237113402061848</v>
      </c>
      <c r="CA128">
        <v>13.77153558052435</v>
      </c>
      <c r="CB128">
        <v>9.0445692883895124</v>
      </c>
      <c r="CC128">
        <v>6.0821292775665396</v>
      </c>
      <c r="CD128">
        <v>3.8201520912547529</v>
      </c>
      <c r="CE128">
        <v>7.6894063029578108</v>
      </c>
      <c r="CF128">
        <v>5.224417197134759</v>
      </c>
      <c r="CG128">
        <v>12.297605473204101</v>
      </c>
      <c r="CH128">
        <v>13.310908399847969</v>
      </c>
      <c r="CI128">
        <v>1.3713126843657819</v>
      </c>
      <c r="CJ128">
        <v>1.9516961651917399</v>
      </c>
      <c r="CK128">
        <v>6.6002949852507375E-2</v>
      </c>
      <c r="CL128">
        <v>0.1297935103244838</v>
      </c>
    </row>
    <row r="129" spans="1:90" x14ac:dyDescent="0.45">
      <c r="A129" t="s">
        <v>695</v>
      </c>
      <c r="B129">
        <v>1650412800</v>
      </c>
      <c r="C129" t="s">
        <v>616</v>
      </c>
      <c r="D129" t="s">
        <v>65</v>
      </c>
      <c r="E129" t="s">
        <v>66</v>
      </c>
      <c r="F129" t="s">
        <v>72</v>
      </c>
      <c r="G129" t="s">
        <v>107</v>
      </c>
      <c r="H129" t="s">
        <v>583</v>
      </c>
      <c r="I129">
        <v>0.26</v>
      </c>
      <c r="J129">
        <v>0.25032877248943736</v>
      </c>
      <c r="K129">
        <v>0.2763507652704329</v>
      </c>
      <c r="L129">
        <v>0.47332046224012986</v>
      </c>
      <c r="M129">
        <v>15</v>
      </c>
      <c r="N129">
        <v>1.2</v>
      </c>
      <c r="O129">
        <v>1.59</v>
      </c>
      <c r="P129">
        <v>1.24</v>
      </c>
      <c r="Q129">
        <v>1.48</v>
      </c>
      <c r="R129" t="s">
        <v>1352</v>
      </c>
      <c r="S129">
        <v>2</v>
      </c>
      <c r="T129">
        <v>0</v>
      </c>
      <c r="U129">
        <v>2</v>
      </c>
      <c r="V129">
        <v>2</v>
      </c>
      <c r="W129">
        <v>2</v>
      </c>
      <c r="X129">
        <v>0</v>
      </c>
      <c r="Y129" t="s">
        <v>617</v>
      </c>
      <c r="AA129">
        <v>6</v>
      </c>
      <c r="AB129">
        <v>4</v>
      </c>
      <c r="AC129">
        <v>5</v>
      </c>
      <c r="AD129">
        <v>0</v>
      </c>
      <c r="AE129">
        <v>0</v>
      </c>
      <c r="AF129">
        <v>0</v>
      </c>
      <c r="AG129">
        <v>1</v>
      </c>
      <c r="AH129">
        <v>4</v>
      </c>
      <c r="AI129">
        <v>0</v>
      </c>
      <c r="AJ129">
        <v>0</v>
      </c>
      <c r="AK129">
        <v>8</v>
      </c>
      <c r="AL129">
        <v>16</v>
      </c>
      <c r="AM129">
        <v>6</v>
      </c>
      <c r="AN129">
        <v>3</v>
      </c>
      <c r="AO129">
        <v>2</v>
      </c>
      <c r="AP129">
        <v>13</v>
      </c>
      <c r="AQ129">
        <v>26</v>
      </c>
      <c r="AR129">
        <v>7</v>
      </c>
      <c r="AS129">
        <v>39</v>
      </c>
      <c r="AT129">
        <v>61</v>
      </c>
      <c r="AU129">
        <v>1.0900000000000001</v>
      </c>
      <c r="AV129">
        <v>1.63</v>
      </c>
      <c r="AW129">
        <v>2.65</v>
      </c>
      <c r="AX129">
        <v>46</v>
      </c>
      <c r="AY129">
        <v>74</v>
      </c>
      <c r="AZ129">
        <v>63</v>
      </c>
      <c r="BA129">
        <v>19</v>
      </c>
      <c r="BB129">
        <v>7</v>
      </c>
      <c r="BC129">
        <v>41</v>
      </c>
      <c r="BD129">
        <v>72</v>
      </c>
      <c r="BE129">
        <v>43</v>
      </c>
      <c r="BF129">
        <v>87</v>
      </c>
      <c r="BG129">
        <v>8.99</v>
      </c>
      <c r="BH129">
        <v>4.08</v>
      </c>
      <c r="BI129">
        <v>3.61</v>
      </c>
      <c r="BJ129">
        <v>3.3</v>
      </c>
      <c r="BK129">
        <v>2</v>
      </c>
      <c r="BL129">
        <v>2.667953775987016E-2</v>
      </c>
      <c r="BM129">
        <v>1.34</v>
      </c>
      <c r="BN129">
        <v>2</v>
      </c>
      <c r="BO129">
        <v>3.58</v>
      </c>
      <c r="BP129">
        <v>7</v>
      </c>
      <c r="BQ129">
        <v>1.82</v>
      </c>
      <c r="BR129">
        <v>1.89</v>
      </c>
      <c r="BS129" t="s">
        <v>76</v>
      </c>
      <c r="BT129">
        <v>1.0905313574236399</v>
      </c>
      <c r="BU129">
        <v>1.6289415604939639</v>
      </c>
      <c r="BV129">
        <v>2.569449507838133</v>
      </c>
      <c r="BW129">
        <v>1.0936930368209989</v>
      </c>
      <c r="BX129">
        <v>1.475756471017134</v>
      </c>
      <c r="BY129">
        <v>0.50018228217280347</v>
      </c>
      <c r="BZ129">
        <v>0.65220561429092239</v>
      </c>
      <c r="CA129">
        <v>10.905576679340941</v>
      </c>
      <c r="CB129">
        <v>12.06463878326996</v>
      </c>
      <c r="CC129">
        <v>4.2920127795527154</v>
      </c>
      <c r="CD129">
        <v>5.0095846645367406</v>
      </c>
      <c r="CE129">
        <v>6.6135638997882253</v>
      </c>
      <c r="CF129">
        <v>7.055054118733219</v>
      </c>
      <c r="CG129">
        <v>12.94865211810013</v>
      </c>
      <c r="CH129">
        <v>13.189345314505781</v>
      </c>
      <c r="CI129">
        <v>1.771446078431373</v>
      </c>
      <c r="CJ129">
        <v>1.809436274509804</v>
      </c>
      <c r="CK129">
        <v>0.1060049019607843</v>
      </c>
      <c r="CL129">
        <v>9.6813725490196081E-2</v>
      </c>
    </row>
    <row r="130" spans="1:90" x14ac:dyDescent="0.45">
      <c r="A130" t="s">
        <v>695</v>
      </c>
      <c r="B130">
        <v>1650420000</v>
      </c>
      <c r="C130" t="s">
        <v>618</v>
      </c>
      <c r="D130" t="s">
        <v>65</v>
      </c>
      <c r="E130" t="s">
        <v>66</v>
      </c>
      <c r="F130" t="s">
        <v>113</v>
      </c>
      <c r="G130" t="s">
        <v>73</v>
      </c>
      <c r="H130" t="s">
        <v>130</v>
      </c>
      <c r="I130">
        <v>0.3</v>
      </c>
      <c r="J130">
        <v>0.29607228195937874</v>
      </c>
      <c r="K130">
        <v>0.28599163679808842</v>
      </c>
      <c r="L130">
        <v>0.41793608124253284</v>
      </c>
      <c r="M130">
        <v>15</v>
      </c>
      <c r="N130">
        <v>1.53</v>
      </c>
      <c r="O130">
        <v>1.06</v>
      </c>
      <c r="P130">
        <v>1.71</v>
      </c>
      <c r="Q130">
        <v>1.1100000000000001</v>
      </c>
      <c r="R130" t="s">
        <v>1352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0</v>
      </c>
      <c r="Y130">
        <v>38</v>
      </c>
      <c r="AA130">
        <v>6</v>
      </c>
      <c r="AB130">
        <v>5</v>
      </c>
      <c r="AC130">
        <v>3</v>
      </c>
      <c r="AD130">
        <v>0</v>
      </c>
      <c r="AE130">
        <v>3</v>
      </c>
      <c r="AF130">
        <v>1</v>
      </c>
      <c r="AG130">
        <v>0</v>
      </c>
      <c r="AH130">
        <v>3</v>
      </c>
      <c r="AI130">
        <v>0</v>
      </c>
      <c r="AJ130">
        <v>4</v>
      </c>
      <c r="AK130">
        <v>9</v>
      </c>
      <c r="AL130">
        <v>18</v>
      </c>
      <c r="AM130">
        <v>5</v>
      </c>
      <c r="AN130">
        <v>7</v>
      </c>
      <c r="AO130">
        <v>4</v>
      </c>
      <c r="AP130">
        <v>11</v>
      </c>
      <c r="AQ130">
        <v>15</v>
      </c>
      <c r="AR130">
        <v>13</v>
      </c>
      <c r="AS130">
        <v>54</v>
      </c>
      <c r="AT130">
        <v>46</v>
      </c>
      <c r="AU130">
        <v>1.3</v>
      </c>
      <c r="AV130">
        <v>1.98</v>
      </c>
      <c r="AW130">
        <v>2.52</v>
      </c>
      <c r="AX130">
        <v>65</v>
      </c>
      <c r="AY130">
        <v>78</v>
      </c>
      <c r="AZ130">
        <v>58</v>
      </c>
      <c r="BA130">
        <v>20</v>
      </c>
      <c r="BB130">
        <v>3</v>
      </c>
      <c r="BC130">
        <v>33</v>
      </c>
      <c r="BD130">
        <v>68</v>
      </c>
      <c r="BE130">
        <v>45</v>
      </c>
      <c r="BF130">
        <v>87</v>
      </c>
      <c r="BG130">
        <v>8.9700000000000006</v>
      </c>
      <c r="BH130">
        <v>5.88</v>
      </c>
      <c r="BI130">
        <v>3.1</v>
      </c>
      <c r="BJ130">
        <v>3.2</v>
      </c>
      <c r="BK130">
        <v>2.25</v>
      </c>
      <c r="BL130">
        <v>2.650836320191156E-2</v>
      </c>
      <c r="BM130">
        <v>0</v>
      </c>
      <c r="BN130">
        <v>1.9</v>
      </c>
      <c r="BO130">
        <v>0</v>
      </c>
      <c r="BP130">
        <v>0</v>
      </c>
      <c r="BQ130">
        <v>0</v>
      </c>
      <c r="BR130">
        <v>0</v>
      </c>
      <c r="BS130" t="s">
        <v>120</v>
      </c>
      <c r="BT130">
        <v>1.2142445227270171</v>
      </c>
      <c r="BU130">
        <v>1.4993969533036628</v>
      </c>
      <c r="BV130">
        <v>2.5726407816919519</v>
      </c>
      <c r="BW130">
        <v>1.1805091283106199</v>
      </c>
      <c r="BX130">
        <v>1.3921316533813319</v>
      </c>
      <c r="BY130">
        <v>0.5209673269873939</v>
      </c>
      <c r="BZ130">
        <v>0.61847182917417032</v>
      </c>
      <c r="CA130">
        <v>11.149200710479571</v>
      </c>
      <c r="CB130">
        <v>11.444049733570161</v>
      </c>
      <c r="CC130">
        <v>4.5257270693512304</v>
      </c>
      <c r="CD130">
        <v>4.8465324384787474</v>
      </c>
      <c r="CE130">
        <v>6.6234736411283404</v>
      </c>
      <c r="CF130">
        <v>6.5975172950914134</v>
      </c>
      <c r="CG130">
        <v>12.90081154192967</v>
      </c>
      <c r="CH130">
        <v>13.00360685302074</v>
      </c>
      <c r="CI130">
        <v>1.7502145922746779</v>
      </c>
      <c r="CJ130">
        <v>1.831402831402831</v>
      </c>
      <c r="CK130">
        <v>9.6525096525096526E-2</v>
      </c>
      <c r="CL130">
        <v>0.1244101244101244</v>
      </c>
    </row>
    <row r="131" spans="1:90" x14ac:dyDescent="0.45">
      <c r="A131" t="s">
        <v>695</v>
      </c>
      <c r="B131">
        <v>1650420000</v>
      </c>
      <c r="C131" t="s">
        <v>618</v>
      </c>
      <c r="D131" t="s">
        <v>65</v>
      </c>
      <c r="E131" t="s">
        <v>66</v>
      </c>
      <c r="F131" t="s">
        <v>79</v>
      </c>
      <c r="G131" t="s">
        <v>78</v>
      </c>
      <c r="H131" t="s">
        <v>138</v>
      </c>
      <c r="I131">
        <v>0.5</v>
      </c>
      <c r="J131">
        <v>0.49959122404942841</v>
      </c>
      <c r="K131">
        <v>0.26739308163456776</v>
      </c>
      <c r="L131">
        <v>0.23301569431600397</v>
      </c>
      <c r="M131">
        <v>15</v>
      </c>
      <c r="N131">
        <v>1.31</v>
      </c>
      <c r="O131">
        <v>0.6</v>
      </c>
      <c r="P131">
        <v>1.17</v>
      </c>
      <c r="Q131">
        <v>0.71</v>
      </c>
      <c r="R131" t="s">
        <v>1351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Z131" t="s">
        <v>308</v>
      </c>
      <c r="AA131">
        <v>5</v>
      </c>
      <c r="AB131">
        <v>4</v>
      </c>
      <c r="AC131">
        <v>3</v>
      </c>
      <c r="AD131">
        <v>0</v>
      </c>
      <c r="AE131">
        <v>1</v>
      </c>
      <c r="AF131">
        <v>0</v>
      </c>
      <c r="AG131">
        <v>1</v>
      </c>
      <c r="AH131">
        <v>2</v>
      </c>
      <c r="AI131">
        <v>0</v>
      </c>
      <c r="AJ131">
        <v>1</v>
      </c>
      <c r="AK131">
        <v>16</v>
      </c>
      <c r="AL131">
        <v>11</v>
      </c>
      <c r="AM131">
        <v>4</v>
      </c>
      <c r="AN131">
        <v>3</v>
      </c>
      <c r="AO131">
        <v>12</v>
      </c>
      <c r="AP131">
        <v>8</v>
      </c>
      <c r="AQ131">
        <v>14</v>
      </c>
      <c r="AR131">
        <v>8</v>
      </c>
      <c r="AS131">
        <v>59</v>
      </c>
      <c r="AT131">
        <v>41</v>
      </c>
      <c r="AU131">
        <v>1.59</v>
      </c>
      <c r="AV131">
        <v>1.19</v>
      </c>
      <c r="AW131">
        <v>2.57</v>
      </c>
      <c r="AX131">
        <v>58</v>
      </c>
      <c r="AY131">
        <v>77</v>
      </c>
      <c r="AZ131">
        <v>54</v>
      </c>
      <c r="BA131">
        <v>26</v>
      </c>
      <c r="BB131">
        <v>3</v>
      </c>
      <c r="BC131">
        <v>42</v>
      </c>
      <c r="BD131">
        <v>58</v>
      </c>
      <c r="BE131">
        <v>49</v>
      </c>
      <c r="BF131">
        <v>84</v>
      </c>
      <c r="BG131">
        <v>7.57</v>
      </c>
      <c r="BH131">
        <v>5.47</v>
      </c>
      <c r="BI131">
        <v>1.9</v>
      </c>
      <c r="BJ131">
        <v>3.4</v>
      </c>
      <c r="BK131">
        <v>3.85</v>
      </c>
      <c r="BL131">
        <v>2.6724565424255758E-2</v>
      </c>
      <c r="BM131">
        <v>1.25</v>
      </c>
      <c r="BN131">
        <v>1.9</v>
      </c>
      <c r="BO131">
        <v>2.96</v>
      </c>
      <c r="BP131">
        <v>5.5</v>
      </c>
      <c r="BQ131">
        <v>1.72</v>
      </c>
      <c r="BR131">
        <v>2.0099999999999998</v>
      </c>
      <c r="BS131" t="s">
        <v>140</v>
      </c>
      <c r="BT131">
        <v>1.8001937313313046</v>
      </c>
      <c r="BU131">
        <v>0.9268512077832276</v>
      </c>
      <c r="BV131">
        <v>2.5202079886551649</v>
      </c>
      <c r="BW131">
        <v>1.5342708579532029</v>
      </c>
      <c r="BX131">
        <v>0.98593713070196176</v>
      </c>
      <c r="BY131">
        <v>0.67513590167809023</v>
      </c>
      <c r="BZ131">
        <v>0.4286727337194185</v>
      </c>
      <c r="CA131">
        <v>12.98669114272602</v>
      </c>
      <c r="CB131">
        <v>9.4167049105094076</v>
      </c>
      <c r="CC131">
        <v>5.6645716945996272</v>
      </c>
      <c r="CD131">
        <v>4.0242085661080074</v>
      </c>
      <c r="CE131">
        <v>7.3221194481263927</v>
      </c>
      <c r="CF131">
        <v>5.3924963444014002</v>
      </c>
      <c r="CG131">
        <v>12.508162313432839</v>
      </c>
      <c r="CH131">
        <v>13.36963619402985</v>
      </c>
      <c r="CI131">
        <v>1.4438014689517029</v>
      </c>
      <c r="CJ131">
        <v>1.9410193634542621</v>
      </c>
      <c r="CK131">
        <v>8.4130870242599604E-2</v>
      </c>
      <c r="CL131">
        <v>0.1275317160026708</v>
      </c>
    </row>
    <row r="132" spans="1:90" x14ac:dyDescent="0.45">
      <c r="A132" t="s">
        <v>695</v>
      </c>
      <c r="B132">
        <v>1650420000</v>
      </c>
      <c r="C132" t="s">
        <v>618</v>
      </c>
      <c r="D132" t="s">
        <v>65</v>
      </c>
      <c r="E132" t="s">
        <v>66</v>
      </c>
      <c r="F132" t="s">
        <v>90</v>
      </c>
      <c r="G132" t="s">
        <v>106</v>
      </c>
      <c r="H132" t="s">
        <v>133</v>
      </c>
      <c r="I132">
        <v>0.5</v>
      </c>
      <c r="J132">
        <v>0.50523381499601772</v>
      </c>
      <c r="K132">
        <v>0.27634922440929954</v>
      </c>
      <c r="L132">
        <v>0.21841696059468274</v>
      </c>
      <c r="M132">
        <v>15</v>
      </c>
      <c r="N132">
        <v>1.27</v>
      </c>
      <c r="O132">
        <v>0.6</v>
      </c>
      <c r="P132">
        <v>1.47</v>
      </c>
      <c r="Q132">
        <v>0.53</v>
      </c>
      <c r="R132" t="s">
        <v>1352</v>
      </c>
      <c r="S132">
        <v>2</v>
      </c>
      <c r="T132">
        <v>1</v>
      </c>
      <c r="U132">
        <v>3</v>
      </c>
      <c r="V132">
        <v>2</v>
      </c>
      <c r="W132">
        <v>1</v>
      </c>
      <c r="X132">
        <v>1</v>
      </c>
      <c r="Y132" t="s">
        <v>619</v>
      </c>
      <c r="Z132">
        <v>12</v>
      </c>
      <c r="AA132">
        <v>5</v>
      </c>
      <c r="AB132">
        <v>4</v>
      </c>
      <c r="AC132">
        <v>2</v>
      </c>
      <c r="AD132">
        <v>0</v>
      </c>
      <c r="AE132">
        <v>5</v>
      </c>
      <c r="AF132">
        <v>0</v>
      </c>
      <c r="AG132">
        <v>2</v>
      </c>
      <c r="AH132">
        <v>0</v>
      </c>
      <c r="AI132">
        <v>2</v>
      </c>
      <c r="AJ132">
        <v>3</v>
      </c>
      <c r="AK132">
        <v>14</v>
      </c>
      <c r="AL132">
        <v>17</v>
      </c>
      <c r="AM132">
        <v>6</v>
      </c>
      <c r="AN132">
        <v>2</v>
      </c>
      <c r="AO132">
        <v>8</v>
      </c>
      <c r="AP132">
        <v>15</v>
      </c>
      <c r="AQ132">
        <v>10</v>
      </c>
      <c r="AR132">
        <v>17</v>
      </c>
      <c r="AS132">
        <v>44</v>
      </c>
      <c r="AT132">
        <v>56</v>
      </c>
      <c r="AU132">
        <v>1.64</v>
      </c>
      <c r="AV132">
        <v>1.47</v>
      </c>
      <c r="AW132">
        <v>2.6</v>
      </c>
      <c r="AX132">
        <v>50</v>
      </c>
      <c r="AY132">
        <v>83</v>
      </c>
      <c r="AZ132">
        <v>50</v>
      </c>
      <c r="BA132">
        <v>27</v>
      </c>
      <c r="BB132">
        <v>7</v>
      </c>
      <c r="BC132">
        <v>30</v>
      </c>
      <c r="BD132">
        <v>77</v>
      </c>
      <c r="BE132">
        <v>47</v>
      </c>
      <c r="BF132">
        <v>80</v>
      </c>
      <c r="BG132">
        <v>8.33</v>
      </c>
      <c r="BH132">
        <v>5.13</v>
      </c>
      <c r="BI132">
        <v>1.88</v>
      </c>
      <c r="BJ132">
        <v>3.3</v>
      </c>
      <c r="BK132">
        <v>4.08</v>
      </c>
      <c r="BL132">
        <v>2.6681078621003513E-2</v>
      </c>
      <c r="BM132">
        <v>1.34</v>
      </c>
      <c r="BN132">
        <v>2.11</v>
      </c>
      <c r="BO132">
        <v>3.57</v>
      </c>
      <c r="BP132">
        <v>6.95</v>
      </c>
      <c r="BQ132">
        <v>1.8</v>
      </c>
      <c r="BR132">
        <v>1.9</v>
      </c>
      <c r="BS132" t="s">
        <v>94</v>
      </c>
      <c r="BT132">
        <v>1.8001937313313046</v>
      </c>
      <c r="BU132">
        <v>0.9268512077832276</v>
      </c>
      <c r="BV132">
        <v>2.5202079886551649</v>
      </c>
      <c r="BW132">
        <v>1.5342708579532029</v>
      </c>
      <c r="BX132">
        <v>0.98593713070196176</v>
      </c>
      <c r="BY132">
        <v>0.67513590167809023</v>
      </c>
      <c r="BZ132">
        <v>0.4286727337194185</v>
      </c>
      <c r="CA132">
        <v>12.98669114272602</v>
      </c>
      <c r="CB132">
        <v>9.4167049105094076</v>
      </c>
      <c r="CC132">
        <v>5.6645716945996272</v>
      </c>
      <c r="CD132">
        <v>4.0242085661080074</v>
      </c>
      <c r="CE132">
        <v>7.3221194481263927</v>
      </c>
      <c r="CF132">
        <v>5.3924963444014002</v>
      </c>
      <c r="CG132">
        <v>12.508162313432839</v>
      </c>
      <c r="CH132">
        <v>13.36963619402985</v>
      </c>
      <c r="CI132">
        <v>1.4438014689517029</v>
      </c>
      <c r="CJ132">
        <v>1.9410193634542621</v>
      </c>
      <c r="CK132">
        <v>8.4130870242599604E-2</v>
      </c>
      <c r="CL132">
        <v>0.1275317160026708</v>
      </c>
    </row>
    <row r="133" spans="1:90" x14ac:dyDescent="0.45">
      <c r="A133" t="s">
        <v>695</v>
      </c>
      <c r="B133">
        <v>1650499200</v>
      </c>
      <c r="C133" t="s">
        <v>620</v>
      </c>
      <c r="D133" t="s">
        <v>65</v>
      </c>
      <c r="E133" t="s">
        <v>66</v>
      </c>
      <c r="F133" t="s">
        <v>91</v>
      </c>
      <c r="G133" t="s">
        <v>96</v>
      </c>
      <c r="H133" t="s">
        <v>69</v>
      </c>
      <c r="I133">
        <v>0.46</v>
      </c>
      <c r="J133">
        <v>0.45759795759795757</v>
      </c>
      <c r="K133">
        <v>0.26254301254301254</v>
      </c>
      <c r="L133">
        <v>0.27985902985902988</v>
      </c>
      <c r="M133">
        <v>15</v>
      </c>
      <c r="N133">
        <v>1.07</v>
      </c>
      <c r="O133">
        <v>1.28</v>
      </c>
      <c r="P133">
        <v>1.1100000000000001</v>
      </c>
      <c r="Q133">
        <v>1.1000000000000001</v>
      </c>
      <c r="R133" t="s">
        <v>1352</v>
      </c>
      <c r="S133">
        <v>2</v>
      </c>
      <c r="T133">
        <v>0</v>
      </c>
      <c r="U133">
        <v>2</v>
      </c>
      <c r="V133">
        <v>1</v>
      </c>
      <c r="W133">
        <v>1</v>
      </c>
      <c r="X133">
        <v>0</v>
      </c>
      <c r="Y133" t="s">
        <v>621</v>
      </c>
      <c r="AA133">
        <v>2</v>
      </c>
      <c r="AB133">
        <v>7</v>
      </c>
      <c r="AC133">
        <v>3</v>
      </c>
      <c r="AD133">
        <v>0</v>
      </c>
      <c r="AE133">
        <v>2</v>
      </c>
      <c r="AF133">
        <v>0</v>
      </c>
      <c r="AG133">
        <v>2</v>
      </c>
      <c r="AH133">
        <v>1</v>
      </c>
      <c r="AI133">
        <v>2</v>
      </c>
      <c r="AJ133">
        <v>0</v>
      </c>
      <c r="AK133">
        <v>12</v>
      </c>
      <c r="AL133">
        <v>14</v>
      </c>
      <c r="AM133">
        <v>5</v>
      </c>
      <c r="AN133">
        <v>3</v>
      </c>
      <c r="AO133">
        <v>7</v>
      </c>
      <c r="AP133">
        <v>11</v>
      </c>
      <c r="AQ133">
        <v>16</v>
      </c>
      <c r="AR133">
        <v>9</v>
      </c>
      <c r="AS133">
        <v>44</v>
      </c>
      <c r="AT133">
        <v>56</v>
      </c>
      <c r="AU133">
        <v>1.34</v>
      </c>
      <c r="AV133">
        <v>1.36</v>
      </c>
      <c r="AW133">
        <v>2.4900000000000002</v>
      </c>
      <c r="AX133">
        <v>48</v>
      </c>
      <c r="AY133">
        <v>70</v>
      </c>
      <c r="AZ133">
        <v>45</v>
      </c>
      <c r="BA133">
        <v>24</v>
      </c>
      <c r="BB133">
        <v>10</v>
      </c>
      <c r="BC133">
        <v>27</v>
      </c>
      <c r="BD133">
        <v>70</v>
      </c>
      <c r="BE133">
        <v>31</v>
      </c>
      <c r="BF133">
        <v>88</v>
      </c>
      <c r="BG133">
        <v>8.56</v>
      </c>
      <c r="BH133">
        <v>5.34</v>
      </c>
      <c r="BI133">
        <v>2.08</v>
      </c>
      <c r="BJ133">
        <v>3.5</v>
      </c>
      <c r="BK133">
        <v>3.3</v>
      </c>
      <c r="BL133">
        <v>2.3171273171273137E-2</v>
      </c>
      <c r="BM133">
        <v>1.29</v>
      </c>
      <c r="BN133">
        <v>1.81</v>
      </c>
      <c r="BO133">
        <v>3</v>
      </c>
      <c r="BP133">
        <v>5.5</v>
      </c>
      <c r="BQ133">
        <v>1.7</v>
      </c>
      <c r="BR133">
        <v>2.0499999999999998</v>
      </c>
      <c r="BS133" t="s">
        <v>144</v>
      </c>
      <c r="BT133">
        <v>1.6955772349985931</v>
      </c>
      <c r="BU133">
        <v>1.0239029519551039</v>
      </c>
      <c r="BV133">
        <v>2.5405629139072849</v>
      </c>
      <c r="BW133">
        <v>1.4888836329233679</v>
      </c>
      <c r="BX133">
        <v>1.0516792809839171</v>
      </c>
      <c r="BY133">
        <v>0.64581362346263005</v>
      </c>
      <c r="BZ133">
        <v>0.45364238410596031</v>
      </c>
      <c r="CA133">
        <v>12.686892177589851</v>
      </c>
      <c r="CB133">
        <v>9.8059196617336148</v>
      </c>
      <c r="CC133">
        <v>5.3198121263877027</v>
      </c>
      <c r="CD133">
        <v>4.0954312553373189</v>
      </c>
      <c r="CE133">
        <v>7.3670800512021479</v>
      </c>
      <c r="CF133">
        <v>5.710488406396296</v>
      </c>
      <c r="CG133">
        <v>13.0488908033599</v>
      </c>
      <c r="CH133">
        <v>13.714839543398661</v>
      </c>
      <c r="CI133">
        <v>1.567523459812322</v>
      </c>
      <c r="CJ133">
        <v>1.951040391676867</v>
      </c>
      <c r="CK133">
        <v>8.3027335781313744E-2</v>
      </c>
      <c r="CL133">
        <v>0.13117095063239501</v>
      </c>
    </row>
    <row r="134" spans="1:90" x14ac:dyDescent="0.45">
      <c r="A134" t="s">
        <v>695</v>
      </c>
      <c r="B134">
        <v>1650506400</v>
      </c>
      <c r="C134" t="s">
        <v>622</v>
      </c>
      <c r="D134" t="s">
        <v>65</v>
      </c>
      <c r="E134" t="s">
        <v>66</v>
      </c>
      <c r="F134" t="s">
        <v>68</v>
      </c>
      <c r="G134" t="s">
        <v>85</v>
      </c>
      <c r="H134" t="s">
        <v>114</v>
      </c>
      <c r="I134">
        <v>0.46</v>
      </c>
      <c r="J134">
        <v>0.46964547813750079</v>
      </c>
      <c r="K134">
        <v>0.27554210338564422</v>
      </c>
      <c r="L134">
        <v>0.25481241847685487</v>
      </c>
      <c r="M134">
        <v>15</v>
      </c>
      <c r="N134">
        <v>1.88</v>
      </c>
      <c r="O134">
        <v>1.5</v>
      </c>
      <c r="P134">
        <v>1.9</v>
      </c>
      <c r="Q134">
        <v>1.4</v>
      </c>
      <c r="R134" t="s">
        <v>1352</v>
      </c>
      <c r="S134">
        <v>2</v>
      </c>
      <c r="T134">
        <v>0</v>
      </c>
      <c r="U134">
        <v>2</v>
      </c>
      <c r="V134">
        <v>1</v>
      </c>
      <c r="W134">
        <v>1</v>
      </c>
      <c r="X134">
        <v>0</v>
      </c>
      <c r="Y134" t="s">
        <v>623</v>
      </c>
      <c r="AA134">
        <v>8</v>
      </c>
      <c r="AB134">
        <v>1</v>
      </c>
      <c r="AC134">
        <v>3</v>
      </c>
      <c r="AD134">
        <v>0</v>
      </c>
      <c r="AE134">
        <v>3</v>
      </c>
      <c r="AF134">
        <v>3</v>
      </c>
      <c r="AG134">
        <v>2</v>
      </c>
      <c r="AH134">
        <v>1</v>
      </c>
      <c r="AI134">
        <v>4</v>
      </c>
      <c r="AJ134">
        <v>2</v>
      </c>
      <c r="AK134">
        <v>20</v>
      </c>
      <c r="AL134">
        <v>8</v>
      </c>
      <c r="AM134">
        <v>8</v>
      </c>
      <c r="AN134">
        <v>3</v>
      </c>
      <c r="AO134">
        <v>12</v>
      </c>
      <c r="AP134">
        <v>5</v>
      </c>
      <c r="AQ134">
        <v>12</v>
      </c>
      <c r="AR134">
        <v>13</v>
      </c>
      <c r="AS134">
        <v>62</v>
      </c>
      <c r="AT134">
        <v>38</v>
      </c>
      <c r="AU134">
        <v>2.39</v>
      </c>
      <c r="AV134">
        <v>0.83</v>
      </c>
      <c r="AW134">
        <v>2.19</v>
      </c>
      <c r="AX134">
        <v>36</v>
      </c>
      <c r="AY134">
        <v>69</v>
      </c>
      <c r="AZ134">
        <v>42</v>
      </c>
      <c r="BA134">
        <v>15</v>
      </c>
      <c r="BB134">
        <v>3</v>
      </c>
      <c r="BC134">
        <v>24</v>
      </c>
      <c r="BD134">
        <v>65</v>
      </c>
      <c r="BE134">
        <v>28</v>
      </c>
      <c r="BF134">
        <v>74</v>
      </c>
      <c r="BG134">
        <v>9.5299999999999994</v>
      </c>
      <c r="BH134">
        <v>4.47</v>
      </c>
      <c r="BI134">
        <v>2.0299999999999998</v>
      </c>
      <c r="BJ134">
        <v>3.35</v>
      </c>
      <c r="BK134">
        <v>3.6</v>
      </c>
      <c r="BL134">
        <v>2.2965359300922916E-2</v>
      </c>
      <c r="BM134">
        <v>1.36</v>
      </c>
      <c r="BN134">
        <v>1.94</v>
      </c>
      <c r="BO134">
        <v>3.5</v>
      </c>
      <c r="BP134">
        <v>6.5</v>
      </c>
      <c r="BQ134">
        <v>1.85</v>
      </c>
      <c r="BR134">
        <v>1.85</v>
      </c>
      <c r="BS134" t="s">
        <v>116</v>
      </c>
      <c r="BT134">
        <v>1.6955772349985931</v>
      </c>
      <c r="BU134">
        <v>1.0239029519551039</v>
      </c>
      <c r="BV134">
        <v>2.5405629139072849</v>
      </c>
      <c r="BW134">
        <v>1.4888836329233679</v>
      </c>
      <c r="BX134">
        <v>1.0516792809839171</v>
      </c>
      <c r="BY134">
        <v>0.64581362346263005</v>
      </c>
      <c r="BZ134">
        <v>0.45364238410596031</v>
      </c>
      <c r="CA134">
        <v>12.686892177589851</v>
      </c>
      <c r="CB134">
        <v>9.8059196617336148</v>
      </c>
      <c r="CC134">
        <v>5.3198121263877027</v>
      </c>
      <c r="CD134">
        <v>4.0954312553373189</v>
      </c>
      <c r="CE134">
        <v>7.3670800512021479</v>
      </c>
      <c r="CF134">
        <v>5.710488406396296</v>
      </c>
      <c r="CG134">
        <v>13.0488908033599</v>
      </c>
      <c r="CH134">
        <v>13.714839543398661</v>
      </c>
      <c r="CI134">
        <v>1.567523459812322</v>
      </c>
      <c r="CJ134">
        <v>1.951040391676867</v>
      </c>
      <c r="CK134">
        <v>8.3027335781313744E-2</v>
      </c>
      <c r="CL134">
        <v>0.13117095063239501</v>
      </c>
    </row>
    <row r="135" spans="1:90" x14ac:dyDescent="0.45">
      <c r="A135" t="s">
        <v>695</v>
      </c>
      <c r="B135">
        <v>1650506760</v>
      </c>
      <c r="C135" t="s">
        <v>624</v>
      </c>
      <c r="D135" t="s">
        <v>65</v>
      </c>
      <c r="E135" t="s">
        <v>66</v>
      </c>
      <c r="F135" t="s">
        <v>101</v>
      </c>
      <c r="G135" t="s">
        <v>97</v>
      </c>
      <c r="H135" t="s">
        <v>158</v>
      </c>
      <c r="I135">
        <v>0.48</v>
      </c>
      <c r="J135">
        <v>0.48209111163250534</v>
      </c>
      <c r="K135">
        <v>0.26689567904576839</v>
      </c>
      <c r="L135">
        <v>0.25101320932172627</v>
      </c>
      <c r="M135">
        <v>15</v>
      </c>
      <c r="N135">
        <v>1.81</v>
      </c>
      <c r="O135">
        <v>1.67</v>
      </c>
      <c r="P135">
        <v>1.79</v>
      </c>
      <c r="Q135">
        <v>1.68</v>
      </c>
      <c r="R135" t="s">
        <v>1348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AA135">
        <v>3</v>
      </c>
      <c r="AB135">
        <v>3</v>
      </c>
      <c r="AC135">
        <v>0</v>
      </c>
      <c r="AD135">
        <v>1</v>
      </c>
      <c r="AE135">
        <v>3</v>
      </c>
      <c r="AF135">
        <v>0</v>
      </c>
      <c r="AG135">
        <v>0</v>
      </c>
      <c r="AH135">
        <v>1</v>
      </c>
      <c r="AI135">
        <v>1</v>
      </c>
      <c r="AJ135">
        <v>2</v>
      </c>
      <c r="AK135">
        <v>13</v>
      </c>
      <c r="AL135">
        <v>10</v>
      </c>
      <c r="AM135">
        <v>2</v>
      </c>
      <c r="AN135">
        <v>3</v>
      </c>
      <c r="AO135">
        <v>11</v>
      </c>
      <c r="AP135">
        <v>7</v>
      </c>
      <c r="AQ135">
        <v>9</v>
      </c>
      <c r="AR135">
        <v>13</v>
      </c>
      <c r="AS135">
        <v>46</v>
      </c>
      <c r="AT135">
        <v>54</v>
      </c>
      <c r="AU135">
        <v>1.26</v>
      </c>
      <c r="AV135">
        <v>1.2</v>
      </c>
      <c r="AW135">
        <v>1.97</v>
      </c>
      <c r="AX135">
        <v>35</v>
      </c>
      <c r="AY135">
        <v>60</v>
      </c>
      <c r="AZ135">
        <v>27</v>
      </c>
      <c r="BA135">
        <v>12</v>
      </c>
      <c r="BB135">
        <v>6</v>
      </c>
      <c r="BC135">
        <v>18</v>
      </c>
      <c r="BD135">
        <v>67</v>
      </c>
      <c r="BE135">
        <v>27</v>
      </c>
      <c r="BF135">
        <v>63</v>
      </c>
      <c r="BG135">
        <v>10.67</v>
      </c>
      <c r="BH135">
        <v>4.8600000000000003</v>
      </c>
      <c r="BI135">
        <v>1.98</v>
      </c>
      <c r="BJ135">
        <v>3.45</v>
      </c>
      <c r="BK135">
        <v>3.65</v>
      </c>
      <c r="BL135">
        <v>2.2959393417999758E-2</v>
      </c>
      <c r="BM135">
        <v>1.36</v>
      </c>
      <c r="BN135">
        <v>2.25</v>
      </c>
      <c r="BO135">
        <v>3.5</v>
      </c>
      <c r="BP135">
        <v>7</v>
      </c>
      <c r="BQ135">
        <v>1.85</v>
      </c>
      <c r="BR135">
        <v>1.85</v>
      </c>
      <c r="BS135" t="s">
        <v>104</v>
      </c>
      <c r="BT135">
        <v>1.743992017160418</v>
      </c>
      <c r="BU135">
        <v>0.97803937284245479</v>
      </c>
      <c r="BV135">
        <v>2.5271929824561399</v>
      </c>
      <c r="BW135">
        <v>1.510877192982456</v>
      </c>
      <c r="BX135">
        <v>1.0163157894736841</v>
      </c>
      <c r="BY135">
        <v>0.67350877192982461</v>
      </c>
      <c r="BZ135">
        <v>0.4442105263157895</v>
      </c>
      <c r="CA135">
        <v>12.80980392156863</v>
      </c>
      <c r="CB135">
        <v>9.6872549019607845</v>
      </c>
      <c r="CC135">
        <v>5.6491169610129957</v>
      </c>
      <c r="CD135">
        <v>4.1379540153282237</v>
      </c>
      <c r="CE135">
        <v>7.1606869605556343</v>
      </c>
      <c r="CF135">
        <v>5.5493008866325608</v>
      </c>
      <c r="CG135">
        <v>12.9029029029029</v>
      </c>
      <c r="CH135">
        <v>13.75508842175509</v>
      </c>
      <c r="CI135">
        <v>1.5287356321839081</v>
      </c>
      <c r="CJ135">
        <v>1.9664750957854411</v>
      </c>
      <c r="CK135">
        <v>8.8441890166028103E-2</v>
      </c>
      <c r="CL135">
        <v>0.13409961685823751</v>
      </c>
    </row>
    <row r="136" spans="1:90" x14ac:dyDescent="0.45">
      <c r="A136" t="s">
        <v>695</v>
      </c>
      <c r="B136">
        <v>1650592800</v>
      </c>
      <c r="C136" t="s">
        <v>625</v>
      </c>
      <c r="D136" t="s">
        <v>65</v>
      </c>
      <c r="E136" t="s">
        <v>66</v>
      </c>
      <c r="F136" t="s">
        <v>67</v>
      </c>
      <c r="G136" t="s">
        <v>112</v>
      </c>
      <c r="H136" t="s">
        <v>122</v>
      </c>
      <c r="I136">
        <v>0.36</v>
      </c>
      <c r="J136">
        <v>0.35926525581697993</v>
      </c>
      <c r="K136">
        <v>0.29395700085355259</v>
      </c>
      <c r="L136">
        <v>0.34677774332946742</v>
      </c>
      <c r="M136">
        <v>15</v>
      </c>
      <c r="N136">
        <v>1.2</v>
      </c>
      <c r="O136">
        <v>1.33</v>
      </c>
      <c r="P136">
        <v>1.24</v>
      </c>
      <c r="Q136">
        <v>1.5</v>
      </c>
      <c r="R136" t="s">
        <v>1351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Z136">
        <v>74</v>
      </c>
      <c r="AA136">
        <v>4</v>
      </c>
      <c r="AB136">
        <v>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19</v>
      </c>
      <c r="AL136">
        <v>12</v>
      </c>
      <c r="AM136">
        <v>4</v>
      </c>
      <c r="AN136">
        <v>5</v>
      </c>
      <c r="AO136">
        <v>15</v>
      </c>
      <c r="AP136">
        <v>7</v>
      </c>
      <c r="AQ136">
        <v>7</v>
      </c>
      <c r="AR136">
        <v>11</v>
      </c>
      <c r="AS136">
        <v>59</v>
      </c>
      <c r="AT136">
        <v>41</v>
      </c>
      <c r="AU136">
        <v>1.95</v>
      </c>
      <c r="AV136">
        <v>1.33</v>
      </c>
      <c r="AW136">
        <v>2.2400000000000002</v>
      </c>
      <c r="AX136">
        <v>50</v>
      </c>
      <c r="AY136">
        <v>64</v>
      </c>
      <c r="AZ136">
        <v>34</v>
      </c>
      <c r="BA136">
        <v>20</v>
      </c>
      <c r="BB136">
        <v>10</v>
      </c>
      <c r="BC136">
        <v>34</v>
      </c>
      <c r="BD136">
        <v>74</v>
      </c>
      <c r="BE136">
        <v>24</v>
      </c>
      <c r="BF136">
        <v>60</v>
      </c>
      <c r="BG136">
        <v>7.73</v>
      </c>
      <c r="BH136">
        <v>6</v>
      </c>
      <c r="BI136">
        <v>2.64</v>
      </c>
      <c r="BJ136">
        <v>3.19</v>
      </c>
      <c r="BK136">
        <v>2.73</v>
      </c>
      <c r="BL136">
        <v>1.9522622970898833E-2</v>
      </c>
      <c r="BM136">
        <v>1.44</v>
      </c>
      <c r="BN136">
        <v>2.08</v>
      </c>
      <c r="BO136">
        <v>4</v>
      </c>
      <c r="BP136">
        <v>8</v>
      </c>
      <c r="BQ136">
        <v>1.95</v>
      </c>
      <c r="BR136">
        <v>1.8</v>
      </c>
      <c r="BS136" t="s">
        <v>70</v>
      </c>
      <c r="BT136">
        <v>1.4023864615972674</v>
      </c>
      <c r="BU136">
        <v>1.3093265904245279</v>
      </c>
      <c r="BV136">
        <v>2.5110350525197691</v>
      </c>
      <c r="BW136">
        <v>1.269326094653606</v>
      </c>
      <c r="BX136">
        <v>1.2417089578661631</v>
      </c>
      <c r="BY136">
        <v>0.56586402266288949</v>
      </c>
      <c r="BZ136">
        <v>0.55158168083097259</v>
      </c>
      <c r="CA136">
        <v>11.49400826446281</v>
      </c>
      <c r="CB136">
        <v>10.507231404958681</v>
      </c>
      <c r="CC136">
        <v>4.9238790406673623</v>
      </c>
      <c r="CD136">
        <v>4.6296141814389991</v>
      </c>
      <c r="CE136">
        <v>6.5701292237954476</v>
      </c>
      <c r="CF136">
        <v>5.8776172235196817</v>
      </c>
      <c r="CG136">
        <v>12.798739495798319</v>
      </c>
      <c r="CH136">
        <v>12.98844537815126</v>
      </c>
      <c r="CI136">
        <v>1.604928297313674</v>
      </c>
      <c r="CJ136">
        <v>1.791961219955565</v>
      </c>
      <c r="CK136">
        <v>8.887093516461321E-2</v>
      </c>
      <c r="CL136">
        <v>0.11694607150070691</v>
      </c>
    </row>
    <row r="137" spans="1:90" x14ac:dyDescent="0.45">
      <c r="A137" t="s">
        <v>695</v>
      </c>
      <c r="B137">
        <v>1650672000</v>
      </c>
      <c r="C137" t="s">
        <v>626</v>
      </c>
      <c r="D137" t="s">
        <v>65</v>
      </c>
      <c r="E137" t="s">
        <v>66</v>
      </c>
      <c r="F137" t="s">
        <v>102</v>
      </c>
      <c r="G137" t="s">
        <v>72</v>
      </c>
      <c r="H137" t="s">
        <v>66</v>
      </c>
      <c r="I137">
        <v>0.5</v>
      </c>
      <c r="J137">
        <v>0.50597465662028063</v>
      </c>
      <c r="K137">
        <v>0.27890760602381842</v>
      </c>
      <c r="L137">
        <v>0.21511773735590095</v>
      </c>
      <c r="M137">
        <v>16</v>
      </c>
      <c r="N137">
        <v>1.5</v>
      </c>
      <c r="O137">
        <v>1.19</v>
      </c>
      <c r="P137">
        <v>1.38</v>
      </c>
      <c r="Q137">
        <v>1.28</v>
      </c>
      <c r="R137" t="s">
        <v>1351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Z137">
        <v>54</v>
      </c>
      <c r="AA137">
        <v>6</v>
      </c>
      <c r="AB137">
        <v>1</v>
      </c>
      <c r="AC137">
        <v>4</v>
      </c>
      <c r="AD137">
        <v>0</v>
      </c>
      <c r="AE137">
        <v>4</v>
      </c>
      <c r="AF137">
        <v>0</v>
      </c>
      <c r="AG137">
        <v>1</v>
      </c>
      <c r="AH137">
        <v>3</v>
      </c>
      <c r="AI137">
        <v>0</v>
      </c>
      <c r="AJ137">
        <v>4</v>
      </c>
      <c r="AK137">
        <v>20</v>
      </c>
      <c r="AL137">
        <v>11</v>
      </c>
      <c r="AM137">
        <v>0</v>
      </c>
      <c r="AN137">
        <v>2</v>
      </c>
      <c r="AO137">
        <v>20</v>
      </c>
      <c r="AP137">
        <v>9</v>
      </c>
      <c r="AQ137">
        <v>10</v>
      </c>
      <c r="AR137">
        <v>13</v>
      </c>
      <c r="AS137">
        <v>61</v>
      </c>
      <c r="AT137">
        <v>39</v>
      </c>
      <c r="AU137">
        <v>1.62</v>
      </c>
      <c r="AV137">
        <v>1</v>
      </c>
      <c r="AW137">
        <v>2.41</v>
      </c>
      <c r="AX137">
        <v>62</v>
      </c>
      <c r="AY137">
        <v>77</v>
      </c>
      <c r="AZ137">
        <v>48</v>
      </c>
      <c r="BA137">
        <v>21</v>
      </c>
      <c r="BB137">
        <v>3</v>
      </c>
      <c r="BC137">
        <v>26</v>
      </c>
      <c r="BD137">
        <v>63</v>
      </c>
      <c r="BE137">
        <v>54</v>
      </c>
      <c r="BF137">
        <v>82</v>
      </c>
      <c r="BG137">
        <v>9.8699999999999992</v>
      </c>
      <c r="BH137">
        <v>5.6</v>
      </c>
      <c r="BI137">
        <v>1.87</v>
      </c>
      <c r="BJ137">
        <v>3.25</v>
      </c>
      <c r="BK137">
        <v>4.0999999999999996</v>
      </c>
      <c r="BL137">
        <v>2.8784701668489305E-2</v>
      </c>
      <c r="BM137">
        <v>1.33</v>
      </c>
      <c r="BN137">
        <v>1.93</v>
      </c>
      <c r="BO137">
        <v>3.4</v>
      </c>
      <c r="BP137">
        <v>6</v>
      </c>
      <c r="BQ137">
        <v>1.81</v>
      </c>
      <c r="BR137">
        <v>1.95</v>
      </c>
      <c r="BS137" t="s">
        <v>124</v>
      </c>
      <c r="BT137">
        <v>1.8001937313313046</v>
      </c>
      <c r="BU137">
        <v>0.9268512077832276</v>
      </c>
      <c r="BV137">
        <v>2.5202079886551649</v>
      </c>
      <c r="BW137">
        <v>1.5342708579532029</v>
      </c>
      <c r="BX137">
        <v>0.98593713070196176</v>
      </c>
      <c r="BY137">
        <v>0.67513590167809023</v>
      </c>
      <c r="BZ137">
        <v>0.4286727337194185</v>
      </c>
      <c r="CA137">
        <v>12.98669114272602</v>
      </c>
      <c r="CB137">
        <v>9.4167049105094076</v>
      </c>
      <c r="CC137">
        <v>5.6645716945996272</v>
      </c>
      <c r="CD137">
        <v>4.0242085661080074</v>
      </c>
      <c r="CE137">
        <v>7.3221194481263927</v>
      </c>
      <c r="CF137">
        <v>5.3924963444014002</v>
      </c>
      <c r="CG137">
        <v>12.508162313432839</v>
      </c>
      <c r="CH137">
        <v>13.36963619402985</v>
      </c>
      <c r="CI137">
        <v>1.4438014689517029</v>
      </c>
      <c r="CJ137">
        <v>1.9410193634542621</v>
      </c>
      <c r="CK137">
        <v>8.4130870242599604E-2</v>
      </c>
      <c r="CL137">
        <v>0.1275317160026708</v>
      </c>
    </row>
    <row r="138" spans="1:90" x14ac:dyDescent="0.45">
      <c r="A138" t="s">
        <v>695</v>
      </c>
      <c r="B138">
        <v>1650679200</v>
      </c>
      <c r="C138" t="s">
        <v>627</v>
      </c>
      <c r="D138" t="s">
        <v>65</v>
      </c>
      <c r="E138" t="s">
        <v>66</v>
      </c>
      <c r="F138" t="s">
        <v>78</v>
      </c>
      <c r="G138" t="s">
        <v>113</v>
      </c>
      <c r="H138" t="s">
        <v>103</v>
      </c>
      <c r="I138">
        <v>0.4</v>
      </c>
      <c r="J138">
        <v>0.40238481186757052</v>
      </c>
      <c r="K138">
        <v>0.31857255133117202</v>
      </c>
      <c r="L138">
        <v>0.27904263680125752</v>
      </c>
      <c r="M138">
        <v>16</v>
      </c>
      <c r="N138">
        <v>0.94</v>
      </c>
      <c r="O138">
        <v>0.56000000000000005</v>
      </c>
      <c r="P138">
        <v>0.88</v>
      </c>
      <c r="Q138">
        <v>0.72</v>
      </c>
      <c r="R138" t="s">
        <v>1351</v>
      </c>
      <c r="S138">
        <v>0</v>
      </c>
      <c r="T138">
        <v>2</v>
      </c>
      <c r="U138">
        <v>2</v>
      </c>
      <c r="V138">
        <v>1</v>
      </c>
      <c r="W138">
        <v>0</v>
      </c>
      <c r="X138">
        <v>1</v>
      </c>
      <c r="Z138" t="s">
        <v>628</v>
      </c>
      <c r="AA138">
        <v>3</v>
      </c>
      <c r="AB138">
        <v>1</v>
      </c>
      <c r="AC138">
        <v>1</v>
      </c>
      <c r="AD138">
        <v>0</v>
      </c>
      <c r="AE138">
        <v>3</v>
      </c>
      <c r="AF138">
        <v>0</v>
      </c>
      <c r="AG138">
        <v>1</v>
      </c>
      <c r="AH138">
        <v>0</v>
      </c>
      <c r="AI138">
        <v>1</v>
      </c>
      <c r="AJ138">
        <v>2</v>
      </c>
      <c r="AK138">
        <v>4</v>
      </c>
      <c r="AL138">
        <v>3</v>
      </c>
      <c r="AM138">
        <v>0</v>
      </c>
      <c r="AN138">
        <v>2</v>
      </c>
      <c r="AO138">
        <v>4</v>
      </c>
      <c r="AP138">
        <v>1</v>
      </c>
      <c r="AQ138">
        <v>10</v>
      </c>
      <c r="AR138">
        <v>11</v>
      </c>
      <c r="AS138">
        <v>61</v>
      </c>
      <c r="AT138">
        <v>39</v>
      </c>
      <c r="AU138">
        <v>0.5</v>
      </c>
      <c r="AV138">
        <v>0.54</v>
      </c>
      <c r="AW138">
        <v>2.54</v>
      </c>
      <c r="AX138">
        <v>54</v>
      </c>
      <c r="AY138">
        <v>75</v>
      </c>
      <c r="AZ138">
        <v>53</v>
      </c>
      <c r="BA138">
        <v>22</v>
      </c>
      <c r="BB138">
        <v>6</v>
      </c>
      <c r="BC138">
        <v>44</v>
      </c>
      <c r="BD138">
        <v>69</v>
      </c>
      <c r="BE138">
        <v>38</v>
      </c>
      <c r="BF138">
        <v>72</v>
      </c>
      <c r="BG138">
        <v>5.76</v>
      </c>
      <c r="BH138">
        <v>5.13</v>
      </c>
      <c r="BI138">
        <v>2.3199999999999998</v>
      </c>
      <c r="BJ138">
        <v>2.88</v>
      </c>
      <c r="BK138">
        <v>3.25</v>
      </c>
      <c r="BL138">
        <v>2.8649670891050194E-2</v>
      </c>
      <c r="BM138">
        <v>0</v>
      </c>
      <c r="BN138">
        <v>2.5499999999999998</v>
      </c>
      <c r="BO138">
        <v>0</v>
      </c>
      <c r="BP138">
        <v>0</v>
      </c>
      <c r="BQ138">
        <v>0</v>
      </c>
      <c r="BR138">
        <v>0</v>
      </c>
      <c r="BS138" t="s">
        <v>82</v>
      </c>
      <c r="BT138">
        <v>1.5181603563290151</v>
      </c>
      <c r="BU138">
        <v>1.1952730370775513</v>
      </c>
      <c r="BV138">
        <v>2.4956155335383219</v>
      </c>
      <c r="BW138">
        <v>1.344038264434575</v>
      </c>
      <c r="BX138">
        <v>1.1515772691037469</v>
      </c>
      <c r="BY138">
        <v>0.59936225942375587</v>
      </c>
      <c r="BZ138">
        <v>0.50723152260562576</v>
      </c>
      <c r="CA138">
        <v>11.99278846153846</v>
      </c>
      <c r="CB138">
        <v>10.0277534965035</v>
      </c>
      <c r="CC138">
        <v>5.2857459543338514</v>
      </c>
      <c r="CD138">
        <v>4.4067834183107957</v>
      </c>
      <c r="CE138">
        <v>6.7070425072046085</v>
      </c>
      <c r="CF138">
        <v>5.6209700781927046</v>
      </c>
      <c r="CG138">
        <v>13.04463690872752</v>
      </c>
      <c r="CH138">
        <v>13.49811236953142</v>
      </c>
      <c r="CI138">
        <v>1.5836526181353769</v>
      </c>
      <c r="CJ138">
        <v>1.8744146445295871</v>
      </c>
      <c r="CK138">
        <v>8.5994040017028525E-2</v>
      </c>
      <c r="CL138">
        <v>0.13452532992762881</v>
      </c>
    </row>
    <row r="139" spans="1:90" x14ac:dyDescent="0.45">
      <c r="A139" t="s">
        <v>695</v>
      </c>
      <c r="B139">
        <v>1650751200</v>
      </c>
      <c r="C139" t="s">
        <v>629</v>
      </c>
      <c r="D139" t="s">
        <v>65</v>
      </c>
      <c r="E139" t="s">
        <v>66</v>
      </c>
      <c r="F139" t="s">
        <v>84</v>
      </c>
      <c r="G139" t="s">
        <v>101</v>
      </c>
      <c r="H139" t="s">
        <v>98</v>
      </c>
      <c r="I139">
        <v>0.46</v>
      </c>
      <c r="J139">
        <v>0.45941622555412542</v>
      </c>
      <c r="K139">
        <v>0.27248679503680906</v>
      </c>
      <c r="L139">
        <v>0.26809697940906546</v>
      </c>
      <c r="M139">
        <v>16</v>
      </c>
      <c r="N139">
        <v>1.75</v>
      </c>
      <c r="O139">
        <v>1.1100000000000001</v>
      </c>
      <c r="P139">
        <v>1.89</v>
      </c>
      <c r="Q139">
        <v>1.05</v>
      </c>
      <c r="R139" t="s">
        <v>1352</v>
      </c>
      <c r="S139">
        <v>3</v>
      </c>
      <c r="T139">
        <v>0</v>
      </c>
      <c r="U139">
        <v>3</v>
      </c>
      <c r="V139">
        <v>1</v>
      </c>
      <c r="W139">
        <v>1</v>
      </c>
      <c r="X139">
        <v>0</v>
      </c>
      <c r="Y139" t="s">
        <v>630</v>
      </c>
      <c r="AA139">
        <v>3</v>
      </c>
      <c r="AB139">
        <v>3</v>
      </c>
      <c r="AC139">
        <v>2</v>
      </c>
      <c r="AD139">
        <v>0</v>
      </c>
      <c r="AE139">
        <v>2</v>
      </c>
      <c r="AF139">
        <v>0</v>
      </c>
      <c r="AG139">
        <v>1</v>
      </c>
      <c r="AH139">
        <v>1</v>
      </c>
      <c r="AI139">
        <v>0</v>
      </c>
      <c r="AJ139">
        <v>2</v>
      </c>
      <c r="AK139">
        <v>15</v>
      </c>
      <c r="AL139">
        <v>14</v>
      </c>
      <c r="AM139">
        <v>6</v>
      </c>
      <c r="AN139">
        <v>0</v>
      </c>
      <c r="AO139">
        <v>9</v>
      </c>
      <c r="AP139">
        <v>14</v>
      </c>
      <c r="AQ139">
        <v>12</v>
      </c>
      <c r="AR139">
        <v>8</v>
      </c>
      <c r="AS139">
        <v>46</v>
      </c>
      <c r="AT139">
        <v>54</v>
      </c>
      <c r="AU139">
        <v>1.74</v>
      </c>
      <c r="AV139">
        <v>1.19</v>
      </c>
      <c r="AW139">
        <v>2.2799999999999998</v>
      </c>
      <c r="AX139">
        <v>59</v>
      </c>
      <c r="AY139">
        <v>71</v>
      </c>
      <c r="AZ139">
        <v>41</v>
      </c>
      <c r="BA139">
        <v>26</v>
      </c>
      <c r="BB139">
        <v>3</v>
      </c>
      <c r="BC139">
        <v>35</v>
      </c>
      <c r="BD139">
        <v>68</v>
      </c>
      <c r="BE139">
        <v>29</v>
      </c>
      <c r="BF139">
        <v>64</v>
      </c>
      <c r="BG139">
        <v>10.98</v>
      </c>
      <c r="BH139">
        <v>4.7300000000000004</v>
      </c>
      <c r="BI139">
        <v>2.06</v>
      </c>
      <c r="BJ139">
        <v>3.35</v>
      </c>
      <c r="BK139">
        <v>3.4</v>
      </c>
      <c r="BL139">
        <v>2.6020667649758078E-2</v>
      </c>
      <c r="BM139">
        <v>1.31</v>
      </c>
      <c r="BN139">
        <v>2.0299999999999998</v>
      </c>
      <c r="BO139">
        <v>3.4</v>
      </c>
      <c r="BP139">
        <v>6.3</v>
      </c>
      <c r="BQ139">
        <v>1.81</v>
      </c>
      <c r="BR139">
        <v>2</v>
      </c>
      <c r="BS139" t="s">
        <v>88</v>
      </c>
      <c r="BT139">
        <v>1.6955772349985931</v>
      </c>
      <c r="BU139">
        <v>1.0239029519551039</v>
      </c>
      <c r="BV139">
        <v>2.5405629139072849</v>
      </c>
      <c r="BW139">
        <v>1.4888836329233679</v>
      </c>
      <c r="BX139">
        <v>1.0516792809839171</v>
      </c>
      <c r="BY139">
        <v>0.64581362346263005</v>
      </c>
      <c r="BZ139">
        <v>0.45364238410596031</v>
      </c>
      <c r="CA139">
        <v>12.686892177589851</v>
      </c>
      <c r="CB139">
        <v>9.8059196617336148</v>
      </c>
      <c r="CC139">
        <v>5.3198121263877027</v>
      </c>
      <c r="CD139">
        <v>4.0954312553373189</v>
      </c>
      <c r="CE139">
        <v>7.3670800512021479</v>
      </c>
      <c r="CF139">
        <v>5.710488406396296</v>
      </c>
      <c r="CG139">
        <v>13.0488908033599</v>
      </c>
      <c r="CH139">
        <v>13.714839543398661</v>
      </c>
      <c r="CI139">
        <v>1.567523459812322</v>
      </c>
      <c r="CJ139">
        <v>1.951040391676867</v>
      </c>
      <c r="CK139">
        <v>8.3027335781313744E-2</v>
      </c>
      <c r="CL139">
        <v>0.13117095063239501</v>
      </c>
    </row>
    <row r="140" spans="1:90" x14ac:dyDescent="0.45">
      <c r="A140" t="s">
        <v>695</v>
      </c>
      <c r="B140">
        <v>1650758400</v>
      </c>
      <c r="C140" t="s">
        <v>631</v>
      </c>
      <c r="D140" t="s">
        <v>65</v>
      </c>
      <c r="E140" t="s">
        <v>66</v>
      </c>
      <c r="F140" t="s">
        <v>107</v>
      </c>
      <c r="G140" t="s">
        <v>68</v>
      </c>
      <c r="H140" t="s">
        <v>130</v>
      </c>
      <c r="I140">
        <v>0.42</v>
      </c>
      <c r="J140">
        <v>0.4262003534733424</v>
      </c>
      <c r="K140">
        <v>0.2722191283771041</v>
      </c>
      <c r="L140">
        <v>0.30158051814955339</v>
      </c>
      <c r="M140">
        <v>16</v>
      </c>
      <c r="N140">
        <v>2.17</v>
      </c>
      <c r="O140">
        <v>1.47</v>
      </c>
      <c r="P140">
        <v>2</v>
      </c>
      <c r="Q140">
        <v>1.53</v>
      </c>
      <c r="R140" t="s">
        <v>1351</v>
      </c>
      <c r="S140">
        <v>0</v>
      </c>
      <c r="T140">
        <v>2</v>
      </c>
      <c r="U140">
        <v>2</v>
      </c>
      <c r="V140">
        <v>1</v>
      </c>
      <c r="W140">
        <v>0</v>
      </c>
      <c r="X140">
        <v>1</v>
      </c>
      <c r="Z140" t="s">
        <v>632</v>
      </c>
      <c r="AA140">
        <v>8</v>
      </c>
      <c r="AB140">
        <v>8</v>
      </c>
      <c r="AC140">
        <v>4</v>
      </c>
      <c r="AD140">
        <v>1</v>
      </c>
      <c r="AE140">
        <v>3</v>
      </c>
      <c r="AF140">
        <v>0</v>
      </c>
      <c r="AG140">
        <v>1</v>
      </c>
      <c r="AH140">
        <v>4</v>
      </c>
      <c r="AI140">
        <v>0</v>
      </c>
      <c r="AJ140">
        <v>3</v>
      </c>
      <c r="AK140">
        <v>6</v>
      </c>
      <c r="AL140">
        <v>16</v>
      </c>
      <c r="AM140">
        <v>3</v>
      </c>
      <c r="AN140">
        <v>9</v>
      </c>
      <c r="AO140">
        <v>3</v>
      </c>
      <c r="AP140">
        <v>7</v>
      </c>
      <c r="AQ140">
        <v>14</v>
      </c>
      <c r="AR140">
        <v>8</v>
      </c>
      <c r="AS140">
        <v>63</v>
      </c>
      <c r="AT140">
        <v>37</v>
      </c>
      <c r="AU140">
        <v>0.93</v>
      </c>
      <c r="AV140">
        <v>1.92</v>
      </c>
      <c r="AW140">
        <v>2.31</v>
      </c>
      <c r="AX140">
        <v>52</v>
      </c>
      <c r="AY140">
        <v>71</v>
      </c>
      <c r="AZ140">
        <v>49</v>
      </c>
      <c r="BA140">
        <v>18</v>
      </c>
      <c r="BB140">
        <v>6</v>
      </c>
      <c r="BC140">
        <v>41</v>
      </c>
      <c r="BD140">
        <v>58</v>
      </c>
      <c r="BE140">
        <v>28</v>
      </c>
      <c r="BF140">
        <v>71</v>
      </c>
      <c r="BG140">
        <v>10.91</v>
      </c>
      <c r="BH140">
        <v>4.63</v>
      </c>
      <c r="BI140">
        <v>2.21</v>
      </c>
      <c r="BJ140">
        <v>3.35</v>
      </c>
      <c r="BK140">
        <v>3.05</v>
      </c>
      <c r="BL140">
        <v>2.6288334309463018E-2</v>
      </c>
      <c r="BM140">
        <v>1.33</v>
      </c>
      <c r="BN140">
        <v>2</v>
      </c>
      <c r="BO140">
        <v>3.55</v>
      </c>
      <c r="BP140">
        <v>6.8</v>
      </c>
      <c r="BQ140">
        <v>1.86</v>
      </c>
      <c r="BR140">
        <v>1.85</v>
      </c>
      <c r="BS140" t="s">
        <v>161</v>
      </c>
      <c r="BT140">
        <v>1.5780106027030405</v>
      </c>
      <c r="BU140">
        <v>1.1353025412447635</v>
      </c>
      <c r="BV140">
        <v>2.4884649511978703</v>
      </c>
      <c r="BW140">
        <v>1.396960958296362</v>
      </c>
      <c r="BX140">
        <v>1.091503992901508</v>
      </c>
      <c r="BY140">
        <v>0.60765391014975045</v>
      </c>
      <c r="BZ140">
        <v>0.47276760953965608</v>
      </c>
      <c r="CA140">
        <v>12.29504785684561</v>
      </c>
      <c r="CB140">
        <v>10.047232625884311</v>
      </c>
      <c r="CC140">
        <v>5.2917192097519967</v>
      </c>
      <c r="CD140">
        <v>4.2580916351408158</v>
      </c>
      <c r="CE140">
        <v>7.0033286470936131</v>
      </c>
      <c r="CF140">
        <v>5.789140990743495</v>
      </c>
      <c r="CG140">
        <v>12.77041895895049</v>
      </c>
      <c r="CH140">
        <v>13.411129919593741</v>
      </c>
      <c r="CI140">
        <v>1.556141062018646</v>
      </c>
      <c r="CJ140">
        <v>1.9114308877178761</v>
      </c>
      <c r="CK140">
        <v>8.4920956627482766E-2</v>
      </c>
      <c r="CL140">
        <v>0.1323469801378192</v>
      </c>
    </row>
    <row r="141" spans="1:90" x14ac:dyDescent="0.45">
      <c r="A141" t="s">
        <v>695</v>
      </c>
      <c r="B141">
        <v>1650765600</v>
      </c>
      <c r="C141" t="s">
        <v>633</v>
      </c>
      <c r="D141" t="s">
        <v>65</v>
      </c>
      <c r="E141" t="s">
        <v>66</v>
      </c>
      <c r="F141" t="s">
        <v>90</v>
      </c>
      <c r="G141" t="s">
        <v>96</v>
      </c>
      <c r="H141" t="s">
        <v>108</v>
      </c>
      <c r="I141">
        <v>0.42</v>
      </c>
      <c r="J141">
        <v>0.42283009206176042</v>
      </c>
      <c r="K141">
        <v>0.28127956941367682</v>
      </c>
      <c r="L141">
        <v>0.29589033852456281</v>
      </c>
      <c r="M141">
        <v>16</v>
      </c>
      <c r="N141">
        <v>1.38</v>
      </c>
      <c r="O141">
        <v>1.21</v>
      </c>
      <c r="P141">
        <v>1.47</v>
      </c>
      <c r="Q141">
        <v>1.1000000000000001</v>
      </c>
      <c r="R141" t="s">
        <v>1352</v>
      </c>
      <c r="S141">
        <v>3</v>
      </c>
      <c r="T141">
        <v>1</v>
      </c>
      <c r="U141">
        <v>4</v>
      </c>
      <c r="V141">
        <v>2</v>
      </c>
      <c r="W141">
        <v>2</v>
      </c>
      <c r="X141">
        <v>0</v>
      </c>
      <c r="Y141" t="s">
        <v>634</v>
      </c>
      <c r="Z141">
        <v>58</v>
      </c>
      <c r="AA141">
        <v>2</v>
      </c>
      <c r="AB141">
        <v>6</v>
      </c>
      <c r="AC141">
        <v>0</v>
      </c>
      <c r="AD141">
        <v>0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10</v>
      </c>
      <c r="AL141">
        <v>15</v>
      </c>
      <c r="AM141">
        <v>6</v>
      </c>
      <c r="AN141">
        <v>7</v>
      </c>
      <c r="AO141">
        <v>4</v>
      </c>
      <c r="AP141">
        <v>8</v>
      </c>
      <c r="AQ141">
        <v>8</v>
      </c>
      <c r="AR141">
        <v>15</v>
      </c>
      <c r="AS141">
        <v>53</v>
      </c>
      <c r="AT141">
        <v>47</v>
      </c>
      <c r="AU141">
        <v>1.39</v>
      </c>
      <c r="AV141">
        <v>1.65</v>
      </c>
      <c r="AW141">
        <v>2.52</v>
      </c>
      <c r="AX141">
        <v>55</v>
      </c>
      <c r="AY141">
        <v>75</v>
      </c>
      <c r="AZ141">
        <v>55</v>
      </c>
      <c r="BA141">
        <v>26</v>
      </c>
      <c r="BB141">
        <v>6</v>
      </c>
      <c r="BC141">
        <v>38</v>
      </c>
      <c r="BD141">
        <v>78</v>
      </c>
      <c r="BE141">
        <v>35</v>
      </c>
      <c r="BF141">
        <v>82</v>
      </c>
      <c r="BG141">
        <v>8.99</v>
      </c>
      <c r="BH141">
        <v>5.39</v>
      </c>
      <c r="BI141">
        <v>2.2400000000000002</v>
      </c>
      <c r="BJ141">
        <v>3.28</v>
      </c>
      <c r="BK141">
        <v>3.13</v>
      </c>
      <c r="BL141">
        <v>2.3598479366810993E-2</v>
      </c>
      <c r="BM141">
        <v>1.33</v>
      </c>
      <c r="BN141">
        <v>2.02</v>
      </c>
      <c r="BO141">
        <v>3.5</v>
      </c>
      <c r="BP141">
        <v>6.75</v>
      </c>
      <c r="BQ141">
        <v>1.78</v>
      </c>
      <c r="BR141">
        <v>1.93</v>
      </c>
      <c r="BS141" t="s">
        <v>94</v>
      </c>
      <c r="BT141">
        <v>1.5780106027030405</v>
      </c>
      <c r="BU141">
        <v>1.1353025412447635</v>
      </c>
      <c r="BV141">
        <v>2.4884649511978703</v>
      </c>
      <c r="BW141">
        <v>1.396960958296362</v>
      </c>
      <c r="BX141">
        <v>1.091503992901508</v>
      </c>
      <c r="BY141">
        <v>0.60765391014975045</v>
      </c>
      <c r="BZ141">
        <v>0.47276760953965608</v>
      </c>
      <c r="CA141">
        <v>12.29504785684561</v>
      </c>
      <c r="CB141">
        <v>10.047232625884311</v>
      </c>
      <c r="CC141">
        <v>5.2917192097519967</v>
      </c>
      <c r="CD141">
        <v>4.2580916351408158</v>
      </c>
      <c r="CE141">
        <v>7.0033286470936131</v>
      </c>
      <c r="CF141">
        <v>5.789140990743495</v>
      </c>
      <c r="CG141">
        <v>12.77041895895049</v>
      </c>
      <c r="CH141">
        <v>13.411129919593741</v>
      </c>
      <c r="CI141">
        <v>1.556141062018646</v>
      </c>
      <c r="CJ141">
        <v>1.9114308877178761</v>
      </c>
      <c r="CK141">
        <v>8.4920956627482766E-2</v>
      </c>
      <c r="CL141">
        <v>0.1323469801378192</v>
      </c>
    </row>
    <row r="142" spans="1:90" x14ac:dyDescent="0.45">
      <c r="A142" t="s">
        <v>695</v>
      </c>
      <c r="B142">
        <v>1650819600</v>
      </c>
      <c r="C142" t="s">
        <v>635</v>
      </c>
      <c r="D142" t="s">
        <v>65</v>
      </c>
      <c r="E142" t="s">
        <v>66</v>
      </c>
      <c r="F142" t="s">
        <v>79</v>
      </c>
      <c r="G142" t="s">
        <v>97</v>
      </c>
      <c r="H142" t="s">
        <v>122</v>
      </c>
      <c r="I142">
        <v>0.3</v>
      </c>
      <c r="J142">
        <v>0.30794468600472535</v>
      </c>
      <c r="K142">
        <v>0.29106855679313837</v>
      </c>
      <c r="L142">
        <v>0.40098675720213633</v>
      </c>
      <c r="M142">
        <v>16</v>
      </c>
      <c r="N142">
        <v>1.24</v>
      </c>
      <c r="O142">
        <v>1.63</v>
      </c>
      <c r="P142">
        <v>1.17</v>
      </c>
      <c r="Q142">
        <v>1.68</v>
      </c>
      <c r="R142" t="s">
        <v>1351</v>
      </c>
      <c r="S142">
        <v>2</v>
      </c>
      <c r="T142">
        <v>4</v>
      </c>
      <c r="U142">
        <v>6</v>
      </c>
      <c r="V142">
        <v>3</v>
      </c>
      <c r="W142">
        <v>1</v>
      </c>
      <c r="X142">
        <v>2</v>
      </c>
      <c r="Y142" t="s">
        <v>636</v>
      </c>
      <c r="Z142" t="s">
        <v>637</v>
      </c>
      <c r="AA142">
        <v>7</v>
      </c>
      <c r="AB142">
        <v>5</v>
      </c>
      <c r="AC142">
        <v>2</v>
      </c>
      <c r="AD142">
        <v>1</v>
      </c>
      <c r="AE142">
        <v>5</v>
      </c>
      <c r="AF142">
        <v>0</v>
      </c>
      <c r="AG142">
        <v>2</v>
      </c>
      <c r="AH142">
        <v>1</v>
      </c>
      <c r="AI142">
        <v>1</v>
      </c>
      <c r="AJ142">
        <v>4</v>
      </c>
      <c r="AK142">
        <v>19</v>
      </c>
      <c r="AL142">
        <v>16</v>
      </c>
      <c r="AM142">
        <v>8</v>
      </c>
      <c r="AN142">
        <v>8</v>
      </c>
      <c r="AO142">
        <v>11</v>
      </c>
      <c r="AP142">
        <v>8</v>
      </c>
      <c r="AQ142">
        <v>9</v>
      </c>
      <c r="AR142">
        <v>15</v>
      </c>
      <c r="AS142">
        <v>48</v>
      </c>
      <c r="AT142">
        <v>52</v>
      </c>
      <c r="AU142">
        <v>1.94</v>
      </c>
      <c r="AV142">
        <v>1.84</v>
      </c>
      <c r="AW142">
        <v>2.4500000000000002</v>
      </c>
      <c r="AX142">
        <v>60</v>
      </c>
      <c r="AY142">
        <v>71</v>
      </c>
      <c r="AZ142">
        <v>46</v>
      </c>
      <c r="BA142">
        <v>23</v>
      </c>
      <c r="BB142">
        <v>9</v>
      </c>
      <c r="BC142">
        <v>40</v>
      </c>
      <c r="BD142">
        <v>73</v>
      </c>
      <c r="BE142">
        <v>37</v>
      </c>
      <c r="BF142">
        <v>62</v>
      </c>
      <c r="BG142">
        <v>9.58</v>
      </c>
      <c r="BH142">
        <v>5.21</v>
      </c>
      <c r="BI142">
        <v>3.09</v>
      </c>
      <c r="BJ142">
        <v>3.26</v>
      </c>
      <c r="BK142">
        <v>2.4</v>
      </c>
      <c r="BL142">
        <v>1.5679909464530351E-2</v>
      </c>
      <c r="BM142">
        <v>1.4</v>
      </c>
      <c r="BN142">
        <v>2.2200000000000002</v>
      </c>
      <c r="BO142">
        <v>4.05</v>
      </c>
      <c r="BP142">
        <v>8</v>
      </c>
      <c r="BQ142">
        <v>1.9</v>
      </c>
      <c r="BR142">
        <v>1.81</v>
      </c>
      <c r="BS142" t="s">
        <v>140</v>
      </c>
      <c r="BT142">
        <v>1.2142445227270171</v>
      </c>
      <c r="BU142">
        <v>1.4993969533036628</v>
      </c>
      <c r="BV142">
        <v>2.5726407816919519</v>
      </c>
      <c r="BW142">
        <v>1.1805091283106199</v>
      </c>
      <c r="BX142">
        <v>1.3921316533813319</v>
      </c>
      <c r="BY142">
        <v>0.5209673269873939</v>
      </c>
      <c r="BZ142">
        <v>0.61847182917417032</v>
      </c>
      <c r="CA142">
        <v>11.149200710479571</v>
      </c>
      <c r="CB142">
        <v>11.444049733570161</v>
      </c>
      <c r="CC142">
        <v>4.5257270693512304</v>
      </c>
      <c r="CD142">
        <v>4.8465324384787474</v>
      </c>
      <c r="CE142">
        <v>6.6234736411283404</v>
      </c>
      <c r="CF142">
        <v>6.5975172950914134</v>
      </c>
      <c r="CG142">
        <v>12.90081154192967</v>
      </c>
      <c r="CH142">
        <v>13.00360685302074</v>
      </c>
      <c r="CI142">
        <v>1.7502145922746779</v>
      </c>
      <c r="CJ142">
        <v>1.831402831402831</v>
      </c>
      <c r="CK142">
        <v>9.6525096525096526E-2</v>
      </c>
      <c r="CL142">
        <v>0.1244101244101244</v>
      </c>
    </row>
    <row r="143" spans="1:90" x14ac:dyDescent="0.45">
      <c r="A143" t="s">
        <v>695</v>
      </c>
      <c r="B143">
        <v>1650837600</v>
      </c>
      <c r="C143" t="s">
        <v>638</v>
      </c>
      <c r="D143" t="s">
        <v>65</v>
      </c>
      <c r="E143" t="s">
        <v>66</v>
      </c>
      <c r="F143" t="s">
        <v>112</v>
      </c>
      <c r="G143" t="s">
        <v>91</v>
      </c>
      <c r="H143" t="s">
        <v>583</v>
      </c>
      <c r="I143">
        <v>0.5</v>
      </c>
      <c r="J143">
        <v>0.50638782490818235</v>
      </c>
      <c r="K143">
        <v>0.27769108305354584</v>
      </c>
      <c r="L143">
        <v>0.21592109203827176</v>
      </c>
      <c r="M143">
        <v>16</v>
      </c>
      <c r="N143">
        <v>1.41</v>
      </c>
      <c r="O143">
        <v>1.24</v>
      </c>
      <c r="P143">
        <v>1.25</v>
      </c>
      <c r="Q143">
        <v>1.25</v>
      </c>
      <c r="R143" t="s">
        <v>1351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1</v>
      </c>
      <c r="Z143" t="s">
        <v>639</v>
      </c>
      <c r="AA143">
        <v>8</v>
      </c>
      <c r="AB143">
        <v>3</v>
      </c>
      <c r="AC143">
        <v>3</v>
      </c>
      <c r="AD143">
        <v>0</v>
      </c>
      <c r="AE143">
        <v>4</v>
      </c>
      <c r="AF143">
        <v>0</v>
      </c>
      <c r="AG143">
        <v>1</v>
      </c>
      <c r="AH143">
        <v>2</v>
      </c>
      <c r="AI143">
        <v>1</v>
      </c>
      <c r="AJ143">
        <v>3</v>
      </c>
      <c r="AK143">
        <v>15</v>
      </c>
      <c r="AL143">
        <v>8</v>
      </c>
      <c r="AM143">
        <v>3</v>
      </c>
      <c r="AN143">
        <v>4</v>
      </c>
      <c r="AO143">
        <v>12</v>
      </c>
      <c r="AP143">
        <v>4</v>
      </c>
      <c r="AQ143">
        <v>10</v>
      </c>
      <c r="AR143">
        <v>11</v>
      </c>
      <c r="AS143">
        <v>58</v>
      </c>
      <c r="AT143">
        <v>42</v>
      </c>
      <c r="AU143">
        <v>1.74</v>
      </c>
      <c r="AV143">
        <v>0.94</v>
      </c>
      <c r="AW143">
        <v>2.4700000000000002</v>
      </c>
      <c r="AX143">
        <v>56</v>
      </c>
      <c r="AY143">
        <v>74</v>
      </c>
      <c r="AZ143">
        <v>47</v>
      </c>
      <c r="BA143">
        <v>24</v>
      </c>
      <c r="BB143">
        <v>9</v>
      </c>
      <c r="BC143">
        <v>27</v>
      </c>
      <c r="BD143">
        <v>71</v>
      </c>
      <c r="BE143">
        <v>41</v>
      </c>
      <c r="BF143">
        <v>74</v>
      </c>
      <c r="BG143">
        <v>8.64</v>
      </c>
      <c r="BH143">
        <v>4.59</v>
      </c>
      <c r="BI143">
        <v>1.9</v>
      </c>
      <c r="BJ143">
        <v>3.36</v>
      </c>
      <c r="BK143">
        <v>4.24</v>
      </c>
      <c r="BL143">
        <v>1.9927964565501794E-2</v>
      </c>
      <c r="BM143">
        <v>1.4</v>
      </c>
      <c r="BN143">
        <v>2.19</v>
      </c>
      <c r="BO143">
        <v>3.75</v>
      </c>
      <c r="BP143">
        <v>7.5</v>
      </c>
      <c r="BQ143">
        <v>2</v>
      </c>
      <c r="BR143">
        <v>1.73</v>
      </c>
      <c r="BS143" t="s">
        <v>116</v>
      </c>
      <c r="BT143">
        <v>1.8001937313313046</v>
      </c>
      <c r="BU143">
        <v>0.9268512077832276</v>
      </c>
      <c r="BV143">
        <v>2.5202079886551649</v>
      </c>
      <c r="BW143">
        <v>1.5342708579532029</v>
      </c>
      <c r="BX143">
        <v>0.98593713070196176</v>
      </c>
      <c r="BY143">
        <v>0.67513590167809023</v>
      </c>
      <c r="BZ143">
        <v>0.4286727337194185</v>
      </c>
      <c r="CA143">
        <v>12.98669114272602</v>
      </c>
      <c r="CB143">
        <v>9.4167049105094076</v>
      </c>
      <c r="CC143">
        <v>5.6645716945996272</v>
      </c>
      <c r="CD143">
        <v>4.0242085661080074</v>
      </c>
      <c r="CE143">
        <v>7.3221194481263927</v>
      </c>
      <c r="CF143">
        <v>5.3924963444014002</v>
      </c>
      <c r="CG143">
        <v>12.508162313432839</v>
      </c>
      <c r="CH143">
        <v>13.36963619402985</v>
      </c>
      <c r="CI143">
        <v>1.4438014689517029</v>
      </c>
      <c r="CJ143">
        <v>1.9410193634542621</v>
      </c>
      <c r="CK143">
        <v>8.4130870242599604E-2</v>
      </c>
      <c r="CL143">
        <v>0.1275317160026708</v>
      </c>
    </row>
    <row r="144" spans="1:90" x14ac:dyDescent="0.45">
      <c r="A144" t="s">
        <v>695</v>
      </c>
      <c r="B144">
        <v>1650844800</v>
      </c>
      <c r="C144" t="s">
        <v>640</v>
      </c>
      <c r="D144" t="s">
        <v>65</v>
      </c>
      <c r="E144" t="s">
        <v>66</v>
      </c>
      <c r="F144" t="s">
        <v>73</v>
      </c>
      <c r="G144" t="s">
        <v>85</v>
      </c>
      <c r="H144" t="s">
        <v>133</v>
      </c>
      <c r="I144">
        <v>0.46</v>
      </c>
      <c r="J144">
        <v>0.45225327925186143</v>
      </c>
      <c r="K144">
        <v>0.26957250708477676</v>
      </c>
      <c r="L144">
        <v>0.27817421366336192</v>
      </c>
      <c r="M144">
        <v>16</v>
      </c>
      <c r="N144">
        <v>1.61</v>
      </c>
      <c r="O144">
        <v>1.42</v>
      </c>
      <c r="P144">
        <v>1.58</v>
      </c>
      <c r="Q144">
        <v>1.4</v>
      </c>
      <c r="R144" t="s">
        <v>1348</v>
      </c>
      <c r="S144">
        <v>1</v>
      </c>
      <c r="T144">
        <v>1</v>
      </c>
      <c r="U144">
        <v>2</v>
      </c>
      <c r="V144">
        <v>0</v>
      </c>
      <c r="W144">
        <v>0</v>
      </c>
      <c r="X144">
        <v>0</v>
      </c>
      <c r="Y144">
        <v>57</v>
      </c>
      <c r="Z144">
        <v>51</v>
      </c>
      <c r="AA144">
        <v>7</v>
      </c>
      <c r="AB144">
        <v>2</v>
      </c>
      <c r="AC144">
        <v>1</v>
      </c>
      <c r="AD144">
        <v>0</v>
      </c>
      <c r="AE144">
        <v>2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8</v>
      </c>
      <c r="AL144">
        <v>5</v>
      </c>
      <c r="AM144">
        <v>7</v>
      </c>
      <c r="AN144">
        <v>3</v>
      </c>
      <c r="AO144">
        <v>1</v>
      </c>
      <c r="AP144">
        <v>2</v>
      </c>
      <c r="AQ144">
        <v>17</v>
      </c>
      <c r="AR144">
        <v>12</v>
      </c>
      <c r="AS144">
        <v>43</v>
      </c>
      <c r="AT144">
        <v>57</v>
      </c>
      <c r="AU144">
        <v>1.43</v>
      </c>
      <c r="AV144">
        <v>0.71</v>
      </c>
      <c r="AW144">
        <v>2.34</v>
      </c>
      <c r="AX144">
        <v>50</v>
      </c>
      <c r="AY144">
        <v>71</v>
      </c>
      <c r="AZ144">
        <v>41</v>
      </c>
      <c r="BA144">
        <v>22</v>
      </c>
      <c r="BB144">
        <v>9</v>
      </c>
      <c r="BC144">
        <v>22</v>
      </c>
      <c r="BD144">
        <v>59</v>
      </c>
      <c r="BE144">
        <v>42</v>
      </c>
      <c r="BF144">
        <v>76</v>
      </c>
      <c r="BG144">
        <v>10.33</v>
      </c>
      <c r="BH144">
        <v>4.67</v>
      </c>
      <c r="BI144">
        <v>2.12</v>
      </c>
      <c r="BJ144">
        <v>3.46</v>
      </c>
      <c r="BK144">
        <v>3.36</v>
      </c>
      <c r="BL144">
        <v>1.9444833955685709E-2</v>
      </c>
      <c r="BM144">
        <v>1.33</v>
      </c>
      <c r="BN144">
        <v>1.95</v>
      </c>
      <c r="BO144">
        <v>3.25</v>
      </c>
      <c r="BP144">
        <v>6</v>
      </c>
      <c r="BQ144">
        <v>1.73</v>
      </c>
      <c r="BR144">
        <v>2</v>
      </c>
      <c r="BS144" t="s">
        <v>142</v>
      </c>
      <c r="BT144">
        <v>1.6955772349985931</v>
      </c>
      <c r="BU144">
        <v>1.0239029519551039</v>
      </c>
      <c r="BV144">
        <v>2.5405629139072849</v>
      </c>
      <c r="BW144">
        <v>1.4888836329233679</v>
      </c>
      <c r="BX144">
        <v>1.0516792809839171</v>
      </c>
      <c r="BY144">
        <v>0.64581362346263005</v>
      </c>
      <c r="BZ144">
        <v>0.45364238410596031</v>
      </c>
      <c r="CA144">
        <v>12.686892177589851</v>
      </c>
      <c r="CB144">
        <v>9.8059196617336148</v>
      </c>
      <c r="CC144">
        <v>5.3198121263877027</v>
      </c>
      <c r="CD144">
        <v>4.0954312553373189</v>
      </c>
      <c r="CE144">
        <v>7.3670800512021479</v>
      </c>
      <c r="CF144">
        <v>5.710488406396296</v>
      </c>
      <c r="CG144">
        <v>13.0488908033599</v>
      </c>
      <c r="CH144">
        <v>13.714839543398661</v>
      </c>
      <c r="CI144">
        <v>1.567523459812322</v>
      </c>
      <c r="CJ144">
        <v>1.951040391676867</v>
      </c>
      <c r="CK144">
        <v>8.3027335781313744E-2</v>
      </c>
      <c r="CL144">
        <v>0.13117095063239501</v>
      </c>
    </row>
    <row r="145" spans="1:90" x14ac:dyDescent="0.45">
      <c r="A145" t="s">
        <v>695</v>
      </c>
      <c r="B145">
        <v>1650852360</v>
      </c>
      <c r="C145" t="s">
        <v>641</v>
      </c>
      <c r="D145" t="s">
        <v>65</v>
      </c>
      <c r="E145" t="s">
        <v>66</v>
      </c>
      <c r="F145" t="s">
        <v>106</v>
      </c>
      <c r="G145" t="s">
        <v>67</v>
      </c>
      <c r="H145" t="s">
        <v>69</v>
      </c>
      <c r="I145">
        <v>0.46</v>
      </c>
      <c r="J145">
        <v>0.45667368013736725</v>
      </c>
      <c r="K145">
        <v>0.28351350697719413</v>
      </c>
      <c r="L145">
        <v>0.25981281288543856</v>
      </c>
      <c r="M145">
        <v>16</v>
      </c>
      <c r="N145">
        <v>1.38</v>
      </c>
      <c r="O145">
        <v>0.63</v>
      </c>
      <c r="P145">
        <v>1.35</v>
      </c>
      <c r="Q145">
        <v>0.65</v>
      </c>
      <c r="R145" t="s">
        <v>1348</v>
      </c>
      <c r="S145">
        <v>2</v>
      </c>
      <c r="T145">
        <v>2</v>
      </c>
      <c r="U145">
        <v>4</v>
      </c>
      <c r="V145">
        <v>2</v>
      </c>
      <c r="W145">
        <v>2</v>
      </c>
      <c r="X145">
        <v>0</v>
      </c>
      <c r="Y145" t="s">
        <v>642</v>
      </c>
      <c r="Z145" t="s">
        <v>643</v>
      </c>
      <c r="AA145">
        <v>8</v>
      </c>
      <c r="AB145">
        <v>10</v>
      </c>
      <c r="AC145">
        <v>5</v>
      </c>
      <c r="AD145">
        <v>0</v>
      </c>
      <c r="AE145">
        <v>3</v>
      </c>
      <c r="AF145">
        <v>0</v>
      </c>
      <c r="AG145">
        <v>3</v>
      </c>
      <c r="AH145">
        <v>2</v>
      </c>
      <c r="AI145">
        <v>2</v>
      </c>
      <c r="AJ145">
        <v>1</v>
      </c>
      <c r="AK145">
        <v>9</v>
      </c>
      <c r="AL145">
        <v>7</v>
      </c>
      <c r="AM145">
        <v>6</v>
      </c>
      <c r="AN145">
        <v>3</v>
      </c>
      <c r="AO145">
        <v>3</v>
      </c>
      <c r="AP145">
        <v>4</v>
      </c>
      <c r="AQ145">
        <v>14</v>
      </c>
      <c r="AR145">
        <v>14</v>
      </c>
      <c r="AS145">
        <v>46</v>
      </c>
      <c r="AT145">
        <v>54</v>
      </c>
      <c r="AU145">
        <v>1.4</v>
      </c>
      <c r="AV145">
        <v>1.03</v>
      </c>
      <c r="AW145">
        <v>1.94</v>
      </c>
      <c r="AX145">
        <v>53</v>
      </c>
      <c r="AY145">
        <v>69</v>
      </c>
      <c r="AZ145">
        <v>25</v>
      </c>
      <c r="BA145">
        <v>13</v>
      </c>
      <c r="BB145">
        <v>3</v>
      </c>
      <c r="BC145">
        <v>19</v>
      </c>
      <c r="BD145">
        <v>60</v>
      </c>
      <c r="BE145">
        <v>31</v>
      </c>
      <c r="BF145">
        <v>72</v>
      </c>
      <c r="BG145">
        <v>10.130000000000001</v>
      </c>
      <c r="BH145">
        <v>5.44</v>
      </c>
      <c r="BI145">
        <v>2.1</v>
      </c>
      <c r="BJ145">
        <v>3.3</v>
      </c>
      <c r="BK145">
        <v>3.58</v>
      </c>
      <c r="BL145">
        <v>1.9516796053108926E-2</v>
      </c>
      <c r="BM145">
        <v>1.39</v>
      </c>
      <c r="BN145">
        <v>2.1</v>
      </c>
      <c r="BO145">
        <v>3.98</v>
      </c>
      <c r="BP145">
        <v>7.7</v>
      </c>
      <c r="BQ145">
        <v>1.91</v>
      </c>
      <c r="BR145">
        <v>1.8</v>
      </c>
      <c r="BS145" t="s">
        <v>110</v>
      </c>
      <c r="BT145">
        <v>1.6955772349985931</v>
      </c>
      <c r="BU145">
        <v>1.0239029519551039</v>
      </c>
      <c r="BV145">
        <v>2.5405629139072849</v>
      </c>
      <c r="BW145">
        <v>1.4888836329233679</v>
      </c>
      <c r="BX145">
        <v>1.0516792809839171</v>
      </c>
      <c r="BY145">
        <v>0.64581362346263005</v>
      </c>
      <c r="BZ145">
        <v>0.45364238410596031</v>
      </c>
      <c r="CA145">
        <v>12.686892177589851</v>
      </c>
      <c r="CB145">
        <v>9.8059196617336148</v>
      </c>
      <c r="CC145">
        <v>5.3198121263877027</v>
      </c>
      <c r="CD145">
        <v>4.0954312553373189</v>
      </c>
      <c r="CE145">
        <v>7.3670800512021479</v>
      </c>
      <c r="CF145">
        <v>5.710488406396296</v>
      </c>
      <c r="CG145">
        <v>13.0488908033599</v>
      </c>
      <c r="CH145">
        <v>13.714839543398661</v>
      </c>
      <c r="CI145">
        <v>1.567523459812322</v>
      </c>
      <c r="CJ145">
        <v>1.951040391676867</v>
      </c>
      <c r="CK145">
        <v>8.3027335781313744E-2</v>
      </c>
      <c r="CL145">
        <v>0.13117095063239501</v>
      </c>
    </row>
    <row r="146" spans="1:90" x14ac:dyDescent="0.45">
      <c r="A146" t="s">
        <v>695</v>
      </c>
      <c r="B146">
        <v>1651276800</v>
      </c>
      <c r="C146" t="s">
        <v>644</v>
      </c>
      <c r="D146" t="s">
        <v>65</v>
      </c>
      <c r="E146" t="s">
        <v>66</v>
      </c>
      <c r="F146" t="s">
        <v>72</v>
      </c>
      <c r="G146" t="s">
        <v>90</v>
      </c>
      <c r="H146" t="s">
        <v>158</v>
      </c>
      <c r="I146">
        <v>0.42</v>
      </c>
      <c r="J146">
        <v>0.41212753306486882</v>
      </c>
      <c r="K146">
        <v>0.27706063076746917</v>
      </c>
      <c r="L146">
        <v>0.31081183616766206</v>
      </c>
      <c r="M146">
        <v>17</v>
      </c>
      <c r="N146">
        <v>1.31</v>
      </c>
      <c r="O146">
        <v>1.24</v>
      </c>
      <c r="P146">
        <v>1.24</v>
      </c>
      <c r="Q146">
        <v>1.32</v>
      </c>
      <c r="R146" t="s">
        <v>1351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Z146">
        <v>89</v>
      </c>
      <c r="AA146">
        <v>6</v>
      </c>
      <c r="AB146">
        <v>4</v>
      </c>
      <c r="AC146">
        <v>3</v>
      </c>
      <c r="AD146">
        <v>0</v>
      </c>
      <c r="AE146">
        <v>1</v>
      </c>
      <c r="AF146">
        <v>0</v>
      </c>
      <c r="AG146">
        <v>1</v>
      </c>
      <c r="AH146">
        <v>2</v>
      </c>
      <c r="AI146">
        <v>1</v>
      </c>
      <c r="AJ146">
        <v>0</v>
      </c>
      <c r="AK146">
        <v>12</v>
      </c>
      <c r="AL146">
        <v>11</v>
      </c>
      <c r="AM146">
        <v>5</v>
      </c>
      <c r="AN146">
        <v>5</v>
      </c>
      <c r="AO146">
        <v>7</v>
      </c>
      <c r="AP146">
        <v>6</v>
      </c>
      <c r="AQ146">
        <v>22</v>
      </c>
      <c r="AR146">
        <v>4</v>
      </c>
      <c r="AS146">
        <v>50</v>
      </c>
      <c r="AT146">
        <v>50</v>
      </c>
      <c r="AU146">
        <v>1.43</v>
      </c>
      <c r="AV146">
        <v>1.21</v>
      </c>
      <c r="AW146">
        <v>2.13</v>
      </c>
      <c r="AX146">
        <v>36</v>
      </c>
      <c r="AY146">
        <v>58</v>
      </c>
      <c r="AZ146">
        <v>46</v>
      </c>
      <c r="BA146">
        <v>19</v>
      </c>
      <c r="BB146">
        <v>3</v>
      </c>
      <c r="BC146">
        <v>34</v>
      </c>
      <c r="BD146">
        <v>55</v>
      </c>
      <c r="BE146">
        <v>39</v>
      </c>
      <c r="BF146">
        <v>73</v>
      </c>
      <c r="BG146">
        <v>8.94</v>
      </c>
      <c r="BH146">
        <v>4.76</v>
      </c>
      <c r="BI146">
        <v>2.33</v>
      </c>
      <c r="BJ146">
        <v>3.4</v>
      </c>
      <c r="BK146">
        <v>3.05</v>
      </c>
      <c r="BL146">
        <v>1.7057016291354365E-2</v>
      </c>
      <c r="BM146">
        <v>1.5</v>
      </c>
      <c r="BN146">
        <v>2.08</v>
      </c>
      <c r="BO146">
        <v>3.8</v>
      </c>
      <c r="BP146">
        <v>7.4</v>
      </c>
      <c r="BQ146">
        <v>1.85</v>
      </c>
      <c r="BR146">
        <v>1.85</v>
      </c>
      <c r="BS146" t="s">
        <v>76</v>
      </c>
      <c r="BT146">
        <v>1.5780106027030405</v>
      </c>
      <c r="BU146">
        <v>1.1353025412447635</v>
      </c>
      <c r="BV146">
        <v>2.4884649511978703</v>
      </c>
      <c r="BW146">
        <v>1.396960958296362</v>
      </c>
      <c r="BX146">
        <v>1.091503992901508</v>
      </c>
      <c r="BY146">
        <v>0.60765391014975045</v>
      </c>
      <c r="BZ146">
        <v>0.47276760953965608</v>
      </c>
      <c r="CA146">
        <v>12.29504785684561</v>
      </c>
      <c r="CB146">
        <v>10.047232625884311</v>
      </c>
      <c r="CC146">
        <v>5.2917192097519967</v>
      </c>
      <c r="CD146">
        <v>4.2580916351408158</v>
      </c>
      <c r="CE146">
        <v>7.0033286470936131</v>
      </c>
      <c r="CF146">
        <v>5.789140990743495</v>
      </c>
      <c r="CG146">
        <v>12.77041895895049</v>
      </c>
      <c r="CH146">
        <v>13.411129919593741</v>
      </c>
      <c r="CI146">
        <v>1.556141062018646</v>
      </c>
      <c r="CJ146">
        <v>1.9114308877178761</v>
      </c>
      <c r="CK146">
        <v>8.4920956627482766E-2</v>
      </c>
      <c r="CL146">
        <v>0.1323469801378192</v>
      </c>
    </row>
    <row r="147" spans="1:90" x14ac:dyDescent="0.45">
      <c r="A147" t="s">
        <v>695</v>
      </c>
      <c r="B147">
        <v>1651284300</v>
      </c>
      <c r="C147" t="s">
        <v>645</v>
      </c>
      <c r="D147" t="s">
        <v>65</v>
      </c>
      <c r="E147" t="s">
        <v>66</v>
      </c>
      <c r="F147" t="s">
        <v>113</v>
      </c>
      <c r="G147" t="s">
        <v>102</v>
      </c>
      <c r="H147" t="s">
        <v>74</v>
      </c>
      <c r="I147">
        <v>0.34</v>
      </c>
      <c r="J147">
        <v>0.33318273545977528</v>
      </c>
      <c r="K147">
        <v>0.29862052347820844</v>
      </c>
      <c r="L147">
        <v>0.36819674106201622</v>
      </c>
      <c r="M147">
        <v>17</v>
      </c>
      <c r="N147">
        <v>1.63</v>
      </c>
      <c r="O147">
        <v>1.59</v>
      </c>
      <c r="P147">
        <v>1.71</v>
      </c>
      <c r="Q147">
        <v>1.42</v>
      </c>
      <c r="R147" t="s">
        <v>1352</v>
      </c>
      <c r="S147">
        <v>2</v>
      </c>
      <c r="T147">
        <v>1</v>
      </c>
      <c r="U147">
        <v>3</v>
      </c>
      <c r="V147">
        <v>0</v>
      </c>
      <c r="W147">
        <v>0</v>
      </c>
      <c r="X147">
        <v>0</v>
      </c>
      <c r="Y147" t="s">
        <v>646</v>
      </c>
      <c r="Z147" t="s">
        <v>329</v>
      </c>
      <c r="AA147">
        <v>7</v>
      </c>
      <c r="AB147">
        <v>4</v>
      </c>
      <c r="AC147">
        <v>3</v>
      </c>
      <c r="AD147">
        <v>0</v>
      </c>
      <c r="AE147">
        <v>5</v>
      </c>
      <c r="AF147">
        <v>0</v>
      </c>
      <c r="AG147">
        <v>0</v>
      </c>
      <c r="AH147">
        <v>3</v>
      </c>
      <c r="AI147">
        <v>3</v>
      </c>
      <c r="AJ147">
        <v>2</v>
      </c>
      <c r="AK147">
        <v>15</v>
      </c>
      <c r="AL147">
        <v>9</v>
      </c>
      <c r="AM147">
        <v>8</v>
      </c>
      <c r="AN147">
        <v>2</v>
      </c>
      <c r="AO147">
        <v>7</v>
      </c>
      <c r="AP147">
        <v>7</v>
      </c>
      <c r="AQ147">
        <v>15</v>
      </c>
      <c r="AR147">
        <v>18</v>
      </c>
      <c r="AS147">
        <v>55</v>
      </c>
      <c r="AT147">
        <v>45</v>
      </c>
      <c r="AU147">
        <v>1.78</v>
      </c>
      <c r="AV147">
        <v>0.96</v>
      </c>
      <c r="AW147">
        <v>2.31</v>
      </c>
      <c r="AX147">
        <v>52</v>
      </c>
      <c r="AY147">
        <v>76</v>
      </c>
      <c r="AZ147">
        <v>40</v>
      </c>
      <c r="BA147">
        <v>16</v>
      </c>
      <c r="BB147">
        <v>3</v>
      </c>
      <c r="BC147">
        <v>34</v>
      </c>
      <c r="BD147">
        <v>76</v>
      </c>
      <c r="BE147">
        <v>37</v>
      </c>
      <c r="BF147">
        <v>70</v>
      </c>
      <c r="BG147">
        <v>6.99</v>
      </c>
      <c r="BH147">
        <v>6.41</v>
      </c>
      <c r="BI147">
        <v>2.8</v>
      </c>
      <c r="BJ147">
        <v>3.1</v>
      </c>
      <c r="BK147">
        <v>2.5499999999999998</v>
      </c>
      <c r="BL147">
        <v>2.3960121683081887E-2</v>
      </c>
      <c r="BM147">
        <v>0</v>
      </c>
      <c r="BN147">
        <v>2.13</v>
      </c>
      <c r="BO147">
        <v>0</v>
      </c>
      <c r="BP147">
        <v>0</v>
      </c>
      <c r="BQ147">
        <v>0</v>
      </c>
      <c r="BR147">
        <v>0</v>
      </c>
      <c r="BS147" t="s">
        <v>120</v>
      </c>
      <c r="BT147">
        <v>1.3382439854569812</v>
      </c>
      <c r="BU147">
        <v>1.3740319615582339</v>
      </c>
      <c r="BV147">
        <v>2.5229727551184897</v>
      </c>
      <c r="BW147">
        <v>1.228921489601805</v>
      </c>
      <c r="BX147">
        <v>1.2940512655166849</v>
      </c>
      <c r="BY147">
        <v>0.53240890035472432</v>
      </c>
      <c r="BZ147">
        <v>0.56514027732989358</v>
      </c>
      <c r="CA147">
        <v>11.417888124439131</v>
      </c>
      <c r="CB147">
        <v>10.76308704756207</v>
      </c>
      <c r="CC147">
        <v>4.8317672021824798</v>
      </c>
      <c r="CD147">
        <v>4.6698999696877843</v>
      </c>
      <c r="CE147">
        <v>6.5861209222566508</v>
      </c>
      <c r="CF147">
        <v>6.093187077874286</v>
      </c>
      <c r="CG147">
        <v>12.685679611650491</v>
      </c>
      <c r="CH147">
        <v>13.02639563106796</v>
      </c>
      <c r="CI147">
        <v>1.6481211768132831</v>
      </c>
      <c r="CJ147">
        <v>1.8572676958928049</v>
      </c>
      <c r="CK147">
        <v>9.641712787649287E-2</v>
      </c>
      <c r="CL147">
        <v>0.11302068161957469</v>
      </c>
    </row>
    <row r="148" spans="1:90" x14ac:dyDescent="0.45">
      <c r="A148" t="s">
        <v>695</v>
      </c>
      <c r="B148">
        <v>1651356000</v>
      </c>
      <c r="C148" t="s">
        <v>647</v>
      </c>
      <c r="D148" t="s">
        <v>65</v>
      </c>
      <c r="E148" t="s">
        <v>66</v>
      </c>
      <c r="F148" t="s">
        <v>67</v>
      </c>
      <c r="G148" t="s">
        <v>78</v>
      </c>
      <c r="H148" t="s">
        <v>133</v>
      </c>
      <c r="I148">
        <v>0.54</v>
      </c>
      <c r="J148">
        <v>0.54758624402805278</v>
      </c>
      <c r="K148">
        <v>0.27180208666494804</v>
      </c>
      <c r="L148">
        <v>0.18061166930699918</v>
      </c>
      <c r="M148">
        <v>17</v>
      </c>
      <c r="N148">
        <v>1.1299999999999999</v>
      </c>
      <c r="O148">
        <v>0.75</v>
      </c>
      <c r="P148">
        <v>1.24</v>
      </c>
      <c r="Q148">
        <v>0.71</v>
      </c>
      <c r="R148" t="s">
        <v>1352</v>
      </c>
      <c r="S148">
        <v>4</v>
      </c>
      <c r="T148">
        <v>0</v>
      </c>
      <c r="U148">
        <v>4</v>
      </c>
      <c r="V148">
        <v>2</v>
      </c>
      <c r="W148">
        <v>2</v>
      </c>
      <c r="X148">
        <v>0</v>
      </c>
      <c r="Y148" t="s">
        <v>648</v>
      </c>
      <c r="AA148">
        <v>7</v>
      </c>
      <c r="AB148">
        <v>1</v>
      </c>
      <c r="AC148">
        <v>1</v>
      </c>
      <c r="AD148">
        <v>0</v>
      </c>
      <c r="AE148">
        <v>3</v>
      </c>
      <c r="AF148">
        <v>2</v>
      </c>
      <c r="AG148">
        <v>1</v>
      </c>
      <c r="AH148">
        <v>0</v>
      </c>
      <c r="AI148">
        <v>3</v>
      </c>
      <c r="AJ148">
        <v>2</v>
      </c>
      <c r="AK148">
        <v>13</v>
      </c>
      <c r="AL148">
        <v>7</v>
      </c>
      <c r="AM148">
        <v>9</v>
      </c>
      <c r="AN148">
        <v>3</v>
      </c>
      <c r="AO148">
        <v>4</v>
      </c>
      <c r="AP148">
        <v>4</v>
      </c>
      <c r="AQ148">
        <v>14</v>
      </c>
      <c r="AR148">
        <v>10</v>
      </c>
      <c r="AS148">
        <v>63</v>
      </c>
      <c r="AT148">
        <v>37</v>
      </c>
      <c r="AU148">
        <v>1.72</v>
      </c>
      <c r="AV148">
        <v>0.78</v>
      </c>
      <c r="AW148">
        <v>1.97</v>
      </c>
      <c r="AX148">
        <v>28</v>
      </c>
      <c r="AY148">
        <v>56</v>
      </c>
      <c r="AZ148">
        <v>28</v>
      </c>
      <c r="BA148">
        <v>13</v>
      </c>
      <c r="BB148">
        <v>3</v>
      </c>
      <c r="BC148">
        <v>22</v>
      </c>
      <c r="BD148">
        <v>51</v>
      </c>
      <c r="BE148">
        <v>32</v>
      </c>
      <c r="BF148">
        <v>82</v>
      </c>
      <c r="BG148">
        <v>7.51</v>
      </c>
      <c r="BH148">
        <v>4.88</v>
      </c>
      <c r="BI148">
        <v>1.76</v>
      </c>
      <c r="BJ148">
        <v>3.42</v>
      </c>
      <c r="BK148">
        <v>4.97</v>
      </c>
      <c r="BL148">
        <v>2.0595574153765412E-2</v>
      </c>
      <c r="BM148">
        <v>1.47</v>
      </c>
      <c r="BN148">
        <v>2.48</v>
      </c>
      <c r="BO148">
        <v>4.75</v>
      </c>
      <c r="BP148">
        <v>9.3000000000000007</v>
      </c>
      <c r="BQ148">
        <v>2.2999999999999998</v>
      </c>
      <c r="BR148">
        <v>1.62</v>
      </c>
      <c r="BS148" t="s">
        <v>70</v>
      </c>
      <c r="BT148">
        <v>1.915666026436746</v>
      </c>
      <c r="BU148">
        <v>0.82283834599204153</v>
      </c>
      <c r="BV148">
        <v>2.6359702267612941</v>
      </c>
      <c r="BW148">
        <v>1.684957590444867</v>
      </c>
      <c r="BX148">
        <v>0.95101263631642718</v>
      </c>
      <c r="BY148">
        <v>0.72650164445213783</v>
      </c>
      <c r="BZ148">
        <v>0.42097974727367138</v>
      </c>
      <c r="CA148">
        <v>13.338806970509379</v>
      </c>
      <c r="CB148">
        <v>9.2530160857908843</v>
      </c>
      <c r="CC148">
        <v>5.9915081521739131</v>
      </c>
      <c r="CD148">
        <v>3.9772418478260869</v>
      </c>
      <c r="CE148">
        <v>7.3472988183354664</v>
      </c>
      <c r="CF148">
        <v>5.2757742379647974</v>
      </c>
      <c r="CG148">
        <v>12.59428182437032</v>
      </c>
      <c r="CH148">
        <v>13.577944179714089</v>
      </c>
      <c r="CI148">
        <v>1.4276913099870301</v>
      </c>
      <c r="CJ148">
        <v>1.940985732814527</v>
      </c>
      <c r="CK148">
        <v>8.0739299610894946E-2</v>
      </c>
      <c r="CL148">
        <v>0.12743190661478601</v>
      </c>
    </row>
    <row r="149" spans="1:90" x14ac:dyDescent="0.45">
      <c r="A149" t="s">
        <v>695</v>
      </c>
      <c r="B149">
        <v>1651363200</v>
      </c>
      <c r="C149" t="s">
        <v>649</v>
      </c>
      <c r="D149" t="s">
        <v>65</v>
      </c>
      <c r="E149" t="s">
        <v>66</v>
      </c>
      <c r="F149" t="s">
        <v>97</v>
      </c>
      <c r="G149" t="s">
        <v>107</v>
      </c>
      <c r="H149" t="s">
        <v>103</v>
      </c>
      <c r="I149">
        <v>0.36</v>
      </c>
      <c r="J149">
        <v>0.3577016204134848</v>
      </c>
      <c r="K149">
        <v>0.31206928664555783</v>
      </c>
      <c r="L149">
        <v>0.33022909294095737</v>
      </c>
      <c r="M149">
        <v>17</v>
      </c>
      <c r="N149">
        <v>1.53</v>
      </c>
      <c r="O149">
        <v>1.5</v>
      </c>
      <c r="P149">
        <v>1.55</v>
      </c>
      <c r="Q149">
        <v>1.48</v>
      </c>
      <c r="R149" t="s">
        <v>1348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0</v>
      </c>
      <c r="Y149">
        <v>54</v>
      </c>
      <c r="Z149" t="s">
        <v>650</v>
      </c>
      <c r="AA149">
        <v>3</v>
      </c>
      <c r="AB149">
        <v>2</v>
      </c>
      <c r="AC149">
        <v>3</v>
      </c>
      <c r="AD149">
        <v>0</v>
      </c>
      <c r="AE149">
        <v>2</v>
      </c>
      <c r="AF149">
        <v>0</v>
      </c>
      <c r="AG149">
        <v>1</v>
      </c>
      <c r="AH149">
        <v>2</v>
      </c>
      <c r="AI149">
        <v>1</v>
      </c>
      <c r="AJ149">
        <v>1</v>
      </c>
      <c r="AK149">
        <v>12</v>
      </c>
      <c r="AL149">
        <v>13</v>
      </c>
      <c r="AM149">
        <v>2</v>
      </c>
      <c r="AN149">
        <v>3</v>
      </c>
      <c r="AO149">
        <v>10</v>
      </c>
      <c r="AP149">
        <v>10</v>
      </c>
      <c r="AQ149">
        <v>15</v>
      </c>
      <c r="AR149">
        <v>8</v>
      </c>
      <c r="AS149">
        <v>46</v>
      </c>
      <c r="AT149">
        <v>54</v>
      </c>
      <c r="AU149">
        <v>1.1200000000000001</v>
      </c>
      <c r="AV149">
        <v>1.37</v>
      </c>
      <c r="AW149">
        <v>2.15</v>
      </c>
      <c r="AX149">
        <v>47</v>
      </c>
      <c r="AY149">
        <v>71</v>
      </c>
      <c r="AZ149">
        <v>41</v>
      </c>
      <c r="BA149">
        <v>9</v>
      </c>
      <c r="BB149">
        <v>3</v>
      </c>
      <c r="BC149">
        <v>28</v>
      </c>
      <c r="BD149">
        <v>57</v>
      </c>
      <c r="BE149">
        <v>38</v>
      </c>
      <c r="BF149">
        <v>84</v>
      </c>
      <c r="BG149">
        <v>8.43</v>
      </c>
      <c r="BH149">
        <v>4.75</v>
      </c>
      <c r="BI149">
        <v>2.6</v>
      </c>
      <c r="BJ149">
        <v>2.95</v>
      </c>
      <c r="BK149">
        <v>2.8</v>
      </c>
      <c r="BL149">
        <v>2.6913764201899799E-2</v>
      </c>
      <c r="BM149">
        <v>1.39</v>
      </c>
      <c r="BN149">
        <v>2.2000000000000002</v>
      </c>
      <c r="BO149">
        <v>4</v>
      </c>
      <c r="BP149">
        <v>7.95</v>
      </c>
      <c r="BQ149">
        <v>1.88</v>
      </c>
      <c r="BR149">
        <v>1.82</v>
      </c>
      <c r="BS149" t="s">
        <v>136</v>
      </c>
      <c r="BT149">
        <v>1.4023864615972674</v>
      </c>
      <c r="BU149">
        <v>1.3093265904245279</v>
      </c>
      <c r="BV149">
        <v>2.5110350525197691</v>
      </c>
      <c r="BW149">
        <v>1.269326094653606</v>
      </c>
      <c r="BX149">
        <v>1.2417089578661631</v>
      </c>
      <c r="BY149">
        <v>0.56586402266288949</v>
      </c>
      <c r="BZ149">
        <v>0.55158168083097259</v>
      </c>
      <c r="CA149">
        <v>11.49400826446281</v>
      </c>
      <c r="CB149">
        <v>10.507231404958681</v>
      </c>
      <c r="CC149">
        <v>4.9238790406673623</v>
      </c>
      <c r="CD149">
        <v>4.6296141814389991</v>
      </c>
      <c r="CE149">
        <v>6.5701292237954476</v>
      </c>
      <c r="CF149">
        <v>5.8776172235196817</v>
      </c>
      <c r="CG149">
        <v>12.798739495798319</v>
      </c>
      <c r="CH149">
        <v>12.98844537815126</v>
      </c>
      <c r="CI149">
        <v>1.604928297313674</v>
      </c>
      <c r="CJ149">
        <v>1.791961219955565</v>
      </c>
      <c r="CK149">
        <v>8.887093516461321E-2</v>
      </c>
      <c r="CL149">
        <v>0.11694607150070691</v>
      </c>
    </row>
    <row r="150" spans="1:90" x14ac:dyDescent="0.45">
      <c r="A150" t="s">
        <v>695</v>
      </c>
      <c r="B150">
        <v>1651363560</v>
      </c>
      <c r="C150" t="s">
        <v>651</v>
      </c>
      <c r="D150" t="s">
        <v>65</v>
      </c>
      <c r="E150" t="s">
        <v>66</v>
      </c>
      <c r="F150" t="s">
        <v>101</v>
      </c>
      <c r="G150" t="s">
        <v>106</v>
      </c>
      <c r="H150" t="s">
        <v>66</v>
      </c>
      <c r="I150">
        <v>0.64</v>
      </c>
      <c r="J150">
        <v>0.64314363143631437</v>
      </c>
      <c r="K150">
        <v>0.22037940379403798</v>
      </c>
      <c r="L150">
        <v>0.13647696476964771</v>
      </c>
      <c r="M150">
        <v>17</v>
      </c>
      <c r="N150">
        <v>1.76</v>
      </c>
      <c r="O150">
        <v>0.56000000000000005</v>
      </c>
      <c r="P150">
        <v>1.79</v>
      </c>
      <c r="Q150">
        <v>0.53</v>
      </c>
      <c r="R150" t="s">
        <v>1352</v>
      </c>
      <c r="S150">
        <v>2</v>
      </c>
      <c r="T150">
        <v>0</v>
      </c>
      <c r="U150">
        <v>2</v>
      </c>
      <c r="V150">
        <v>1</v>
      </c>
      <c r="W150">
        <v>1</v>
      </c>
      <c r="X150">
        <v>0</v>
      </c>
      <c r="Y150" t="s">
        <v>652</v>
      </c>
      <c r="AA150">
        <v>7</v>
      </c>
      <c r="AB150">
        <v>2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30</v>
      </c>
      <c r="AL150">
        <v>7</v>
      </c>
      <c r="AM150">
        <v>14</v>
      </c>
      <c r="AN150">
        <v>5</v>
      </c>
      <c r="AO150">
        <v>16</v>
      </c>
      <c r="AP150">
        <v>2</v>
      </c>
      <c r="AQ150">
        <v>7</v>
      </c>
      <c r="AR150">
        <v>7</v>
      </c>
      <c r="AS150">
        <v>56</v>
      </c>
      <c r="AT150">
        <v>44</v>
      </c>
      <c r="AU150">
        <v>3.35</v>
      </c>
      <c r="AV150">
        <v>0.96</v>
      </c>
      <c r="AW150">
        <v>2.23</v>
      </c>
      <c r="AX150">
        <v>40</v>
      </c>
      <c r="AY150">
        <v>77</v>
      </c>
      <c r="AZ150">
        <v>40</v>
      </c>
      <c r="BA150">
        <v>19</v>
      </c>
      <c r="BB150">
        <v>3</v>
      </c>
      <c r="BC150">
        <v>19</v>
      </c>
      <c r="BD150">
        <v>64</v>
      </c>
      <c r="BE150">
        <v>34</v>
      </c>
      <c r="BF150">
        <v>80</v>
      </c>
      <c r="BG150">
        <v>8.7899999999999991</v>
      </c>
      <c r="BH150">
        <v>5.4</v>
      </c>
      <c r="BI150">
        <v>1.5</v>
      </c>
      <c r="BJ150">
        <v>4.0999999999999996</v>
      </c>
      <c r="BK150">
        <v>6.25</v>
      </c>
      <c r="BL150">
        <v>2.3523035230352301E-2</v>
      </c>
      <c r="BM150">
        <v>1.27</v>
      </c>
      <c r="BN150">
        <v>1.83</v>
      </c>
      <c r="BO150">
        <v>3.03</v>
      </c>
      <c r="BP150">
        <v>5.65</v>
      </c>
      <c r="BQ150">
        <v>1.9</v>
      </c>
      <c r="BR150">
        <v>1.8</v>
      </c>
      <c r="BS150" t="s">
        <v>104</v>
      </c>
      <c r="BT150">
        <v>2.1745910991837163</v>
      </c>
      <c r="BU150">
        <v>0.59796358565236019</v>
      </c>
      <c r="BV150">
        <v>2.8343749999999996</v>
      </c>
      <c r="BW150">
        <v>1.980803571428571</v>
      </c>
      <c r="BX150">
        <v>0.85357142857142854</v>
      </c>
      <c r="BY150">
        <v>0.8683035714285714</v>
      </c>
      <c r="BZ150">
        <v>0.36607142857142849</v>
      </c>
      <c r="CA150">
        <v>15.03980099502488</v>
      </c>
      <c r="CB150">
        <v>8.6326699834162515</v>
      </c>
      <c r="CC150">
        <v>6.5189234650967203</v>
      </c>
      <c r="CD150">
        <v>3.4507989907485279</v>
      </c>
      <c r="CE150">
        <v>8.5208775299281605</v>
      </c>
      <c r="CF150">
        <v>5.181870992667724</v>
      </c>
      <c r="CG150">
        <v>12.48566610455312</v>
      </c>
      <c r="CH150">
        <v>13.573355817875211</v>
      </c>
      <c r="CI150">
        <v>1.395273023634882</v>
      </c>
      <c r="CJ150">
        <v>2.0586797066014668</v>
      </c>
      <c r="CK150">
        <v>6.8459657701711488E-2</v>
      </c>
      <c r="CL150">
        <v>0.12713936430317849</v>
      </c>
    </row>
    <row r="151" spans="1:90" x14ac:dyDescent="0.45">
      <c r="A151" t="s">
        <v>695</v>
      </c>
      <c r="B151">
        <v>1651370400</v>
      </c>
      <c r="C151" t="s">
        <v>653</v>
      </c>
      <c r="D151" t="s">
        <v>65</v>
      </c>
      <c r="E151" t="s">
        <v>66</v>
      </c>
      <c r="F151" t="s">
        <v>68</v>
      </c>
      <c r="G151" t="s">
        <v>112</v>
      </c>
      <c r="H151" t="s">
        <v>69</v>
      </c>
      <c r="I151">
        <v>0.57999999999999996</v>
      </c>
      <c r="J151">
        <v>0.5812890812890813</v>
      </c>
      <c r="K151">
        <v>0.25300625300625301</v>
      </c>
      <c r="L151">
        <v>0.16570466570466569</v>
      </c>
      <c r="M151">
        <v>17</v>
      </c>
      <c r="N151">
        <v>1.94</v>
      </c>
      <c r="O151">
        <v>1.44</v>
      </c>
      <c r="P151">
        <v>1.9</v>
      </c>
      <c r="Q151">
        <v>1.5</v>
      </c>
      <c r="R151" t="s">
        <v>1348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AA151">
        <v>5</v>
      </c>
      <c r="AB151">
        <v>2</v>
      </c>
      <c r="AC151">
        <v>4</v>
      </c>
      <c r="AD151">
        <v>0</v>
      </c>
      <c r="AE151">
        <v>2</v>
      </c>
      <c r="AF151">
        <v>0</v>
      </c>
      <c r="AG151">
        <v>3</v>
      </c>
      <c r="AH151">
        <v>1</v>
      </c>
      <c r="AI151">
        <v>2</v>
      </c>
      <c r="AJ151">
        <v>0</v>
      </c>
      <c r="AK151">
        <v>16</v>
      </c>
      <c r="AL151">
        <v>8</v>
      </c>
      <c r="AM151">
        <v>5</v>
      </c>
      <c r="AN151">
        <v>3</v>
      </c>
      <c r="AO151">
        <v>11</v>
      </c>
      <c r="AP151">
        <v>5</v>
      </c>
      <c r="AQ151">
        <v>10</v>
      </c>
      <c r="AR151">
        <v>11</v>
      </c>
      <c r="AS151">
        <v>64</v>
      </c>
      <c r="AT151">
        <v>36</v>
      </c>
      <c r="AU151">
        <v>1.81</v>
      </c>
      <c r="AV151">
        <v>0.92</v>
      </c>
      <c r="AW151">
        <v>2.37</v>
      </c>
      <c r="AX151">
        <v>49</v>
      </c>
      <c r="AY151">
        <v>73</v>
      </c>
      <c r="AZ151">
        <v>40</v>
      </c>
      <c r="BA151">
        <v>22</v>
      </c>
      <c r="BB151">
        <v>10</v>
      </c>
      <c r="BC151">
        <v>31</v>
      </c>
      <c r="BD151">
        <v>70</v>
      </c>
      <c r="BE151">
        <v>30</v>
      </c>
      <c r="BF151">
        <v>69</v>
      </c>
      <c r="BG151">
        <v>8.9700000000000006</v>
      </c>
      <c r="BH151">
        <v>4.95</v>
      </c>
      <c r="BI151">
        <v>1.65</v>
      </c>
      <c r="BJ151">
        <v>3.6</v>
      </c>
      <c r="BK151">
        <v>5.25</v>
      </c>
      <c r="BL151">
        <v>2.4771524771524778E-2</v>
      </c>
      <c r="BM151">
        <v>1.35</v>
      </c>
      <c r="BN151">
        <v>2.09</v>
      </c>
      <c r="BO151">
        <v>3.67</v>
      </c>
      <c r="BP151">
        <v>7.1</v>
      </c>
      <c r="BQ151">
        <v>2</v>
      </c>
      <c r="BR151">
        <v>1.77</v>
      </c>
      <c r="BS151" t="s">
        <v>116</v>
      </c>
      <c r="BT151">
        <v>2.0230889143600308</v>
      </c>
      <c r="BU151">
        <v>0.72731480520165426</v>
      </c>
      <c r="BV151">
        <v>2.6362999299229148</v>
      </c>
      <c r="BW151">
        <v>1.7619715019855171</v>
      </c>
      <c r="BX151">
        <v>0.87432842793739785</v>
      </c>
      <c r="BY151">
        <v>0.78411214953271025</v>
      </c>
      <c r="BZ151">
        <v>0.38060747663551397</v>
      </c>
      <c r="CA151">
        <v>14.215499378367181</v>
      </c>
      <c r="CB151">
        <v>8.9523612261806136</v>
      </c>
      <c r="CC151">
        <v>6.3083121289228163</v>
      </c>
      <c r="CD151">
        <v>3.7757524374735061</v>
      </c>
      <c r="CE151">
        <v>7.9071872494443642</v>
      </c>
      <c r="CF151">
        <v>5.1766087887071075</v>
      </c>
      <c r="CG151">
        <v>12.634239592183521</v>
      </c>
      <c r="CH151">
        <v>13.597706032285471</v>
      </c>
      <c r="CI151">
        <v>1.365400161681487</v>
      </c>
      <c r="CJ151">
        <v>1.963621665319321</v>
      </c>
      <c r="CK151">
        <v>7.1544058205335492E-2</v>
      </c>
      <c r="CL151">
        <v>0.1216653193209378</v>
      </c>
    </row>
    <row r="152" spans="1:90" x14ac:dyDescent="0.45">
      <c r="A152" t="s">
        <v>695</v>
      </c>
      <c r="B152">
        <v>1651424400</v>
      </c>
      <c r="C152" t="s">
        <v>654</v>
      </c>
      <c r="D152" t="s">
        <v>65</v>
      </c>
      <c r="E152" t="s">
        <v>66</v>
      </c>
      <c r="F152" t="s">
        <v>96</v>
      </c>
      <c r="G152" t="s">
        <v>84</v>
      </c>
      <c r="H152" t="s">
        <v>130</v>
      </c>
      <c r="I152">
        <v>0.36</v>
      </c>
      <c r="J152">
        <v>0.3574778010575676</v>
      </c>
      <c r="K152">
        <v>0.28055472413449073</v>
      </c>
      <c r="L152">
        <v>0.36196747480794178</v>
      </c>
      <c r="M152">
        <v>17</v>
      </c>
      <c r="N152">
        <v>1.5</v>
      </c>
      <c r="O152">
        <v>1.56</v>
      </c>
      <c r="P152">
        <v>1.58</v>
      </c>
      <c r="Q152">
        <v>1.42</v>
      </c>
      <c r="R152" t="s">
        <v>1352</v>
      </c>
      <c r="S152">
        <v>2</v>
      </c>
      <c r="T152">
        <v>0</v>
      </c>
      <c r="U152">
        <v>2</v>
      </c>
      <c r="V152">
        <v>0</v>
      </c>
      <c r="W152">
        <v>0</v>
      </c>
      <c r="X152">
        <v>0</v>
      </c>
      <c r="Y152" t="s">
        <v>655</v>
      </c>
      <c r="AA152">
        <v>6</v>
      </c>
      <c r="AB152">
        <v>6</v>
      </c>
      <c r="AC152">
        <v>3</v>
      </c>
      <c r="AD152">
        <v>0</v>
      </c>
      <c r="AE152">
        <v>2</v>
      </c>
      <c r="AF152">
        <v>0</v>
      </c>
      <c r="AG152">
        <v>2</v>
      </c>
      <c r="AH152">
        <v>1</v>
      </c>
      <c r="AI152">
        <v>0</v>
      </c>
      <c r="AJ152">
        <v>2</v>
      </c>
      <c r="AK152">
        <v>14</v>
      </c>
      <c r="AL152">
        <v>12</v>
      </c>
      <c r="AM152">
        <v>7</v>
      </c>
      <c r="AN152">
        <v>3</v>
      </c>
      <c r="AO152">
        <v>7</v>
      </c>
      <c r="AP152">
        <v>9</v>
      </c>
      <c r="AQ152">
        <v>9</v>
      </c>
      <c r="AR152">
        <v>11</v>
      </c>
      <c r="AS152">
        <v>44</v>
      </c>
      <c r="AT152">
        <v>56</v>
      </c>
      <c r="AU152">
        <v>1.55</v>
      </c>
      <c r="AV152">
        <v>1.32</v>
      </c>
      <c r="AW152">
        <v>2.61</v>
      </c>
      <c r="AX152">
        <v>51</v>
      </c>
      <c r="AY152">
        <v>75</v>
      </c>
      <c r="AZ152">
        <v>57</v>
      </c>
      <c r="BA152">
        <v>30</v>
      </c>
      <c r="BB152">
        <v>9</v>
      </c>
      <c r="BC152">
        <v>36</v>
      </c>
      <c r="BD152">
        <v>66</v>
      </c>
      <c r="BE152">
        <v>47</v>
      </c>
      <c r="BF152">
        <v>81</v>
      </c>
      <c r="BG152">
        <v>10.66</v>
      </c>
      <c r="BH152">
        <v>4.55</v>
      </c>
      <c r="BI152">
        <v>2.6</v>
      </c>
      <c r="BJ152">
        <v>3.25</v>
      </c>
      <c r="BK152">
        <v>2.57</v>
      </c>
      <c r="BL152">
        <v>2.7137583557816997E-2</v>
      </c>
      <c r="BM152">
        <v>1.3</v>
      </c>
      <c r="BN152">
        <v>1.98</v>
      </c>
      <c r="BO152">
        <v>3.27</v>
      </c>
      <c r="BP152">
        <v>6.25</v>
      </c>
      <c r="BQ152">
        <v>1.7</v>
      </c>
      <c r="BR152">
        <v>2.0299999999999998</v>
      </c>
      <c r="BS152" t="s">
        <v>99</v>
      </c>
      <c r="BT152">
        <v>1.4023864615972674</v>
      </c>
      <c r="BU152">
        <v>1.3093265904245279</v>
      </c>
      <c r="BV152">
        <v>2.5110350525197691</v>
      </c>
      <c r="BW152">
        <v>1.269326094653606</v>
      </c>
      <c r="BX152">
        <v>1.2417089578661631</v>
      </c>
      <c r="BY152">
        <v>0.56586402266288949</v>
      </c>
      <c r="BZ152">
        <v>0.55158168083097259</v>
      </c>
      <c r="CA152">
        <v>11.49400826446281</v>
      </c>
      <c r="CB152">
        <v>10.507231404958681</v>
      </c>
      <c r="CC152">
        <v>4.9238790406673623</v>
      </c>
      <c r="CD152">
        <v>4.6296141814389991</v>
      </c>
      <c r="CE152">
        <v>6.5701292237954476</v>
      </c>
      <c r="CF152">
        <v>5.8776172235196817</v>
      </c>
      <c r="CG152">
        <v>12.798739495798319</v>
      </c>
      <c r="CH152">
        <v>12.98844537815126</v>
      </c>
      <c r="CI152">
        <v>1.604928297313674</v>
      </c>
      <c r="CJ152">
        <v>1.791961219955565</v>
      </c>
      <c r="CK152">
        <v>8.887093516461321E-2</v>
      </c>
      <c r="CL152">
        <v>0.11694607150070691</v>
      </c>
    </row>
    <row r="153" spans="1:90" x14ac:dyDescent="0.45">
      <c r="A153" t="s">
        <v>695</v>
      </c>
      <c r="B153">
        <v>1651438800</v>
      </c>
      <c r="C153" t="s">
        <v>656</v>
      </c>
      <c r="D153" t="s">
        <v>65</v>
      </c>
      <c r="E153" t="s">
        <v>66</v>
      </c>
      <c r="F153" t="s">
        <v>91</v>
      </c>
      <c r="G153" t="s">
        <v>73</v>
      </c>
      <c r="H153" t="s">
        <v>66</v>
      </c>
      <c r="I153">
        <v>0.38</v>
      </c>
      <c r="J153">
        <v>0.37551405395208454</v>
      </c>
      <c r="K153">
        <v>0.29809469911337483</v>
      </c>
      <c r="L153">
        <v>0.32639124693454064</v>
      </c>
      <c r="M153">
        <v>17</v>
      </c>
      <c r="N153">
        <v>1.19</v>
      </c>
      <c r="O153">
        <v>1</v>
      </c>
      <c r="P153">
        <v>1.1100000000000001</v>
      </c>
      <c r="Q153">
        <v>1.1100000000000001</v>
      </c>
      <c r="R153" t="s">
        <v>1351</v>
      </c>
      <c r="S153">
        <v>1</v>
      </c>
      <c r="T153">
        <v>3</v>
      </c>
      <c r="U153">
        <v>4</v>
      </c>
      <c r="V153">
        <v>0</v>
      </c>
      <c r="W153">
        <v>0</v>
      </c>
      <c r="X153">
        <v>0</v>
      </c>
      <c r="Y153">
        <v>48</v>
      </c>
      <c r="Z153" t="s">
        <v>657</v>
      </c>
      <c r="AA153">
        <v>1</v>
      </c>
      <c r="AB153">
        <v>3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21</v>
      </c>
      <c r="AL153">
        <v>14</v>
      </c>
      <c r="AM153">
        <v>10</v>
      </c>
      <c r="AN153">
        <v>9</v>
      </c>
      <c r="AO153">
        <v>11</v>
      </c>
      <c r="AP153">
        <v>5</v>
      </c>
      <c r="AQ153">
        <v>13</v>
      </c>
      <c r="AR153">
        <v>10</v>
      </c>
      <c r="AS153">
        <v>63</v>
      </c>
      <c r="AT153">
        <v>37</v>
      </c>
      <c r="AU153">
        <v>2.34</v>
      </c>
      <c r="AV153">
        <v>1.89</v>
      </c>
      <c r="AW153">
        <v>2.4300000000000002</v>
      </c>
      <c r="AX153">
        <v>49</v>
      </c>
      <c r="AY153">
        <v>70</v>
      </c>
      <c r="AZ153">
        <v>42</v>
      </c>
      <c r="BA153">
        <v>19</v>
      </c>
      <c r="BB153">
        <v>10</v>
      </c>
      <c r="BC153">
        <v>22</v>
      </c>
      <c r="BD153">
        <v>64</v>
      </c>
      <c r="BE153">
        <v>39</v>
      </c>
      <c r="BF153">
        <v>88</v>
      </c>
      <c r="BG153">
        <v>10.85</v>
      </c>
      <c r="BH153">
        <v>5.44</v>
      </c>
      <c r="BI153">
        <v>2.5</v>
      </c>
      <c r="BJ153">
        <v>3.1</v>
      </c>
      <c r="BK153">
        <v>2.85</v>
      </c>
      <c r="BL153">
        <v>2.4485946047915503E-2</v>
      </c>
      <c r="BM153">
        <v>1.35</v>
      </c>
      <c r="BN153">
        <v>2.06</v>
      </c>
      <c r="BO153">
        <v>3.68</v>
      </c>
      <c r="BP153">
        <v>7.2</v>
      </c>
      <c r="BQ153">
        <v>1.81</v>
      </c>
      <c r="BR153">
        <v>1.89</v>
      </c>
      <c r="BS153" t="s">
        <v>144</v>
      </c>
      <c r="BT153">
        <v>1.464160929441638</v>
      </c>
      <c r="BU153">
        <v>1.2477119808919459</v>
      </c>
      <c r="BV153">
        <v>2.4900895140664963</v>
      </c>
      <c r="BW153">
        <v>1.330562659846547</v>
      </c>
      <c r="BX153">
        <v>1.1595268542199491</v>
      </c>
      <c r="BY153">
        <v>0.59053607588191415</v>
      </c>
      <c r="BZ153">
        <v>0.50069274219332838</v>
      </c>
      <c r="CA153">
        <v>11.79715236686391</v>
      </c>
      <c r="CB153">
        <v>10.317122781065089</v>
      </c>
      <c r="CC153">
        <v>5.0637025966747622</v>
      </c>
      <c r="CD153">
        <v>4.4674014571268454</v>
      </c>
      <c r="CE153">
        <v>6.7334497701891483</v>
      </c>
      <c r="CF153">
        <v>5.849721323938244</v>
      </c>
      <c r="CG153">
        <v>12.89644194756554</v>
      </c>
      <c r="CH153">
        <v>13.3434456928839</v>
      </c>
      <c r="CI153">
        <v>1.6144382124117971</v>
      </c>
      <c r="CJ153">
        <v>1.9032024606477289</v>
      </c>
      <c r="CK153">
        <v>9.372172969060974E-2</v>
      </c>
      <c r="CL153">
        <v>0.11669983716301791</v>
      </c>
    </row>
    <row r="154" spans="1:90" x14ac:dyDescent="0.45">
      <c r="A154" t="s">
        <v>695</v>
      </c>
      <c r="B154">
        <v>1651453560</v>
      </c>
      <c r="C154" t="s">
        <v>658</v>
      </c>
      <c r="D154" t="s">
        <v>65</v>
      </c>
      <c r="E154" t="s">
        <v>66</v>
      </c>
      <c r="F154" t="s">
        <v>85</v>
      </c>
      <c r="G154" t="s">
        <v>79</v>
      </c>
      <c r="H154" t="s">
        <v>98</v>
      </c>
      <c r="I154">
        <v>0.6</v>
      </c>
      <c r="J154">
        <v>0.60987088449268134</v>
      </c>
      <c r="K154">
        <v>0.22086193111200839</v>
      </c>
      <c r="L154">
        <v>0.16926718439531041</v>
      </c>
      <c r="M154">
        <v>17</v>
      </c>
      <c r="N154">
        <v>1.58</v>
      </c>
      <c r="O154">
        <v>1.31</v>
      </c>
      <c r="P154">
        <v>1.55</v>
      </c>
      <c r="Q154">
        <v>1.29</v>
      </c>
      <c r="R154" t="s">
        <v>1348</v>
      </c>
      <c r="S154">
        <v>4</v>
      </c>
      <c r="T154">
        <v>4</v>
      </c>
      <c r="U154">
        <v>8</v>
      </c>
      <c r="V154">
        <v>6</v>
      </c>
      <c r="W154">
        <v>3</v>
      </c>
      <c r="X154">
        <v>3</v>
      </c>
      <c r="Y154" t="s">
        <v>659</v>
      </c>
      <c r="Z154" t="s">
        <v>660</v>
      </c>
      <c r="AA154">
        <v>6</v>
      </c>
      <c r="AB154">
        <v>6</v>
      </c>
      <c r="AC154">
        <v>0</v>
      </c>
      <c r="AD154">
        <v>0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25</v>
      </c>
      <c r="AL154">
        <v>13</v>
      </c>
      <c r="AM154">
        <v>11</v>
      </c>
      <c r="AN154">
        <v>6</v>
      </c>
      <c r="AO154">
        <v>14</v>
      </c>
      <c r="AP154">
        <v>7</v>
      </c>
      <c r="AQ154">
        <v>11</v>
      </c>
      <c r="AR154">
        <v>20</v>
      </c>
      <c r="AS154">
        <v>63</v>
      </c>
      <c r="AT154">
        <v>37</v>
      </c>
      <c r="AU154">
        <v>2.76</v>
      </c>
      <c r="AV154">
        <v>1.46</v>
      </c>
      <c r="AW154">
        <v>2.36</v>
      </c>
      <c r="AX154">
        <v>42</v>
      </c>
      <c r="AY154">
        <v>75</v>
      </c>
      <c r="AZ154">
        <v>49</v>
      </c>
      <c r="BA154">
        <v>15</v>
      </c>
      <c r="BB154">
        <v>6</v>
      </c>
      <c r="BC154">
        <v>26</v>
      </c>
      <c r="BD154">
        <v>83</v>
      </c>
      <c r="BE154">
        <v>32</v>
      </c>
      <c r="BF154">
        <v>75</v>
      </c>
      <c r="BG154">
        <v>8.5500000000000007</v>
      </c>
      <c r="BH154">
        <v>5.0599999999999996</v>
      </c>
      <c r="BI154">
        <v>1.58</v>
      </c>
      <c r="BJ154">
        <v>4.0999999999999996</v>
      </c>
      <c r="BK154">
        <v>5.2</v>
      </c>
      <c r="BL154">
        <v>2.304050791238188E-2</v>
      </c>
      <c r="BM154">
        <v>1.22</v>
      </c>
      <c r="BN154">
        <v>1.71</v>
      </c>
      <c r="BO154">
        <v>2.85</v>
      </c>
      <c r="BP154">
        <v>4.75</v>
      </c>
      <c r="BQ154">
        <v>1.8</v>
      </c>
      <c r="BR154">
        <v>1.95</v>
      </c>
      <c r="BS154" t="s">
        <v>128</v>
      </c>
      <c r="BT154">
        <v>2.0749792289385525</v>
      </c>
      <c r="BU154">
        <v>0.68220664089703831</v>
      </c>
      <c r="BV154">
        <v>2.7310090702947849</v>
      </c>
      <c r="BW154">
        <v>1.841836734693878</v>
      </c>
      <c r="BX154">
        <v>0.88917233560090703</v>
      </c>
      <c r="BY154">
        <v>0.804822695035461</v>
      </c>
      <c r="BZ154">
        <v>0.38099290780141842</v>
      </c>
      <c r="CA154">
        <v>14.25174825174825</v>
      </c>
      <c r="CB154">
        <v>8.8316683316683324</v>
      </c>
      <c r="CC154">
        <v>6.2901265822784813</v>
      </c>
      <c r="CD154">
        <v>3.6162025316455702</v>
      </c>
      <c r="CE154">
        <v>7.9616216694697686</v>
      </c>
      <c r="CF154">
        <v>5.2154658000227627</v>
      </c>
      <c r="CG154">
        <v>12.444895886236671</v>
      </c>
      <c r="CH154">
        <v>13.620619603859829</v>
      </c>
      <c r="CI154">
        <v>1.406084017382907</v>
      </c>
      <c r="CJ154">
        <v>2.070980202800579</v>
      </c>
      <c r="CK154">
        <v>6.1323032351521013E-2</v>
      </c>
      <c r="CL154">
        <v>0.1313375181071946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9"/>
  <sheetViews>
    <sheetView workbookViewId="0">
      <pane xSplit="1" topLeftCell="B1" activePane="topRight" state="frozen"/>
      <selection pane="topRight"/>
    </sheetView>
  </sheetViews>
  <sheetFormatPr defaultRowHeight="14.25" x14ac:dyDescent="0.45"/>
  <cols>
    <col min="1" max="1" width="13.6640625" bestFit="1" customWidth="1"/>
    <col min="2" max="2" width="13.6640625" customWidth="1"/>
    <col min="3" max="3" width="8.33203125" bestFit="1" customWidth="1"/>
    <col min="4" max="43" width="6.59765625" customWidth="1"/>
  </cols>
  <sheetData>
    <row r="1" spans="1:43" x14ac:dyDescent="0.45">
      <c r="A1" s="9" t="s">
        <v>1357</v>
      </c>
      <c r="B1" s="9" t="s">
        <v>1385</v>
      </c>
      <c r="C1" s="10" t="s">
        <v>1356</v>
      </c>
      <c r="D1" s="12" t="s">
        <v>1355</v>
      </c>
      <c r="E1" s="14" t="s">
        <v>1379</v>
      </c>
      <c r="F1" s="10" t="s">
        <v>1353</v>
      </c>
      <c r="G1" s="10" t="s">
        <v>1348</v>
      </c>
      <c r="H1" s="10" t="s">
        <v>1351</v>
      </c>
      <c r="I1" s="21" t="s">
        <v>1370</v>
      </c>
      <c r="J1" s="21" t="s">
        <v>1333</v>
      </c>
      <c r="K1" s="21" t="s">
        <v>1334</v>
      </c>
      <c r="L1" s="17" t="s">
        <v>1380</v>
      </c>
      <c r="M1" s="17" t="s">
        <v>1381</v>
      </c>
      <c r="N1" s="12" t="s">
        <v>1349</v>
      </c>
      <c r="O1" s="12" t="s">
        <v>1350</v>
      </c>
      <c r="P1" s="14" t="s">
        <v>1377</v>
      </c>
      <c r="Q1" s="14" t="s">
        <v>1378</v>
      </c>
      <c r="R1" s="10" t="s">
        <v>1354</v>
      </c>
      <c r="S1" s="10" t="s">
        <v>1358</v>
      </c>
      <c r="T1" s="10" t="s">
        <v>1359</v>
      </c>
      <c r="U1" s="10" t="s">
        <v>1360</v>
      </c>
      <c r="V1" s="21" t="s">
        <v>1386</v>
      </c>
      <c r="W1" s="21" t="s">
        <v>1387</v>
      </c>
      <c r="X1" s="21" t="s">
        <v>1388</v>
      </c>
      <c r="Y1" s="12" t="s">
        <v>1361</v>
      </c>
      <c r="Z1" s="12" t="s">
        <v>1362</v>
      </c>
      <c r="AA1" s="12" t="s">
        <v>1363</v>
      </c>
      <c r="AB1" s="14" t="s">
        <v>1371</v>
      </c>
      <c r="AC1" s="14" t="s">
        <v>1372</v>
      </c>
      <c r="AD1" s="14" t="s">
        <v>1373</v>
      </c>
      <c r="AE1" s="10" t="s">
        <v>1364</v>
      </c>
      <c r="AF1" s="10" t="s">
        <v>1365</v>
      </c>
      <c r="AG1" s="10" t="s">
        <v>1366</v>
      </c>
      <c r="AH1" s="10" t="s">
        <v>1366</v>
      </c>
      <c r="AI1" s="21"/>
      <c r="AJ1" s="21"/>
      <c r="AK1" s="21"/>
      <c r="AL1" s="12" t="s">
        <v>1367</v>
      </c>
      <c r="AM1" s="12" t="s">
        <v>1368</v>
      </c>
      <c r="AN1" s="12" t="s">
        <v>1369</v>
      </c>
      <c r="AO1" s="14" t="s">
        <v>1374</v>
      </c>
      <c r="AP1" s="14" t="s">
        <v>1375</v>
      </c>
      <c r="AQ1" s="14" t="s">
        <v>1376</v>
      </c>
    </row>
    <row r="2" spans="1:43" x14ac:dyDescent="0.45">
      <c r="A2" s="9" t="s">
        <v>84</v>
      </c>
      <c r="B2" s="9"/>
      <c r="C2" s="11">
        <f t="shared" ref="C2:C19" si="0">R2+AE2</f>
        <v>38</v>
      </c>
      <c r="D2" s="13">
        <f t="shared" ref="D2:D19" si="1">N2-O2</f>
        <v>15</v>
      </c>
      <c r="E2" s="15">
        <f>P2-Q2</f>
        <v>4.0825491965607732</v>
      </c>
      <c r="F2" s="11">
        <f t="shared" ref="F2:F19" si="2">S2+AF2</f>
        <v>12</v>
      </c>
      <c r="G2" s="11">
        <f t="shared" ref="G2:G19" si="3">T2+AG2</f>
        <v>2</v>
      </c>
      <c r="H2" s="11">
        <f t="shared" ref="H2:H19" si="4">U2+AH2</f>
        <v>3</v>
      </c>
      <c r="I2" s="22"/>
      <c r="J2" s="22"/>
      <c r="K2" s="22"/>
      <c r="L2" s="18">
        <f>N2-P2</f>
        <v>6.1500711853987085</v>
      </c>
      <c r="M2" s="18">
        <f>-(O2-Q2)</f>
        <v>4.7673796180405184</v>
      </c>
      <c r="N2" s="13">
        <f t="shared" ref="N2:N19" si="5">AM2+Z2</f>
        <v>30</v>
      </c>
      <c r="O2" s="13">
        <f t="shared" ref="O2:O19" si="6">AA2+AN2</f>
        <v>15</v>
      </c>
      <c r="P2" s="15">
        <f>AC2+AP2</f>
        <v>23.849928814601292</v>
      </c>
      <c r="Q2" s="15">
        <f>AD2+AQ2</f>
        <v>19.767379618040518</v>
      </c>
      <c r="R2" s="11">
        <f t="shared" ref="R2:R19" si="7">S2*3+T2*1</f>
        <v>20</v>
      </c>
      <c r="S2" s="11">
        <f>COUNTIFS(Table2[home_team_name],A2,Table2[Result],"H")</f>
        <v>6</v>
      </c>
      <c r="T2" s="11">
        <f>COUNTIFS(Table2[home_team_name],A2,Table2[Result],"D")</f>
        <v>2</v>
      </c>
      <c r="U2" s="11">
        <f>COUNTIFS(Table2[home_team_name],A2,Table2[Result],"A")</f>
        <v>0</v>
      </c>
      <c r="V2" s="22"/>
      <c r="W2" s="22"/>
      <c r="X2" s="22"/>
      <c r="Y2" s="13">
        <f t="shared" ref="Y2:Y19" si="8">Z2-AA2</f>
        <v>9</v>
      </c>
      <c r="Z2" s="13">
        <f>SUMIF(Table2[home_team_name],A2,Table2[home_team_goal_count])</f>
        <v>14</v>
      </c>
      <c r="AA2" s="13">
        <f>SUMIF(Table2[home_team_name],A2,Table2[away_team_goal_count])</f>
        <v>5</v>
      </c>
      <c r="AB2" s="15">
        <f>AC2-AD2</f>
        <v>4.8983712268121247</v>
      </c>
      <c r="AC2" s="15">
        <f>SUMIF(Table2[home_team_name],A2,Table2[xHG])</f>
        <v>12.811262200728937</v>
      </c>
      <c r="AD2" s="15">
        <f>SUMIF(Table2[home_team_name],A2,Table2[xAG])</f>
        <v>7.9128909739168121</v>
      </c>
      <c r="AE2" s="11">
        <f t="shared" ref="AE2:AE19" si="9">AF2*3+AG2*1</f>
        <v>18</v>
      </c>
      <c r="AF2" s="11">
        <f>COUNTIFS(Table2[away_team_name],A2,Table2[Result],"A")</f>
        <v>6</v>
      </c>
      <c r="AG2" s="11">
        <f>COUNTIFS(Table2[away_team_name],A2,Table2[Result],"D")</f>
        <v>0</v>
      </c>
      <c r="AH2" s="11">
        <f>COUNTIFS(Table2[away_team_name],A2,Table2[Result],"H")</f>
        <v>3</v>
      </c>
      <c r="AI2" s="22"/>
      <c r="AJ2" s="22"/>
      <c r="AK2" s="22"/>
      <c r="AL2" s="13">
        <f t="shared" ref="AL2:AL19" si="10">AM2-AN2</f>
        <v>6</v>
      </c>
      <c r="AM2" s="13">
        <f>SUMIF(Table2[away_team_name],A2,Table2[away_team_goal_count])</f>
        <v>16</v>
      </c>
      <c r="AN2" s="13">
        <f>SUMIF(Table2[away_team_name],A2,Table2[home_team_goal_count])</f>
        <v>10</v>
      </c>
      <c r="AO2" s="16">
        <f>AP2-AQ2</f>
        <v>-0.81582203025135414</v>
      </c>
      <c r="AP2" s="16">
        <f>SUMIF(Table2[away_team_name],A2,Table2[xAG])</f>
        <v>11.038666613872353</v>
      </c>
      <c r="AQ2" s="16">
        <f>SUMIF(Table2[away_team_name],A2,Table2[xHG])</f>
        <v>11.854488644123707</v>
      </c>
    </row>
    <row r="3" spans="1:43" x14ac:dyDescent="0.45">
      <c r="A3" s="9" t="s">
        <v>107</v>
      </c>
      <c r="B3" s="9"/>
      <c r="C3" s="11">
        <f t="shared" si="0"/>
        <v>33</v>
      </c>
      <c r="D3" s="13">
        <f t="shared" si="1"/>
        <v>10</v>
      </c>
      <c r="E3" s="15">
        <f t="shared" ref="E3:E19" si="11">P3-Q3</f>
        <v>7.0696719143114422</v>
      </c>
      <c r="F3" s="11">
        <f t="shared" si="2"/>
        <v>10</v>
      </c>
      <c r="G3" s="11">
        <f t="shared" si="3"/>
        <v>3</v>
      </c>
      <c r="H3" s="11">
        <f t="shared" si="4"/>
        <v>4</v>
      </c>
      <c r="I3" s="22"/>
      <c r="J3" s="22"/>
      <c r="K3" s="22"/>
      <c r="L3" s="18">
        <f t="shared" ref="L3:L19" si="12">N3-P3</f>
        <v>4.3043868163719452</v>
      </c>
      <c r="M3" s="18">
        <f t="shared" ref="M3:M19" si="13">-(O3-Q3)</f>
        <v>-1.3740587306833874</v>
      </c>
      <c r="N3" s="13">
        <f t="shared" si="5"/>
        <v>30</v>
      </c>
      <c r="O3" s="13">
        <f t="shared" si="6"/>
        <v>20</v>
      </c>
      <c r="P3" s="15">
        <f t="shared" ref="P3:P19" si="14">AC3+AP3</f>
        <v>25.695613183628055</v>
      </c>
      <c r="Q3" s="15">
        <f t="shared" ref="Q3:Q19" si="15">AD3+AQ3</f>
        <v>18.625941269316613</v>
      </c>
      <c r="R3" s="11">
        <f t="shared" si="7"/>
        <v>16</v>
      </c>
      <c r="S3" s="11">
        <f>COUNTIFS(Table2[home_team_name],A3,Table2[Result],"H")</f>
        <v>5</v>
      </c>
      <c r="T3" s="11">
        <f>COUNTIFS(Table2[home_team_name],A3,Table2[Result],"D")</f>
        <v>1</v>
      </c>
      <c r="U3" s="11">
        <f>COUNTIFS(Table2[home_team_name],A3,Table2[Result],"A")</f>
        <v>2</v>
      </c>
      <c r="V3" s="22"/>
      <c r="W3" s="22"/>
      <c r="X3" s="22"/>
      <c r="Y3" s="13">
        <f t="shared" si="8"/>
        <v>5</v>
      </c>
      <c r="Z3" s="13">
        <f>SUMIF(Table2[home_team_name],A3,Table2[home_team_goal_count])</f>
        <v>15</v>
      </c>
      <c r="AA3" s="13">
        <f>SUMIF(Table2[home_team_name],A3,Table2[away_team_goal_count])</f>
        <v>10</v>
      </c>
      <c r="AB3" s="15">
        <f t="shared" ref="AB3:AB19" si="16">AC3-AD3</f>
        <v>6.652926590649292</v>
      </c>
      <c r="AC3" s="15">
        <f>SUMIF(Table2[home_team_name],A3,Table2[xHG])</f>
        <v>14.08309187121268</v>
      </c>
      <c r="AD3" s="15">
        <f>SUMIF(Table2[home_team_name],A3,Table2[xAG])</f>
        <v>7.4301652805633882</v>
      </c>
      <c r="AE3" s="11">
        <f t="shared" si="9"/>
        <v>17</v>
      </c>
      <c r="AF3" s="11">
        <f>COUNTIFS(Table2[away_team_name],A3,Table2[Result],"A")</f>
        <v>5</v>
      </c>
      <c r="AG3" s="11">
        <f>COUNTIFS(Table2[away_team_name],A3,Table2[Result],"D")</f>
        <v>2</v>
      </c>
      <c r="AH3" s="11">
        <f>COUNTIFS(Table2[away_team_name],A3,Table2[Result],"H")</f>
        <v>2</v>
      </c>
      <c r="AI3" s="22"/>
      <c r="AJ3" s="22"/>
      <c r="AK3" s="22"/>
      <c r="AL3" s="13">
        <f t="shared" si="10"/>
        <v>5</v>
      </c>
      <c r="AM3" s="13">
        <f>SUMIF(Table2[away_team_name],A3,Table2[away_team_goal_count])</f>
        <v>15</v>
      </c>
      <c r="AN3" s="13">
        <f>SUMIF(Table2[away_team_name],A3,Table2[home_team_goal_count])</f>
        <v>10</v>
      </c>
      <c r="AO3" s="16">
        <f t="shared" ref="AO3:AO19" si="17">AP3-AQ3</f>
        <v>0.41674532366215189</v>
      </c>
      <c r="AP3" s="16">
        <f>SUMIF(Table2[away_team_name],A3,Table2[xAG])</f>
        <v>11.612521312415376</v>
      </c>
      <c r="AQ3" s="16">
        <f>SUMIF(Table2[away_team_name],A3,Table2[xHG])</f>
        <v>11.195775988753224</v>
      </c>
    </row>
    <row r="4" spans="1:43" x14ac:dyDescent="0.45">
      <c r="A4" s="9" t="s">
        <v>97</v>
      </c>
      <c r="B4" s="9"/>
      <c r="C4" s="11">
        <f t="shared" si="0"/>
        <v>27</v>
      </c>
      <c r="D4" s="13">
        <f t="shared" si="1"/>
        <v>6</v>
      </c>
      <c r="E4" s="15">
        <f t="shared" si="11"/>
        <v>3.4215596851091625</v>
      </c>
      <c r="F4" s="11">
        <f t="shared" si="2"/>
        <v>7</v>
      </c>
      <c r="G4" s="11">
        <f t="shared" si="3"/>
        <v>6</v>
      </c>
      <c r="H4" s="11">
        <f t="shared" si="4"/>
        <v>4</v>
      </c>
      <c r="I4" s="22"/>
      <c r="J4" s="22"/>
      <c r="K4" s="22"/>
      <c r="L4" s="18">
        <f t="shared" si="12"/>
        <v>-2.4368511789084515</v>
      </c>
      <c r="M4" s="18">
        <f t="shared" si="13"/>
        <v>5.015291493799289</v>
      </c>
      <c r="N4" s="13">
        <f t="shared" si="5"/>
        <v>21</v>
      </c>
      <c r="O4" s="13">
        <f t="shared" si="6"/>
        <v>15</v>
      </c>
      <c r="P4" s="15">
        <f t="shared" si="14"/>
        <v>23.436851178908451</v>
      </c>
      <c r="Q4" s="15">
        <f t="shared" si="15"/>
        <v>20.015291493799289</v>
      </c>
      <c r="R4" s="11">
        <f t="shared" si="7"/>
        <v>12</v>
      </c>
      <c r="S4" s="11">
        <f>COUNTIFS(Table2[home_team_name],A4,Table2[Result],"H")</f>
        <v>3</v>
      </c>
      <c r="T4" s="11">
        <f>COUNTIFS(Table2[home_team_name],A4,Table2[Result],"D")</f>
        <v>3</v>
      </c>
      <c r="U4" s="11">
        <f>COUNTIFS(Table2[home_team_name],A4,Table2[Result],"A")</f>
        <v>2</v>
      </c>
      <c r="V4" s="22"/>
      <c r="W4" s="22"/>
      <c r="X4" s="22"/>
      <c r="Y4" s="13">
        <f t="shared" si="8"/>
        <v>1</v>
      </c>
      <c r="Z4" s="13">
        <f>SUMIF(Table2[home_team_name],A4,Table2[home_team_goal_count])</f>
        <v>8</v>
      </c>
      <c r="AA4" s="13">
        <f>SUMIF(Table2[home_team_name],A4,Table2[away_team_goal_count])</f>
        <v>7</v>
      </c>
      <c r="AB4" s="15">
        <f t="shared" si="16"/>
        <v>4.181162547728027</v>
      </c>
      <c r="AC4" s="15">
        <f>SUMIF(Table2[home_team_name],A4,Table2[xHG])</f>
        <v>12.435379325571306</v>
      </c>
      <c r="AD4" s="15">
        <f>SUMIF(Table2[home_team_name],A4,Table2[xAG])</f>
        <v>8.2542167778432791</v>
      </c>
      <c r="AE4" s="11">
        <f t="shared" si="9"/>
        <v>15</v>
      </c>
      <c r="AF4" s="11">
        <f>COUNTIFS(Table2[away_team_name],A4,Table2[Result],"A")</f>
        <v>4</v>
      </c>
      <c r="AG4" s="11">
        <f>COUNTIFS(Table2[away_team_name],A4,Table2[Result],"D")</f>
        <v>3</v>
      </c>
      <c r="AH4" s="11">
        <f>COUNTIFS(Table2[away_team_name],A4,Table2[Result],"H")</f>
        <v>2</v>
      </c>
      <c r="AI4" s="22"/>
      <c r="AJ4" s="22"/>
      <c r="AK4" s="22"/>
      <c r="AL4" s="13">
        <f t="shared" si="10"/>
        <v>5</v>
      </c>
      <c r="AM4" s="13">
        <f>SUMIF(Table2[away_team_name],A4,Table2[away_team_goal_count])</f>
        <v>13</v>
      </c>
      <c r="AN4" s="13">
        <f>SUMIF(Table2[away_team_name],A4,Table2[home_team_goal_count])</f>
        <v>8</v>
      </c>
      <c r="AO4" s="16">
        <f t="shared" si="17"/>
        <v>-0.75960286261886623</v>
      </c>
      <c r="AP4" s="16">
        <f>SUMIF(Table2[away_team_name],A4,Table2[xAG])</f>
        <v>11.001471853337145</v>
      </c>
      <c r="AQ4" s="16">
        <f>SUMIF(Table2[away_team_name],A4,Table2[xHG])</f>
        <v>11.761074715956012</v>
      </c>
    </row>
    <row r="5" spans="1:43" x14ac:dyDescent="0.45">
      <c r="A5" s="9" t="s">
        <v>68</v>
      </c>
      <c r="B5" s="9"/>
      <c r="C5" s="11">
        <f t="shared" si="0"/>
        <v>26</v>
      </c>
      <c r="D5" s="13">
        <f t="shared" si="1"/>
        <v>7</v>
      </c>
      <c r="E5" s="15">
        <f t="shared" si="11"/>
        <v>5.9351866647267641</v>
      </c>
      <c r="F5" s="11">
        <f t="shared" si="2"/>
        <v>7</v>
      </c>
      <c r="G5" s="11">
        <f t="shared" si="3"/>
        <v>5</v>
      </c>
      <c r="H5" s="11">
        <f t="shared" si="4"/>
        <v>5</v>
      </c>
      <c r="I5" s="22"/>
      <c r="J5" s="22"/>
      <c r="K5" s="22"/>
      <c r="L5" s="18">
        <f t="shared" si="12"/>
        <v>-0.78612417856638928</v>
      </c>
      <c r="M5" s="18">
        <f t="shared" si="13"/>
        <v>1.8509375138396251</v>
      </c>
      <c r="N5" s="13">
        <f t="shared" si="5"/>
        <v>24</v>
      </c>
      <c r="O5" s="13">
        <f t="shared" si="6"/>
        <v>17</v>
      </c>
      <c r="P5" s="15">
        <f t="shared" si="14"/>
        <v>24.786124178566389</v>
      </c>
      <c r="Q5" s="15">
        <f t="shared" si="15"/>
        <v>18.850937513839625</v>
      </c>
      <c r="R5" s="11">
        <f t="shared" si="7"/>
        <v>11</v>
      </c>
      <c r="S5" s="11">
        <f>COUNTIFS(Table2[home_team_name],A5,Table2[Result],"H")</f>
        <v>3</v>
      </c>
      <c r="T5" s="11">
        <f>COUNTIFS(Table2[home_team_name],A5,Table2[Result],"D")</f>
        <v>2</v>
      </c>
      <c r="U5" s="11">
        <f>COUNTIFS(Table2[home_team_name],A5,Table2[Result],"A")</f>
        <v>3</v>
      </c>
      <c r="V5" s="22"/>
      <c r="W5" s="22"/>
      <c r="X5" s="22"/>
      <c r="Y5" s="13">
        <f t="shared" si="8"/>
        <v>3</v>
      </c>
      <c r="Z5" s="13">
        <f>SUMIF(Table2[home_team_name],A5,Table2[home_team_goal_count])</f>
        <v>12</v>
      </c>
      <c r="AA5" s="13">
        <f>SUMIF(Table2[home_team_name],A5,Table2[away_team_goal_count])</f>
        <v>9</v>
      </c>
      <c r="AB5" s="15">
        <f t="shared" si="16"/>
        <v>5.5397936529577176</v>
      </c>
      <c r="AC5" s="15">
        <f>SUMIF(Table2[home_team_name],A5,Table2[xHG])</f>
        <v>13.188723492283611</v>
      </c>
      <c r="AD5" s="15">
        <f>SUMIF(Table2[home_team_name],A5,Table2[xAG])</f>
        <v>7.6489298393258931</v>
      </c>
      <c r="AE5" s="11">
        <f t="shared" si="9"/>
        <v>15</v>
      </c>
      <c r="AF5" s="11">
        <f>COUNTIFS(Table2[away_team_name],A5,Table2[Result],"A")</f>
        <v>4</v>
      </c>
      <c r="AG5" s="11">
        <f>COUNTIFS(Table2[away_team_name],A5,Table2[Result],"D")</f>
        <v>3</v>
      </c>
      <c r="AH5" s="11">
        <f>COUNTIFS(Table2[away_team_name],A5,Table2[Result],"H")</f>
        <v>2</v>
      </c>
      <c r="AI5" s="22"/>
      <c r="AJ5" s="22"/>
      <c r="AK5" s="22"/>
      <c r="AL5" s="13">
        <f t="shared" si="10"/>
        <v>4</v>
      </c>
      <c r="AM5" s="13">
        <f>SUMIF(Table2[away_team_name],A5,Table2[away_team_goal_count])</f>
        <v>12</v>
      </c>
      <c r="AN5" s="13">
        <f>SUMIF(Table2[away_team_name],A5,Table2[home_team_goal_count])</f>
        <v>8</v>
      </c>
      <c r="AO5" s="16">
        <f t="shared" si="17"/>
        <v>0.39539301176904473</v>
      </c>
      <c r="AP5" s="16">
        <f>SUMIF(Table2[away_team_name],A5,Table2[xAG])</f>
        <v>11.597400686282777</v>
      </c>
      <c r="AQ5" s="16">
        <f>SUMIF(Table2[away_team_name],A5,Table2[xHG])</f>
        <v>11.202007674513732</v>
      </c>
    </row>
    <row r="6" spans="1:43" x14ac:dyDescent="0.45">
      <c r="A6" s="9" t="s">
        <v>102</v>
      </c>
      <c r="B6" s="9"/>
      <c r="C6" s="11">
        <f t="shared" si="0"/>
        <v>26</v>
      </c>
      <c r="D6" s="13">
        <f t="shared" si="1"/>
        <v>6</v>
      </c>
      <c r="E6" s="15">
        <f t="shared" si="11"/>
        <v>-0.57225496303250623</v>
      </c>
      <c r="F6" s="11">
        <f t="shared" si="2"/>
        <v>7</v>
      </c>
      <c r="G6" s="11">
        <f t="shared" si="3"/>
        <v>5</v>
      </c>
      <c r="H6" s="11">
        <f t="shared" si="4"/>
        <v>5</v>
      </c>
      <c r="I6" s="22"/>
      <c r="J6" s="22"/>
      <c r="K6" s="22"/>
      <c r="L6" s="18">
        <f t="shared" si="12"/>
        <v>3.6566909764337368</v>
      </c>
      <c r="M6" s="18">
        <f t="shared" si="13"/>
        <v>2.9155639865987695</v>
      </c>
      <c r="N6" s="13">
        <f t="shared" si="5"/>
        <v>25</v>
      </c>
      <c r="O6" s="13">
        <f t="shared" si="6"/>
        <v>19</v>
      </c>
      <c r="P6" s="15">
        <f t="shared" si="14"/>
        <v>21.343309023566263</v>
      </c>
      <c r="Q6" s="15">
        <f t="shared" si="15"/>
        <v>21.915563986598769</v>
      </c>
      <c r="R6" s="11">
        <f t="shared" si="7"/>
        <v>11</v>
      </c>
      <c r="S6" s="11">
        <f>COUNTIFS(Table2[home_team_name],A6,Table2[Result],"H")</f>
        <v>2</v>
      </c>
      <c r="T6" s="11">
        <f>COUNTIFS(Table2[home_team_name],A6,Table2[Result],"D")</f>
        <v>5</v>
      </c>
      <c r="U6" s="11">
        <f>COUNTIFS(Table2[home_team_name],A6,Table2[Result],"A")</f>
        <v>1</v>
      </c>
      <c r="V6" s="22"/>
      <c r="W6" s="22"/>
      <c r="X6" s="22"/>
      <c r="Y6" s="13">
        <f t="shared" si="8"/>
        <v>2</v>
      </c>
      <c r="Z6" s="13">
        <f>SUMIF(Table2[home_team_name],A6,Table2[home_team_goal_count])</f>
        <v>11</v>
      </c>
      <c r="AA6" s="13">
        <f>SUMIF(Table2[home_team_name],A6,Table2[away_team_goal_count])</f>
        <v>9</v>
      </c>
      <c r="AB6" s="15">
        <f t="shared" si="16"/>
        <v>2.3277068325326944</v>
      </c>
      <c r="AC6" s="15">
        <f>SUMIF(Table2[home_team_name],A6,Table2[xHG])</f>
        <v>11.298209227072645</v>
      </c>
      <c r="AD6" s="15">
        <f>SUMIF(Table2[home_team_name],A6,Table2[xAG])</f>
        <v>8.9705023945399507</v>
      </c>
      <c r="AE6" s="11">
        <f t="shared" si="9"/>
        <v>15</v>
      </c>
      <c r="AF6" s="11">
        <f>COUNTIFS(Table2[away_team_name],A6,Table2[Result],"A")</f>
        <v>5</v>
      </c>
      <c r="AG6" s="11">
        <f>COUNTIFS(Table2[away_team_name],A6,Table2[Result],"D")</f>
        <v>0</v>
      </c>
      <c r="AH6" s="11">
        <f>COUNTIFS(Table2[away_team_name],A6,Table2[Result],"H")</f>
        <v>4</v>
      </c>
      <c r="AI6" s="22"/>
      <c r="AJ6" s="22"/>
      <c r="AK6" s="22"/>
      <c r="AL6" s="13">
        <f t="shared" si="10"/>
        <v>4</v>
      </c>
      <c r="AM6" s="13">
        <f>SUMIF(Table2[away_team_name],A6,Table2[away_team_goal_count])</f>
        <v>14</v>
      </c>
      <c r="AN6" s="13">
        <f>SUMIF(Table2[away_team_name],A6,Table2[home_team_goal_count])</f>
        <v>10</v>
      </c>
      <c r="AO6" s="16">
        <f t="shared" si="17"/>
        <v>-2.8999617955651971</v>
      </c>
      <c r="AP6" s="16">
        <f>SUMIF(Table2[away_team_name],A6,Table2[xAG])</f>
        <v>10.04509979649362</v>
      </c>
      <c r="AQ6" s="16">
        <f>SUMIF(Table2[away_team_name],A6,Table2[xHG])</f>
        <v>12.945061592058817</v>
      </c>
    </row>
    <row r="7" spans="1:43" x14ac:dyDescent="0.45">
      <c r="A7" s="9" t="s">
        <v>90</v>
      </c>
      <c r="B7" s="9"/>
      <c r="C7" s="11">
        <f t="shared" si="0"/>
        <v>26</v>
      </c>
      <c r="D7" s="13">
        <f t="shared" si="1"/>
        <v>4</v>
      </c>
      <c r="E7" s="15">
        <f t="shared" si="11"/>
        <v>0.83476985220347188</v>
      </c>
      <c r="F7" s="11">
        <f t="shared" si="2"/>
        <v>7</v>
      </c>
      <c r="G7" s="11">
        <f t="shared" si="3"/>
        <v>5</v>
      </c>
      <c r="H7" s="11">
        <f t="shared" si="4"/>
        <v>5</v>
      </c>
      <c r="I7" s="22"/>
      <c r="J7" s="22"/>
      <c r="K7" s="22"/>
      <c r="L7" s="18">
        <f t="shared" si="12"/>
        <v>3.1864392333940827</v>
      </c>
      <c r="M7" s="18">
        <f t="shared" si="13"/>
        <v>-2.1209085597554633E-2</v>
      </c>
      <c r="N7" s="13">
        <f t="shared" si="5"/>
        <v>25</v>
      </c>
      <c r="O7" s="13">
        <f t="shared" si="6"/>
        <v>21</v>
      </c>
      <c r="P7" s="15">
        <f t="shared" si="14"/>
        <v>21.813560766605917</v>
      </c>
      <c r="Q7" s="15">
        <f t="shared" si="15"/>
        <v>20.978790914402445</v>
      </c>
      <c r="R7" s="11">
        <f t="shared" si="7"/>
        <v>14</v>
      </c>
      <c r="S7" s="11">
        <f>COUNTIFS(Table2[home_team_name],A7,Table2[Result],"H")</f>
        <v>4</v>
      </c>
      <c r="T7" s="11">
        <f>COUNTIFS(Table2[home_team_name],A7,Table2[Result],"D")</f>
        <v>2</v>
      </c>
      <c r="U7" s="11">
        <f>COUNTIFS(Table2[home_team_name],A7,Table2[Result],"A")</f>
        <v>3</v>
      </c>
      <c r="V7" s="22"/>
      <c r="W7" s="22"/>
      <c r="X7" s="22"/>
      <c r="Y7" s="13">
        <f t="shared" si="8"/>
        <v>2</v>
      </c>
      <c r="Z7" s="13">
        <f>SUMIF(Table2[home_team_name],A7,Table2[home_team_goal_count])</f>
        <v>14</v>
      </c>
      <c r="AA7" s="13">
        <f>SUMIF(Table2[home_team_name],A7,Table2[away_team_goal_count])</f>
        <v>12</v>
      </c>
      <c r="AB7" s="15">
        <f t="shared" si="16"/>
        <v>2.6234180283239148</v>
      </c>
      <c r="AC7" s="15">
        <f>SUMIF(Table2[home_team_name],A7,Table2[xHG])</f>
        <v>12.698288655612156</v>
      </c>
      <c r="AD7" s="15">
        <f>SUMIF(Table2[home_team_name],A7,Table2[xAG])</f>
        <v>10.074870627288242</v>
      </c>
      <c r="AE7" s="11">
        <f t="shared" si="9"/>
        <v>12</v>
      </c>
      <c r="AF7" s="11">
        <f>COUNTIFS(Table2[away_team_name],A7,Table2[Result],"A")</f>
        <v>3</v>
      </c>
      <c r="AG7" s="11">
        <f>COUNTIFS(Table2[away_team_name],A7,Table2[Result],"D")</f>
        <v>3</v>
      </c>
      <c r="AH7" s="11">
        <f>COUNTIFS(Table2[away_team_name],A7,Table2[Result],"H")</f>
        <v>2</v>
      </c>
      <c r="AI7" s="22"/>
      <c r="AJ7" s="22"/>
      <c r="AK7" s="22"/>
      <c r="AL7" s="13">
        <f t="shared" si="10"/>
        <v>2</v>
      </c>
      <c r="AM7" s="13">
        <f>SUMIF(Table2[away_team_name],A7,Table2[away_team_goal_count])</f>
        <v>11</v>
      </c>
      <c r="AN7" s="13">
        <f>SUMIF(Table2[away_team_name],A7,Table2[home_team_goal_count])</f>
        <v>9</v>
      </c>
      <c r="AO7" s="16">
        <f t="shared" si="17"/>
        <v>-1.7886481761204411</v>
      </c>
      <c r="AP7" s="16">
        <f>SUMIF(Table2[away_team_name],A7,Table2[xAG])</f>
        <v>9.1152721109937627</v>
      </c>
      <c r="AQ7" s="16">
        <f>SUMIF(Table2[away_team_name],A7,Table2[xHG])</f>
        <v>10.903920287114204</v>
      </c>
    </row>
    <row r="8" spans="1:43" x14ac:dyDescent="0.45">
      <c r="A8" s="9" t="s">
        <v>101</v>
      </c>
      <c r="B8" s="9"/>
      <c r="C8" s="11">
        <f t="shared" si="0"/>
        <v>26</v>
      </c>
      <c r="D8" s="13">
        <f t="shared" si="1"/>
        <v>4</v>
      </c>
      <c r="E8" s="15">
        <f t="shared" si="11"/>
        <v>7.2914476017543493</v>
      </c>
      <c r="F8" s="11">
        <f t="shared" si="2"/>
        <v>7</v>
      </c>
      <c r="G8" s="11">
        <f t="shared" si="3"/>
        <v>5</v>
      </c>
      <c r="H8" s="11">
        <f t="shared" si="4"/>
        <v>5</v>
      </c>
      <c r="I8" s="22"/>
      <c r="J8" s="22"/>
      <c r="K8" s="22"/>
      <c r="L8" s="18">
        <f t="shared" si="12"/>
        <v>-4.8608105229388272</v>
      </c>
      <c r="M8" s="18">
        <f t="shared" si="13"/>
        <v>1.569362921184478</v>
      </c>
      <c r="N8" s="13">
        <f t="shared" si="5"/>
        <v>21</v>
      </c>
      <c r="O8" s="13">
        <f t="shared" si="6"/>
        <v>17</v>
      </c>
      <c r="P8" s="15">
        <f t="shared" si="14"/>
        <v>25.860810522938827</v>
      </c>
      <c r="Q8" s="15">
        <f t="shared" si="15"/>
        <v>18.569362921184478</v>
      </c>
      <c r="R8" s="11">
        <f t="shared" si="7"/>
        <v>18</v>
      </c>
      <c r="S8" s="11">
        <f>COUNTIFS(Table2[home_team_name],A8,Table2[Result],"H")</f>
        <v>5</v>
      </c>
      <c r="T8" s="11">
        <f>COUNTIFS(Table2[home_team_name],A8,Table2[Result],"D")</f>
        <v>3</v>
      </c>
      <c r="U8" s="11">
        <f>COUNTIFS(Table2[home_team_name],A8,Table2[Result],"A")</f>
        <v>1</v>
      </c>
      <c r="V8" s="22"/>
      <c r="W8" s="22"/>
      <c r="X8" s="22"/>
      <c r="Y8" s="13">
        <f t="shared" si="8"/>
        <v>6</v>
      </c>
      <c r="Z8" s="13">
        <f>SUMIF(Table2[home_team_name],A8,Table2[home_team_goal_count])</f>
        <v>12</v>
      </c>
      <c r="AA8" s="13">
        <f>SUMIF(Table2[home_team_name],A8,Table2[away_team_goal_count])</f>
        <v>6</v>
      </c>
      <c r="AB8" s="15">
        <f t="shared" si="16"/>
        <v>7.3325500005486539</v>
      </c>
      <c r="AC8" s="15">
        <f>SUMIF(Table2[home_team_name],A8,Table2[xHG])</f>
        <v>15.745952588265073</v>
      </c>
      <c r="AD8" s="15">
        <f>SUMIF(Table2[home_team_name],A8,Table2[xAG])</f>
        <v>8.4134025877164191</v>
      </c>
      <c r="AE8" s="11">
        <f t="shared" si="9"/>
        <v>8</v>
      </c>
      <c r="AF8" s="11">
        <f>COUNTIFS(Table2[away_team_name],A8,Table2[Result],"A")</f>
        <v>2</v>
      </c>
      <c r="AG8" s="11">
        <f>COUNTIFS(Table2[away_team_name],A8,Table2[Result],"D")</f>
        <v>2</v>
      </c>
      <c r="AH8" s="11">
        <f>COUNTIFS(Table2[away_team_name],A8,Table2[Result],"H")</f>
        <v>4</v>
      </c>
      <c r="AI8" s="22"/>
      <c r="AJ8" s="22"/>
      <c r="AK8" s="22"/>
      <c r="AL8" s="13">
        <f t="shared" si="10"/>
        <v>-2</v>
      </c>
      <c r="AM8" s="13">
        <f>SUMIF(Table2[away_team_name],A8,Table2[away_team_goal_count])</f>
        <v>9</v>
      </c>
      <c r="AN8" s="13">
        <f>SUMIF(Table2[away_team_name],A8,Table2[home_team_goal_count])</f>
        <v>11</v>
      </c>
      <c r="AO8" s="16">
        <f t="shared" si="17"/>
        <v>-4.1102398794308215E-2</v>
      </c>
      <c r="AP8" s="16">
        <f>SUMIF(Table2[away_team_name],A8,Table2[xAG])</f>
        <v>10.114857934673752</v>
      </c>
      <c r="AQ8" s="16">
        <f>SUMIF(Table2[away_team_name],A8,Table2[xHG])</f>
        <v>10.155960333468061</v>
      </c>
    </row>
    <row r="9" spans="1:43" x14ac:dyDescent="0.45">
      <c r="A9" s="9" t="s">
        <v>112</v>
      </c>
      <c r="B9" s="9"/>
      <c r="C9" s="11">
        <f t="shared" si="0"/>
        <v>25</v>
      </c>
      <c r="D9" s="13">
        <f t="shared" si="1"/>
        <v>3</v>
      </c>
      <c r="E9" s="15">
        <f t="shared" si="11"/>
        <v>2.9037937171468755</v>
      </c>
      <c r="F9" s="11">
        <f t="shared" si="2"/>
        <v>7</v>
      </c>
      <c r="G9" s="11">
        <f t="shared" si="3"/>
        <v>4</v>
      </c>
      <c r="H9" s="11">
        <f t="shared" si="4"/>
        <v>6</v>
      </c>
      <c r="I9" s="22"/>
      <c r="J9" s="22"/>
      <c r="K9" s="22"/>
      <c r="L9" s="18">
        <f t="shared" si="12"/>
        <v>-3.2189763698163816</v>
      </c>
      <c r="M9" s="18">
        <f t="shared" si="13"/>
        <v>3.3151826526695061</v>
      </c>
      <c r="N9" s="13">
        <f t="shared" si="5"/>
        <v>20</v>
      </c>
      <c r="O9" s="13">
        <f t="shared" si="6"/>
        <v>17</v>
      </c>
      <c r="P9" s="15">
        <f t="shared" si="14"/>
        <v>23.218976369816382</v>
      </c>
      <c r="Q9" s="15">
        <f t="shared" si="15"/>
        <v>20.315182652669506</v>
      </c>
      <c r="R9" s="11">
        <f t="shared" si="7"/>
        <v>12</v>
      </c>
      <c r="S9" s="11">
        <f>COUNTIFS(Table2[home_team_name],A9,Table2[Result],"H")</f>
        <v>4</v>
      </c>
      <c r="T9" s="11">
        <f>COUNTIFS(Table2[home_team_name],A9,Table2[Result],"D")</f>
        <v>0</v>
      </c>
      <c r="U9" s="11">
        <f>COUNTIFS(Table2[home_team_name],A9,Table2[Result],"A")</f>
        <v>5</v>
      </c>
      <c r="V9" s="22"/>
      <c r="W9" s="22"/>
      <c r="X9" s="22"/>
      <c r="Y9" s="13">
        <f t="shared" si="8"/>
        <v>-1</v>
      </c>
      <c r="Z9" s="13">
        <f>SUMIF(Table2[home_team_name],A9,Table2[home_team_goal_count])</f>
        <v>9</v>
      </c>
      <c r="AA9" s="13">
        <f>SUMIF(Table2[home_team_name],A9,Table2[away_team_goal_count])</f>
        <v>10</v>
      </c>
      <c r="AB9" s="15">
        <f t="shared" si="16"/>
        <v>5.5356914548884504</v>
      </c>
      <c r="AC9" s="15">
        <f>SUMIF(Table2[home_team_name],A9,Table2[xHG])</f>
        <v>14.405725521363459</v>
      </c>
      <c r="AD9" s="15">
        <f>SUMIF(Table2[home_team_name],A9,Table2[xAG])</f>
        <v>8.870034066475009</v>
      </c>
      <c r="AE9" s="11">
        <f t="shared" si="9"/>
        <v>13</v>
      </c>
      <c r="AF9" s="11">
        <f>COUNTIFS(Table2[away_team_name],A9,Table2[Result],"A")</f>
        <v>3</v>
      </c>
      <c r="AG9" s="11">
        <f>COUNTIFS(Table2[away_team_name],A9,Table2[Result],"D")</f>
        <v>4</v>
      </c>
      <c r="AH9" s="11">
        <f>COUNTIFS(Table2[away_team_name],A9,Table2[Result],"H")</f>
        <v>1</v>
      </c>
      <c r="AI9" s="22"/>
      <c r="AJ9" s="22"/>
      <c r="AK9" s="22"/>
      <c r="AL9" s="13">
        <f t="shared" si="10"/>
        <v>4</v>
      </c>
      <c r="AM9" s="13">
        <f>SUMIF(Table2[away_team_name],A9,Table2[away_team_goal_count])</f>
        <v>11</v>
      </c>
      <c r="AN9" s="13">
        <f>SUMIF(Table2[away_team_name],A9,Table2[home_team_goal_count])</f>
        <v>7</v>
      </c>
      <c r="AO9" s="16">
        <f t="shared" si="17"/>
        <v>-2.6318977377415784</v>
      </c>
      <c r="AP9" s="16">
        <f>SUMIF(Table2[away_team_name],A9,Table2[xAG])</f>
        <v>8.8132508484529204</v>
      </c>
      <c r="AQ9" s="16">
        <f>SUMIF(Table2[away_team_name],A9,Table2[xHG])</f>
        <v>11.445148586194499</v>
      </c>
    </row>
    <row r="10" spans="1:43" x14ac:dyDescent="0.45">
      <c r="A10" s="9" t="s">
        <v>72</v>
      </c>
      <c r="B10" s="9"/>
      <c r="C10" s="11">
        <f t="shared" si="0"/>
        <v>23</v>
      </c>
      <c r="D10" s="13">
        <f t="shared" si="1"/>
        <v>0</v>
      </c>
      <c r="E10" s="15">
        <f t="shared" si="11"/>
        <v>-2.7592906320613899</v>
      </c>
      <c r="F10" s="11">
        <f t="shared" si="2"/>
        <v>7</v>
      </c>
      <c r="G10" s="11">
        <f t="shared" si="3"/>
        <v>2</v>
      </c>
      <c r="H10" s="11">
        <f t="shared" si="4"/>
        <v>8</v>
      </c>
      <c r="I10" s="22"/>
      <c r="J10" s="22"/>
      <c r="K10" s="22"/>
      <c r="L10" s="18">
        <f t="shared" si="12"/>
        <v>0.96143457022384027</v>
      </c>
      <c r="M10" s="18">
        <f t="shared" si="13"/>
        <v>1.7978560618375496</v>
      </c>
      <c r="N10" s="13">
        <f t="shared" si="5"/>
        <v>21</v>
      </c>
      <c r="O10" s="13">
        <f t="shared" si="6"/>
        <v>21</v>
      </c>
      <c r="P10" s="15">
        <f t="shared" si="14"/>
        <v>20.03856542977616</v>
      </c>
      <c r="Q10" s="15">
        <f t="shared" si="15"/>
        <v>22.79785606183755</v>
      </c>
      <c r="R10" s="11">
        <f t="shared" si="7"/>
        <v>9</v>
      </c>
      <c r="S10" s="11">
        <f>COUNTIFS(Table2[home_team_name],A10,Table2[Result],"H")</f>
        <v>3</v>
      </c>
      <c r="T10" s="11">
        <f>COUNTIFS(Table2[home_team_name],A10,Table2[Result],"D")</f>
        <v>0</v>
      </c>
      <c r="U10" s="11">
        <f>COUNTIFS(Table2[home_team_name],A10,Table2[Result],"A")</f>
        <v>6</v>
      </c>
      <c r="V10" s="22"/>
      <c r="W10" s="22"/>
      <c r="X10" s="22"/>
      <c r="Y10" s="13">
        <f t="shared" si="8"/>
        <v>-5</v>
      </c>
      <c r="Z10" s="13">
        <f>SUMIF(Table2[home_team_name],A10,Table2[home_team_goal_count])</f>
        <v>8</v>
      </c>
      <c r="AA10" s="13">
        <f>SUMIF(Table2[home_team_name],A10,Table2[away_team_goal_count])</f>
        <v>13</v>
      </c>
      <c r="AB10" s="15">
        <f t="shared" si="16"/>
        <v>0.64909757287902003</v>
      </c>
      <c r="AC10" s="15">
        <f>SUMIF(Table2[home_team_name],A10,Table2[xHG])</f>
        <v>11.626086532452735</v>
      </c>
      <c r="AD10" s="15">
        <f>SUMIF(Table2[home_team_name],A10,Table2[xAG])</f>
        <v>10.976988959573715</v>
      </c>
      <c r="AE10" s="11">
        <f t="shared" si="9"/>
        <v>14</v>
      </c>
      <c r="AF10" s="11">
        <f>COUNTIFS(Table2[away_team_name],A10,Table2[Result],"A")</f>
        <v>4</v>
      </c>
      <c r="AG10" s="11">
        <f>COUNTIFS(Table2[away_team_name],A10,Table2[Result],"D")</f>
        <v>2</v>
      </c>
      <c r="AH10" s="11">
        <f>COUNTIFS(Table2[away_team_name],A10,Table2[Result],"H")</f>
        <v>2</v>
      </c>
      <c r="AI10" s="22"/>
      <c r="AJ10" s="22"/>
      <c r="AK10" s="22"/>
      <c r="AL10" s="13">
        <f t="shared" si="10"/>
        <v>5</v>
      </c>
      <c r="AM10" s="13">
        <f>SUMIF(Table2[away_team_name],A10,Table2[away_team_goal_count])</f>
        <v>13</v>
      </c>
      <c r="AN10" s="13">
        <f>SUMIF(Table2[away_team_name],A10,Table2[home_team_goal_count])</f>
        <v>8</v>
      </c>
      <c r="AO10" s="16">
        <f t="shared" si="17"/>
        <v>-3.4083882049404082</v>
      </c>
      <c r="AP10" s="16">
        <f>SUMIF(Table2[away_team_name],A10,Table2[xAG])</f>
        <v>8.4124788973234246</v>
      </c>
      <c r="AQ10" s="16">
        <f>SUMIF(Table2[away_team_name],A10,Table2[xHG])</f>
        <v>11.820867102263833</v>
      </c>
    </row>
    <row r="11" spans="1:43" x14ac:dyDescent="0.45">
      <c r="A11" s="9" t="s">
        <v>91</v>
      </c>
      <c r="B11" s="9"/>
      <c r="C11" s="11">
        <f t="shared" si="0"/>
        <v>23</v>
      </c>
      <c r="D11" s="13">
        <f t="shared" si="1"/>
        <v>-1</v>
      </c>
      <c r="E11" s="15">
        <f t="shared" si="11"/>
        <v>-3.5442132943835176</v>
      </c>
      <c r="F11" s="11">
        <f t="shared" si="2"/>
        <v>7</v>
      </c>
      <c r="G11" s="11">
        <f t="shared" si="3"/>
        <v>2</v>
      </c>
      <c r="H11" s="11">
        <f t="shared" si="4"/>
        <v>8</v>
      </c>
      <c r="I11" s="22"/>
      <c r="J11" s="22"/>
      <c r="K11" s="22"/>
      <c r="L11" s="18">
        <f t="shared" si="12"/>
        <v>1.0829287248386166</v>
      </c>
      <c r="M11" s="18">
        <f t="shared" si="13"/>
        <v>1.461284569544901</v>
      </c>
      <c r="N11" s="13">
        <f t="shared" si="5"/>
        <v>21</v>
      </c>
      <c r="O11" s="13">
        <f t="shared" si="6"/>
        <v>22</v>
      </c>
      <c r="P11" s="15">
        <f t="shared" si="14"/>
        <v>19.917071275161383</v>
      </c>
      <c r="Q11" s="15">
        <f t="shared" si="15"/>
        <v>23.461284569544901</v>
      </c>
      <c r="R11" s="11">
        <f t="shared" si="7"/>
        <v>13</v>
      </c>
      <c r="S11" s="11">
        <f>COUNTIFS(Table2[home_team_name],A11,Table2[Result],"H")</f>
        <v>4</v>
      </c>
      <c r="T11" s="11">
        <f>COUNTIFS(Table2[home_team_name],A11,Table2[Result],"D")</f>
        <v>1</v>
      </c>
      <c r="U11" s="11">
        <f>COUNTIFS(Table2[home_team_name],A11,Table2[Result],"A")</f>
        <v>4</v>
      </c>
      <c r="V11" s="22"/>
      <c r="W11" s="22"/>
      <c r="X11" s="22"/>
      <c r="Y11" s="13">
        <f t="shared" si="8"/>
        <v>0</v>
      </c>
      <c r="Z11" s="13">
        <f>SUMIF(Table2[home_team_name],A11,Table2[home_team_goal_count])</f>
        <v>10</v>
      </c>
      <c r="AA11" s="13">
        <f>SUMIF(Table2[home_team_name],A11,Table2[away_team_goal_count])</f>
        <v>10</v>
      </c>
      <c r="AB11" s="15">
        <f t="shared" si="16"/>
        <v>1.6263319392176765</v>
      </c>
      <c r="AC11" s="15">
        <f>SUMIF(Table2[home_team_name],A11,Table2[xHG])</f>
        <v>12.112861713279791</v>
      </c>
      <c r="AD11" s="15">
        <f>SUMIF(Table2[home_team_name],A11,Table2[xAG])</f>
        <v>10.486529774062115</v>
      </c>
      <c r="AE11" s="11">
        <f t="shared" si="9"/>
        <v>10</v>
      </c>
      <c r="AF11" s="11">
        <f>COUNTIFS(Table2[away_team_name],A11,Table2[Result],"A")</f>
        <v>3</v>
      </c>
      <c r="AG11" s="11">
        <f>COUNTIFS(Table2[away_team_name],A11,Table2[Result],"D")</f>
        <v>1</v>
      </c>
      <c r="AH11" s="11">
        <f>COUNTIFS(Table2[away_team_name],A11,Table2[Result],"H")</f>
        <v>4</v>
      </c>
      <c r="AI11" s="22"/>
      <c r="AJ11" s="22"/>
      <c r="AK11" s="22"/>
      <c r="AL11" s="13">
        <f t="shared" si="10"/>
        <v>-1</v>
      </c>
      <c r="AM11" s="13">
        <f>SUMIF(Table2[away_team_name],A11,Table2[away_team_goal_count])</f>
        <v>11</v>
      </c>
      <c r="AN11" s="13">
        <f>SUMIF(Table2[away_team_name],A11,Table2[home_team_goal_count])</f>
        <v>12</v>
      </c>
      <c r="AO11" s="16">
        <f t="shared" si="17"/>
        <v>-5.1705452336011923</v>
      </c>
      <c r="AP11" s="16">
        <f>SUMIF(Table2[away_team_name],A11,Table2[xAG])</f>
        <v>7.8042095618815921</v>
      </c>
      <c r="AQ11" s="16">
        <f>SUMIF(Table2[away_team_name],A11,Table2[xHG])</f>
        <v>12.974754795482784</v>
      </c>
    </row>
    <row r="12" spans="1:43" x14ac:dyDescent="0.45">
      <c r="A12" s="9" t="s">
        <v>96</v>
      </c>
      <c r="B12" s="9"/>
      <c r="C12" s="11">
        <f t="shared" si="0"/>
        <v>22</v>
      </c>
      <c r="D12" s="13">
        <f t="shared" si="1"/>
        <v>3</v>
      </c>
      <c r="E12" s="15">
        <f t="shared" si="11"/>
        <v>-0.92630596609153315</v>
      </c>
      <c r="F12" s="11">
        <f t="shared" si="2"/>
        <v>6</v>
      </c>
      <c r="G12" s="11">
        <f t="shared" si="3"/>
        <v>4</v>
      </c>
      <c r="H12" s="11">
        <f t="shared" si="4"/>
        <v>7</v>
      </c>
      <c r="I12" s="22"/>
      <c r="J12" s="22"/>
      <c r="K12" s="22"/>
      <c r="L12" s="18">
        <f t="shared" si="12"/>
        <v>2.89842381387313</v>
      </c>
      <c r="M12" s="18">
        <f t="shared" si="13"/>
        <v>1.0278821522184032</v>
      </c>
      <c r="N12" s="13">
        <f t="shared" si="5"/>
        <v>24</v>
      </c>
      <c r="O12" s="13">
        <f t="shared" si="6"/>
        <v>21</v>
      </c>
      <c r="P12" s="15">
        <f t="shared" si="14"/>
        <v>21.10157618612687</v>
      </c>
      <c r="Q12" s="15">
        <f t="shared" si="15"/>
        <v>22.027882152218403</v>
      </c>
      <c r="R12" s="11">
        <f t="shared" si="7"/>
        <v>14</v>
      </c>
      <c r="S12" s="11">
        <f>COUNTIFS(Table2[home_team_name],A12,Table2[Result],"H")</f>
        <v>4</v>
      </c>
      <c r="T12" s="11">
        <f>COUNTIFS(Table2[home_team_name],A12,Table2[Result],"D")</f>
        <v>2</v>
      </c>
      <c r="U12" s="11">
        <f>COUNTIFS(Table2[home_team_name],A12,Table2[Result],"A")</f>
        <v>2</v>
      </c>
      <c r="V12" s="22"/>
      <c r="W12" s="22"/>
      <c r="X12" s="22"/>
      <c r="Y12" s="13">
        <f t="shared" si="8"/>
        <v>7</v>
      </c>
      <c r="Z12" s="13">
        <f>SUMIF(Table2[home_team_name],A12,Table2[home_team_goal_count])</f>
        <v>14</v>
      </c>
      <c r="AA12" s="13">
        <f>SUMIF(Table2[home_team_name],A12,Table2[away_team_goal_count])</f>
        <v>7</v>
      </c>
      <c r="AB12" s="15">
        <f t="shared" si="16"/>
        <v>1.7914843832677665</v>
      </c>
      <c r="AC12" s="15">
        <f>SUMIF(Table2[home_team_name],A12,Table2[xHG])</f>
        <v>11.105309470999892</v>
      </c>
      <c r="AD12" s="15">
        <f>SUMIF(Table2[home_team_name],A12,Table2[xAG])</f>
        <v>9.3138250877321251</v>
      </c>
      <c r="AE12" s="11">
        <f t="shared" si="9"/>
        <v>8</v>
      </c>
      <c r="AF12" s="11">
        <f>COUNTIFS(Table2[away_team_name],A12,Table2[Result],"A")</f>
        <v>2</v>
      </c>
      <c r="AG12" s="11">
        <f>COUNTIFS(Table2[away_team_name],A12,Table2[Result],"D")</f>
        <v>2</v>
      </c>
      <c r="AH12" s="11">
        <f>COUNTIFS(Table2[away_team_name],A12,Table2[Result],"H")</f>
        <v>5</v>
      </c>
      <c r="AI12" s="22"/>
      <c r="AJ12" s="22"/>
      <c r="AK12" s="22"/>
      <c r="AL12" s="13">
        <f t="shared" si="10"/>
        <v>-4</v>
      </c>
      <c r="AM12" s="13">
        <f>SUMIF(Table2[away_team_name],A12,Table2[away_team_goal_count])</f>
        <v>10</v>
      </c>
      <c r="AN12" s="13">
        <f>SUMIF(Table2[away_team_name],A12,Table2[home_team_goal_count])</f>
        <v>14</v>
      </c>
      <c r="AO12" s="16">
        <f t="shared" si="17"/>
        <v>-2.7177903493593014</v>
      </c>
      <c r="AP12" s="16">
        <f>SUMIF(Table2[away_team_name],A12,Table2[xAG])</f>
        <v>9.9962667151269784</v>
      </c>
      <c r="AQ12" s="16">
        <f>SUMIF(Table2[away_team_name],A12,Table2[xHG])</f>
        <v>12.71405706448628</v>
      </c>
    </row>
    <row r="13" spans="1:43" x14ac:dyDescent="0.45">
      <c r="A13" s="9" t="s">
        <v>113</v>
      </c>
      <c r="B13" s="9"/>
      <c r="C13" s="11">
        <f t="shared" si="0"/>
        <v>21</v>
      </c>
      <c r="D13" s="13">
        <f t="shared" si="1"/>
        <v>-4</v>
      </c>
      <c r="E13" s="15">
        <f t="shared" si="11"/>
        <v>-8.1286718738932642</v>
      </c>
      <c r="F13" s="11">
        <f t="shared" si="2"/>
        <v>6</v>
      </c>
      <c r="G13" s="11">
        <f t="shared" si="3"/>
        <v>3</v>
      </c>
      <c r="H13" s="11">
        <f t="shared" si="4"/>
        <v>8</v>
      </c>
      <c r="I13" s="22"/>
      <c r="J13" s="22"/>
      <c r="K13" s="22"/>
      <c r="L13" s="18">
        <f t="shared" si="12"/>
        <v>1.8732373273281411</v>
      </c>
      <c r="M13" s="18">
        <f t="shared" si="13"/>
        <v>2.2554345465651231</v>
      </c>
      <c r="N13" s="13">
        <f t="shared" si="5"/>
        <v>20</v>
      </c>
      <c r="O13" s="13">
        <f t="shared" si="6"/>
        <v>24</v>
      </c>
      <c r="P13" s="15">
        <f t="shared" si="14"/>
        <v>18.126762672671859</v>
      </c>
      <c r="Q13" s="15">
        <f t="shared" si="15"/>
        <v>26.255434546565123</v>
      </c>
      <c r="R13" s="11">
        <f t="shared" si="7"/>
        <v>14</v>
      </c>
      <c r="S13" s="11">
        <f>COUNTIFS(Table2[home_team_name],A13,Table2[Result],"H")</f>
        <v>4</v>
      </c>
      <c r="T13" s="11">
        <f>COUNTIFS(Table2[home_team_name],A13,Table2[Result],"D")</f>
        <v>2</v>
      </c>
      <c r="U13" s="11">
        <f>COUNTIFS(Table2[home_team_name],A13,Table2[Result],"A")</f>
        <v>2</v>
      </c>
      <c r="V13" s="22"/>
      <c r="W13" s="22"/>
      <c r="X13" s="22"/>
      <c r="Y13" s="13">
        <f t="shared" si="8"/>
        <v>3</v>
      </c>
      <c r="Z13" s="13">
        <f>SUMIF(Table2[home_team_name],A13,Table2[home_team_goal_count])</f>
        <v>10</v>
      </c>
      <c r="AA13" s="13">
        <f>SUMIF(Table2[home_team_name],A13,Table2[away_team_goal_count])</f>
        <v>7</v>
      </c>
      <c r="AB13" s="15">
        <f t="shared" si="16"/>
        <v>-0.77204838547169352</v>
      </c>
      <c r="AC13" s="15">
        <f>SUMIF(Table2[home_team_name],A13,Table2[xHG])</f>
        <v>9.7460645826065502</v>
      </c>
      <c r="AD13" s="15">
        <f>SUMIF(Table2[home_team_name],A13,Table2[xAG])</f>
        <v>10.518112968078244</v>
      </c>
      <c r="AE13" s="11">
        <f t="shared" si="9"/>
        <v>7</v>
      </c>
      <c r="AF13" s="11">
        <f>COUNTIFS(Table2[away_team_name],A13,Table2[Result],"A")</f>
        <v>2</v>
      </c>
      <c r="AG13" s="11">
        <f>COUNTIFS(Table2[away_team_name],A13,Table2[Result],"D")</f>
        <v>1</v>
      </c>
      <c r="AH13" s="11">
        <f>COUNTIFS(Table2[away_team_name],A13,Table2[Result],"H")</f>
        <v>6</v>
      </c>
      <c r="AI13" s="22"/>
      <c r="AJ13" s="22"/>
      <c r="AK13" s="22"/>
      <c r="AL13" s="13">
        <f t="shared" si="10"/>
        <v>-7</v>
      </c>
      <c r="AM13" s="13">
        <f>SUMIF(Table2[away_team_name],A13,Table2[away_team_goal_count])</f>
        <v>10</v>
      </c>
      <c r="AN13" s="13">
        <f>SUMIF(Table2[away_team_name],A13,Table2[home_team_goal_count])</f>
        <v>17</v>
      </c>
      <c r="AO13" s="16">
        <f t="shared" si="17"/>
        <v>-7.3566234884215707</v>
      </c>
      <c r="AP13" s="16">
        <f>SUMIF(Table2[away_team_name],A13,Table2[xAG])</f>
        <v>8.3806980900653087</v>
      </c>
      <c r="AQ13" s="16">
        <f>SUMIF(Table2[away_team_name],A13,Table2[xHG])</f>
        <v>15.737321578486879</v>
      </c>
    </row>
    <row r="14" spans="1:43" x14ac:dyDescent="0.45">
      <c r="A14" s="9" t="s">
        <v>85</v>
      </c>
      <c r="B14" s="9"/>
      <c r="C14" s="11">
        <f t="shared" si="0"/>
        <v>21</v>
      </c>
      <c r="D14" s="13">
        <f t="shared" si="1"/>
        <v>-5</v>
      </c>
      <c r="E14" s="15">
        <f t="shared" si="11"/>
        <v>4.4545063898543624</v>
      </c>
      <c r="F14" s="11">
        <f t="shared" si="2"/>
        <v>5</v>
      </c>
      <c r="G14" s="11">
        <f t="shared" si="3"/>
        <v>6</v>
      </c>
      <c r="H14" s="11">
        <f t="shared" si="4"/>
        <v>6</v>
      </c>
      <c r="I14" s="22"/>
      <c r="J14" s="22"/>
      <c r="K14" s="22"/>
      <c r="L14" s="18">
        <f t="shared" si="12"/>
        <v>-6.8779934486286507</v>
      </c>
      <c r="M14" s="18">
        <f t="shared" si="13"/>
        <v>-2.5765129412257117</v>
      </c>
      <c r="N14" s="13">
        <f t="shared" si="5"/>
        <v>17</v>
      </c>
      <c r="O14" s="13">
        <f t="shared" si="6"/>
        <v>22</v>
      </c>
      <c r="P14" s="15">
        <f t="shared" si="14"/>
        <v>23.877993448628651</v>
      </c>
      <c r="Q14" s="15">
        <f t="shared" si="15"/>
        <v>19.423487058774288</v>
      </c>
      <c r="R14" s="11">
        <f t="shared" si="7"/>
        <v>10</v>
      </c>
      <c r="S14" s="11">
        <f>COUNTIFS(Table2[home_team_name],A14,Table2[Result],"H")</f>
        <v>2</v>
      </c>
      <c r="T14" s="11">
        <f>COUNTIFS(Table2[home_team_name],A14,Table2[Result],"D")</f>
        <v>4</v>
      </c>
      <c r="U14" s="11">
        <f>COUNTIFS(Table2[home_team_name],A14,Table2[Result],"A")</f>
        <v>3</v>
      </c>
      <c r="V14" s="22"/>
      <c r="W14" s="22"/>
      <c r="X14" s="22"/>
      <c r="Y14" s="13">
        <f t="shared" si="8"/>
        <v>-3</v>
      </c>
      <c r="Z14" s="13">
        <f>SUMIF(Table2[home_team_name],A14,Table2[home_team_goal_count])</f>
        <v>10</v>
      </c>
      <c r="AA14" s="13">
        <f>SUMIF(Table2[home_team_name],A14,Table2[away_team_goal_count])</f>
        <v>13</v>
      </c>
      <c r="AB14" s="15">
        <f t="shared" si="16"/>
        <v>4.4953233670599495</v>
      </c>
      <c r="AC14" s="15">
        <f>SUMIF(Table2[home_team_name],A14,Table2[xHG])</f>
        <v>13.764928955280402</v>
      </c>
      <c r="AD14" s="15">
        <f>SUMIF(Table2[home_team_name],A14,Table2[xAG])</f>
        <v>9.2696055882204522</v>
      </c>
      <c r="AE14" s="11">
        <f t="shared" si="9"/>
        <v>11</v>
      </c>
      <c r="AF14" s="11">
        <f>COUNTIFS(Table2[away_team_name],A14,Table2[Result],"A")</f>
        <v>3</v>
      </c>
      <c r="AG14" s="11">
        <f>COUNTIFS(Table2[away_team_name],A14,Table2[Result],"D")</f>
        <v>2</v>
      </c>
      <c r="AH14" s="11">
        <f>COUNTIFS(Table2[away_team_name],A14,Table2[Result],"H")</f>
        <v>3</v>
      </c>
      <c r="AI14" s="22"/>
      <c r="AJ14" s="22"/>
      <c r="AK14" s="22"/>
      <c r="AL14" s="13">
        <f t="shared" si="10"/>
        <v>-2</v>
      </c>
      <c r="AM14" s="13">
        <f>SUMIF(Table2[away_team_name],A14,Table2[away_team_goal_count])</f>
        <v>7</v>
      </c>
      <c r="AN14" s="13">
        <f>SUMIF(Table2[away_team_name],A14,Table2[home_team_goal_count])</f>
        <v>9</v>
      </c>
      <c r="AO14" s="16">
        <f t="shared" si="17"/>
        <v>-4.0816977205585303E-2</v>
      </c>
      <c r="AP14" s="16">
        <f>SUMIF(Table2[away_team_name],A14,Table2[xAG])</f>
        <v>10.113064493348251</v>
      </c>
      <c r="AQ14" s="16">
        <f>SUMIF(Table2[away_team_name],A14,Table2[xHG])</f>
        <v>10.153881470553836</v>
      </c>
    </row>
    <row r="15" spans="1:43" x14ac:dyDescent="0.45">
      <c r="A15" s="9" t="s">
        <v>73</v>
      </c>
      <c r="B15" s="9"/>
      <c r="C15" s="11">
        <f t="shared" si="0"/>
        <v>20</v>
      </c>
      <c r="D15" s="13">
        <f t="shared" si="1"/>
        <v>0</v>
      </c>
      <c r="E15" s="15">
        <f t="shared" si="11"/>
        <v>0.43819119379798011</v>
      </c>
      <c r="F15" s="11">
        <f t="shared" si="2"/>
        <v>5</v>
      </c>
      <c r="G15" s="11">
        <f t="shared" si="3"/>
        <v>5</v>
      </c>
      <c r="H15" s="11">
        <f t="shared" si="4"/>
        <v>7</v>
      </c>
      <c r="I15" s="22"/>
      <c r="J15" s="22"/>
      <c r="K15" s="22"/>
      <c r="L15" s="18">
        <f t="shared" si="12"/>
        <v>3.2545275951954302</v>
      </c>
      <c r="M15" s="18">
        <f t="shared" si="13"/>
        <v>-3.6927187889934103</v>
      </c>
      <c r="N15" s="13">
        <f t="shared" si="5"/>
        <v>25</v>
      </c>
      <c r="O15" s="13">
        <f t="shared" si="6"/>
        <v>25</v>
      </c>
      <c r="P15" s="15">
        <f t="shared" si="14"/>
        <v>21.74547240480457</v>
      </c>
      <c r="Q15" s="15">
        <f t="shared" si="15"/>
        <v>21.30728121100659</v>
      </c>
      <c r="R15" s="11">
        <f t="shared" si="7"/>
        <v>12</v>
      </c>
      <c r="S15" s="11">
        <f>COUNTIFS(Table2[home_team_name],A15,Table2[Result],"H")</f>
        <v>3</v>
      </c>
      <c r="T15" s="11">
        <f>COUNTIFS(Table2[home_team_name],A15,Table2[Result],"D")</f>
        <v>3</v>
      </c>
      <c r="U15" s="11">
        <f>COUNTIFS(Table2[home_team_name],A15,Table2[Result],"A")</f>
        <v>2</v>
      </c>
      <c r="V15" s="22"/>
      <c r="W15" s="22"/>
      <c r="X15" s="22"/>
      <c r="Y15" s="13">
        <f t="shared" si="8"/>
        <v>3</v>
      </c>
      <c r="Z15" s="13">
        <f>SUMIF(Table2[home_team_name],A15,Table2[home_team_goal_count])</f>
        <v>16</v>
      </c>
      <c r="AA15" s="13">
        <f>SUMIF(Table2[home_team_name],A15,Table2[away_team_goal_count])</f>
        <v>13</v>
      </c>
      <c r="AB15" s="15">
        <f t="shared" si="16"/>
        <v>2.57575503268089</v>
      </c>
      <c r="AC15" s="15">
        <f>SUMIF(Table2[home_team_name],A15,Table2[xHG])</f>
        <v>11.422132098877254</v>
      </c>
      <c r="AD15" s="15">
        <f>SUMIF(Table2[home_team_name],A15,Table2[xAG])</f>
        <v>8.8463770661963643</v>
      </c>
      <c r="AE15" s="11">
        <f t="shared" si="9"/>
        <v>8</v>
      </c>
      <c r="AF15" s="11">
        <f>COUNTIFS(Table2[away_team_name],A15,Table2[Result],"A")</f>
        <v>2</v>
      </c>
      <c r="AG15" s="11">
        <f>COUNTIFS(Table2[away_team_name],A15,Table2[Result],"D")</f>
        <v>2</v>
      </c>
      <c r="AH15" s="11">
        <f>COUNTIFS(Table2[away_team_name],A15,Table2[Result],"H")</f>
        <v>5</v>
      </c>
      <c r="AI15" s="22"/>
      <c r="AJ15" s="22"/>
      <c r="AK15" s="22"/>
      <c r="AL15" s="13">
        <f t="shared" si="10"/>
        <v>-3</v>
      </c>
      <c r="AM15" s="13">
        <f>SUMIF(Table2[away_team_name],A15,Table2[away_team_goal_count])</f>
        <v>9</v>
      </c>
      <c r="AN15" s="13">
        <f>SUMIF(Table2[away_team_name],A15,Table2[home_team_goal_count])</f>
        <v>12</v>
      </c>
      <c r="AO15" s="16">
        <f t="shared" si="17"/>
        <v>-2.1375638388829117</v>
      </c>
      <c r="AP15" s="16">
        <f>SUMIF(Table2[away_team_name],A15,Table2[xAG])</f>
        <v>10.323340305927315</v>
      </c>
      <c r="AQ15" s="16">
        <f>SUMIF(Table2[away_team_name],A15,Table2[xHG])</f>
        <v>12.460904144810227</v>
      </c>
    </row>
    <row r="16" spans="1:43" x14ac:dyDescent="0.45">
      <c r="A16" s="9" t="s">
        <v>79</v>
      </c>
      <c r="B16" s="9"/>
      <c r="C16" s="11">
        <f t="shared" si="0"/>
        <v>19</v>
      </c>
      <c r="D16" s="13">
        <f t="shared" si="1"/>
        <v>-15</v>
      </c>
      <c r="E16" s="15">
        <f t="shared" si="11"/>
        <v>-4.1302107060098763</v>
      </c>
      <c r="F16" s="11">
        <f t="shared" si="2"/>
        <v>5</v>
      </c>
      <c r="G16" s="11">
        <f t="shared" si="3"/>
        <v>4</v>
      </c>
      <c r="H16" s="11">
        <f t="shared" si="4"/>
        <v>8</v>
      </c>
      <c r="I16" s="22"/>
      <c r="J16" s="22"/>
      <c r="K16" s="22"/>
      <c r="L16" s="18">
        <f t="shared" si="12"/>
        <v>1.2240949835065962</v>
      </c>
      <c r="M16" s="18">
        <f t="shared" si="13"/>
        <v>-12.09388427749672</v>
      </c>
      <c r="N16" s="13">
        <f t="shared" si="5"/>
        <v>21</v>
      </c>
      <c r="O16" s="13">
        <f t="shared" si="6"/>
        <v>36</v>
      </c>
      <c r="P16" s="15">
        <f t="shared" si="14"/>
        <v>19.775905016493404</v>
      </c>
      <c r="Q16" s="15">
        <f t="shared" si="15"/>
        <v>23.90611572250328</v>
      </c>
      <c r="R16" s="11">
        <f t="shared" si="7"/>
        <v>8</v>
      </c>
      <c r="S16" s="11">
        <f>COUNTIFS(Table2[home_team_name],A16,Table2[Result],"H")</f>
        <v>2</v>
      </c>
      <c r="T16" s="11">
        <f>COUNTIFS(Table2[home_team_name],A16,Table2[Result],"D")</f>
        <v>2</v>
      </c>
      <c r="U16" s="11">
        <f>COUNTIFS(Table2[home_team_name],A16,Table2[Result],"A")</f>
        <v>5</v>
      </c>
      <c r="V16" s="22"/>
      <c r="W16" s="22"/>
      <c r="X16" s="22"/>
      <c r="Y16" s="13">
        <f t="shared" si="8"/>
        <v>-7</v>
      </c>
      <c r="Z16" s="13">
        <f>SUMIF(Table2[home_team_name],A16,Table2[home_team_goal_count])</f>
        <v>12</v>
      </c>
      <c r="AA16" s="13">
        <f>SUMIF(Table2[home_team_name],A16,Table2[away_team_goal_count])</f>
        <v>19</v>
      </c>
      <c r="AB16" s="15">
        <f t="shared" si="16"/>
        <v>0.36857476276173884</v>
      </c>
      <c r="AC16" s="15">
        <f>SUMIF(Table2[home_team_name],A16,Table2[xHG])</f>
        <v>11.582455380251455</v>
      </c>
      <c r="AD16" s="15">
        <f>SUMIF(Table2[home_team_name],A16,Table2[xAG])</f>
        <v>11.213880617489716</v>
      </c>
      <c r="AE16" s="11">
        <f t="shared" si="9"/>
        <v>11</v>
      </c>
      <c r="AF16" s="11">
        <f>COUNTIFS(Table2[away_team_name],A16,Table2[Result],"A")</f>
        <v>3</v>
      </c>
      <c r="AG16" s="11">
        <f>COUNTIFS(Table2[away_team_name],A16,Table2[Result],"D")</f>
        <v>2</v>
      </c>
      <c r="AH16" s="11">
        <f>COUNTIFS(Table2[away_team_name],A16,Table2[Result],"H")</f>
        <v>3</v>
      </c>
      <c r="AI16" s="22"/>
      <c r="AJ16" s="22"/>
      <c r="AK16" s="22"/>
      <c r="AL16" s="13">
        <f t="shared" si="10"/>
        <v>-8</v>
      </c>
      <c r="AM16" s="13">
        <f>SUMIF(Table2[away_team_name],A16,Table2[away_team_goal_count])</f>
        <v>9</v>
      </c>
      <c r="AN16" s="13">
        <f>SUMIF(Table2[away_team_name],A16,Table2[home_team_goal_count])</f>
        <v>17</v>
      </c>
      <c r="AO16" s="16">
        <f t="shared" si="17"/>
        <v>-4.4987854687716116</v>
      </c>
      <c r="AP16" s="16">
        <f>SUMIF(Table2[away_team_name],A16,Table2[xAG])</f>
        <v>8.1934496362419509</v>
      </c>
      <c r="AQ16" s="16">
        <f>SUMIF(Table2[away_team_name],A16,Table2[xHG])</f>
        <v>12.692235105013562</v>
      </c>
    </row>
    <row r="17" spans="1:43" x14ac:dyDescent="0.45">
      <c r="A17" s="9" t="s">
        <v>67</v>
      </c>
      <c r="B17" s="9"/>
      <c r="C17" s="11">
        <f t="shared" si="0"/>
        <v>17</v>
      </c>
      <c r="D17" s="13">
        <f t="shared" si="1"/>
        <v>-3</v>
      </c>
      <c r="E17" s="15">
        <f t="shared" si="11"/>
        <v>-4.5276107376376125</v>
      </c>
      <c r="F17" s="11">
        <f t="shared" si="2"/>
        <v>3</v>
      </c>
      <c r="G17" s="11">
        <f t="shared" si="3"/>
        <v>8</v>
      </c>
      <c r="H17" s="11">
        <f t="shared" si="4"/>
        <v>6</v>
      </c>
      <c r="I17" s="22"/>
      <c r="J17" s="22"/>
      <c r="K17" s="22"/>
      <c r="L17" s="18">
        <f t="shared" si="12"/>
        <v>-1.6569517893469836</v>
      </c>
      <c r="M17" s="18">
        <f t="shared" si="13"/>
        <v>3.1845625269845961</v>
      </c>
      <c r="N17" s="13">
        <f t="shared" si="5"/>
        <v>18</v>
      </c>
      <c r="O17" s="13">
        <f t="shared" si="6"/>
        <v>21</v>
      </c>
      <c r="P17" s="15">
        <f t="shared" si="14"/>
        <v>19.656951789346984</v>
      </c>
      <c r="Q17" s="15">
        <f t="shared" si="15"/>
        <v>24.184562526984596</v>
      </c>
      <c r="R17" s="11">
        <f t="shared" si="7"/>
        <v>10</v>
      </c>
      <c r="S17" s="11">
        <f>COUNTIFS(Table2[home_team_name],A17,Table2[Result],"H")</f>
        <v>3</v>
      </c>
      <c r="T17" s="11">
        <f>COUNTIFS(Table2[home_team_name],A17,Table2[Result],"D")</f>
        <v>1</v>
      </c>
      <c r="U17" s="11">
        <f>COUNTIFS(Table2[home_team_name],A17,Table2[Result],"A")</f>
        <v>5</v>
      </c>
      <c r="V17" s="22"/>
      <c r="W17" s="22"/>
      <c r="X17" s="22"/>
      <c r="Y17" s="13">
        <f t="shared" si="8"/>
        <v>-2</v>
      </c>
      <c r="Z17" s="13">
        <f>SUMIF(Table2[home_team_name],A17,Table2[home_team_goal_count])</f>
        <v>10</v>
      </c>
      <c r="AA17" s="13">
        <f>SUMIF(Table2[home_team_name],A17,Table2[away_team_goal_count])</f>
        <v>12</v>
      </c>
      <c r="AB17" s="15">
        <f t="shared" si="16"/>
        <v>1.2012914661255429</v>
      </c>
      <c r="AC17" s="15">
        <f>SUMIF(Table2[home_team_name],A17,Table2[xHG])</f>
        <v>11.968697161990116</v>
      </c>
      <c r="AD17" s="15">
        <f>SUMIF(Table2[home_team_name],A17,Table2[xAG])</f>
        <v>10.767405695864573</v>
      </c>
      <c r="AE17" s="11">
        <f t="shared" si="9"/>
        <v>7</v>
      </c>
      <c r="AF17" s="11">
        <f>COUNTIFS(Table2[away_team_name],A17,Table2[Result],"A")</f>
        <v>0</v>
      </c>
      <c r="AG17" s="11">
        <f>COUNTIFS(Table2[away_team_name],A17,Table2[Result],"D")</f>
        <v>7</v>
      </c>
      <c r="AH17" s="11">
        <f>COUNTIFS(Table2[away_team_name],A17,Table2[Result],"H")</f>
        <v>1</v>
      </c>
      <c r="AI17" s="22"/>
      <c r="AJ17" s="22"/>
      <c r="AK17" s="22"/>
      <c r="AL17" s="13">
        <f t="shared" si="10"/>
        <v>-1</v>
      </c>
      <c r="AM17" s="13">
        <f>SUMIF(Table2[away_team_name],A17,Table2[away_team_goal_count])</f>
        <v>8</v>
      </c>
      <c r="AN17" s="13">
        <f>SUMIF(Table2[away_team_name],A17,Table2[home_team_goal_count])</f>
        <v>9</v>
      </c>
      <c r="AO17" s="16">
        <f t="shared" si="17"/>
        <v>-5.7289022037631572</v>
      </c>
      <c r="AP17" s="16">
        <f>SUMIF(Table2[away_team_name],A17,Table2[xAG])</f>
        <v>7.6882546273568657</v>
      </c>
      <c r="AQ17" s="16">
        <f>SUMIF(Table2[away_team_name],A17,Table2[xHG])</f>
        <v>13.417156831120023</v>
      </c>
    </row>
    <row r="18" spans="1:43" x14ac:dyDescent="0.45">
      <c r="A18" s="9" t="s">
        <v>106</v>
      </c>
      <c r="B18" s="9"/>
      <c r="C18" s="11">
        <f t="shared" si="0"/>
        <v>17</v>
      </c>
      <c r="D18" s="13">
        <f t="shared" si="1"/>
        <v>-12</v>
      </c>
      <c r="E18" s="15">
        <f t="shared" si="11"/>
        <v>-4.3092888142001478</v>
      </c>
      <c r="F18" s="11">
        <f t="shared" si="2"/>
        <v>4</v>
      </c>
      <c r="G18" s="11">
        <f t="shared" si="3"/>
        <v>5</v>
      </c>
      <c r="H18" s="11">
        <f t="shared" si="4"/>
        <v>8</v>
      </c>
      <c r="I18" s="22"/>
      <c r="J18" s="22"/>
      <c r="K18" s="22"/>
      <c r="L18" s="18">
        <f t="shared" si="12"/>
        <v>-5.8191939630667555</v>
      </c>
      <c r="M18" s="18">
        <f t="shared" si="13"/>
        <v>-1.8715172227330967</v>
      </c>
      <c r="N18" s="13">
        <f t="shared" si="5"/>
        <v>14</v>
      </c>
      <c r="O18" s="13">
        <f t="shared" si="6"/>
        <v>26</v>
      </c>
      <c r="P18" s="15">
        <f t="shared" si="14"/>
        <v>19.819193963066756</v>
      </c>
      <c r="Q18" s="15">
        <f t="shared" si="15"/>
        <v>24.128482777266903</v>
      </c>
      <c r="R18" s="11">
        <f t="shared" si="7"/>
        <v>13</v>
      </c>
      <c r="S18" s="11">
        <f>COUNTIFS(Table2[home_team_name],A18,Table2[Result],"H")</f>
        <v>3</v>
      </c>
      <c r="T18" s="11">
        <f>COUNTIFS(Table2[home_team_name],A18,Table2[Result],"D")</f>
        <v>4</v>
      </c>
      <c r="U18" s="11">
        <f>COUNTIFS(Table2[home_team_name],A18,Table2[Result],"A")</f>
        <v>1</v>
      </c>
      <c r="V18" s="22"/>
      <c r="W18" s="22"/>
      <c r="X18" s="22"/>
      <c r="Y18" s="13">
        <f t="shared" si="8"/>
        <v>2</v>
      </c>
      <c r="Z18" s="13">
        <f>SUMIF(Table2[home_team_name],A18,Table2[home_team_goal_count])</f>
        <v>10</v>
      </c>
      <c r="AA18" s="13">
        <f>SUMIF(Table2[home_team_name],A18,Table2[away_team_goal_count])</f>
        <v>8</v>
      </c>
      <c r="AB18" s="15">
        <f t="shared" si="16"/>
        <v>1.5807128049809336</v>
      </c>
      <c r="AC18" s="15">
        <f>SUMIF(Table2[home_team_name],A18,Table2[xHG])</f>
        <v>11.017110484899286</v>
      </c>
      <c r="AD18" s="15">
        <f>SUMIF(Table2[home_team_name],A18,Table2[xAG])</f>
        <v>9.4363976799183522</v>
      </c>
      <c r="AE18" s="11">
        <f t="shared" si="9"/>
        <v>4</v>
      </c>
      <c r="AF18" s="11">
        <f>COUNTIFS(Table2[away_team_name],A18,Table2[Result],"A")</f>
        <v>1</v>
      </c>
      <c r="AG18" s="11">
        <f>COUNTIFS(Table2[away_team_name],A18,Table2[Result],"D")</f>
        <v>1</v>
      </c>
      <c r="AH18" s="11">
        <f>COUNTIFS(Table2[away_team_name],A18,Table2[Result],"H")</f>
        <v>7</v>
      </c>
      <c r="AI18" s="22"/>
      <c r="AJ18" s="22"/>
      <c r="AK18" s="22"/>
      <c r="AL18" s="13">
        <f t="shared" si="10"/>
        <v>-14</v>
      </c>
      <c r="AM18" s="13">
        <f>SUMIF(Table2[away_team_name],A18,Table2[away_team_goal_count])</f>
        <v>4</v>
      </c>
      <c r="AN18" s="13">
        <f>SUMIF(Table2[away_team_name],A18,Table2[home_team_goal_count])</f>
        <v>18</v>
      </c>
      <c r="AO18" s="16">
        <f t="shared" si="17"/>
        <v>-5.8900016191810796</v>
      </c>
      <c r="AP18" s="16">
        <f>SUMIF(Table2[away_team_name],A18,Table2[xAG])</f>
        <v>8.8020834781674697</v>
      </c>
      <c r="AQ18" s="16">
        <f>SUMIF(Table2[away_team_name],A18,Table2[xHG])</f>
        <v>14.692085097348549</v>
      </c>
    </row>
    <row r="19" spans="1:43" x14ac:dyDescent="0.45">
      <c r="A19" s="9" t="s">
        <v>78</v>
      </c>
      <c r="B19" s="9"/>
      <c r="C19" s="11">
        <f t="shared" si="0"/>
        <v>11</v>
      </c>
      <c r="D19" s="13">
        <f t="shared" si="1"/>
        <v>-18</v>
      </c>
      <c r="E19" s="15">
        <f t="shared" si="11"/>
        <v>-7.5338292281553301</v>
      </c>
      <c r="F19" s="11">
        <f t="shared" si="2"/>
        <v>3</v>
      </c>
      <c r="G19" s="11">
        <f t="shared" si="3"/>
        <v>2</v>
      </c>
      <c r="H19" s="11">
        <f t="shared" si="4"/>
        <v>12</v>
      </c>
      <c r="I19" s="22"/>
      <c r="J19" s="22"/>
      <c r="K19" s="22"/>
      <c r="L19" s="18">
        <f t="shared" si="12"/>
        <v>-8.233348775678742</v>
      </c>
      <c r="M19" s="18">
        <f t="shared" si="13"/>
        <v>-2.2328219961659279</v>
      </c>
      <c r="N19" s="13">
        <f t="shared" si="5"/>
        <v>10</v>
      </c>
      <c r="O19" s="13">
        <f t="shared" si="6"/>
        <v>28</v>
      </c>
      <c r="P19" s="15">
        <f t="shared" si="14"/>
        <v>18.233348775678742</v>
      </c>
      <c r="Q19" s="15">
        <f t="shared" si="15"/>
        <v>25.767178003834072</v>
      </c>
      <c r="R19" s="11">
        <f t="shared" si="7"/>
        <v>4</v>
      </c>
      <c r="S19" s="11">
        <f>COUNTIFS(Table2[home_team_name],A19,Table2[Result],"H")</f>
        <v>1</v>
      </c>
      <c r="T19" s="11">
        <f>COUNTIFS(Table2[home_team_name],A19,Table2[Result],"D")</f>
        <v>1</v>
      </c>
      <c r="U19" s="11">
        <f>COUNTIFS(Table2[home_team_name],A19,Table2[Result],"A")</f>
        <v>7</v>
      </c>
      <c r="V19" s="22"/>
      <c r="W19" s="22"/>
      <c r="X19" s="22"/>
      <c r="Y19" s="13">
        <f t="shared" si="8"/>
        <v>-8</v>
      </c>
      <c r="Z19" s="13">
        <f>SUMIF(Table2[home_team_name],A19,Table2[home_team_goal_count])</f>
        <v>7</v>
      </c>
      <c r="AA19" s="13">
        <f>SUMIF(Table2[home_team_name],A19,Table2[away_team_goal_count])</f>
        <v>15</v>
      </c>
      <c r="AB19" s="15">
        <f t="shared" si="16"/>
        <v>-1.2032678172863225</v>
      </c>
      <c r="AC19" s="15">
        <f>SUMIF(Table2[home_team_name],A19,Table2[xHG])</f>
        <v>10.839165967774317</v>
      </c>
      <c r="AD19" s="15">
        <f>SUMIF(Table2[home_team_name],A19,Table2[xAG])</f>
        <v>12.04243378506064</v>
      </c>
      <c r="AE19" s="11">
        <f t="shared" si="9"/>
        <v>7</v>
      </c>
      <c r="AF19" s="11">
        <f>COUNTIFS(Table2[away_team_name],A19,Table2[Result],"A")</f>
        <v>2</v>
      </c>
      <c r="AG19" s="11">
        <f>COUNTIFS(Table2[away_team_name],A19,Table2[Result],"D")</f>
        <v>1</v>
      </c>
      <c r="AH19" s="11">
        <f>COUNTIFS(Table2[away_team_name],A19,Table2[Result],"H")</f>
        <v>5</v>
      </c>
      <c r="AI19" s="22"/>
      <c r="AJ19" s="22"/>
      <c r="AK19" s="22"/>
      <c r="AL19" s="13">
        <f t="shared" si="10"/>
        <v>-10</v>
      </c>
      <c r="AM19" s="13">
        <f>SUMIF(Table2[away_team_name],A19,Table2[away_team_goal_count])</f>
        <v>3</v>
      </c>
      <c r="AN19" s="13">
        <f>SUMIF(Table2[away_team_name],A19,Table2[home_team_goal_count])</f>
        <v>13</v>
      </c>
      <c r="AO19" s="16">
        <f t="shared" si="17"/>
        <v>-6.3305614108690058</v>
      </c>
      <c r="AP19" s="16">
        <f>SUMIF(Table2[away_team_name],A19,Table2[xAG])</f>
        <v>7.3941828079044267</v>
      </c>
      <c r="AQ19" s="16">
        <f>SUMIF(Table2[away_team_name],A19,Table2[xHG])</f>
        <v>13.724744218773433</v>
      </c>
    </row>
  </sheetData>
  <autoFilter ref="A1:AQ1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zoomScale="110" zoomScaleNormal="110" workbookViewId="0">
      <selection activeCell="O11" sqref="O11"/>
    </sheetView>
  </sheetViews>
  <sheetFormatPr defaultRowHeight="14.25" x14ac:dyDescent="0.45"/>
  <cols>
    <col min="1" max="1" width="15.73046875" bestFit="1" customWidth="1"/>
  </cols>
  <sheetData>
    <row r="1" spans="1:3" x14ac:dyDescent="0.45">
      <c r="A1" t="s">
        <v>1357</v>
      </c>
      <c r="B1" t="s">
        <v>1382</v>
      </c>
      <c r="C1" t="s">
        <v>1383</v>
      </c>
    </row>
    <row r="2" spans="1:3" x14ac:dyDescent="0.45">
      <c r="A2" s="19" t="s">
        <v>84</v>
      </c>
      <c r="B2" s="20">
        <v>6.1500711853987085</v>
      </c>
      <c r="C2" s="20">
        <v>4.7673796180405184</v>
      </c>
    </row>
    <row r="3" spans="1:3" x14ac:dyDescent="0.45">
      <c r="A3" s="19" t="s">
        <v>107</v>
      </c>
      <c r="B3" s="20">
        <v>4.3043868163719452</v>
      </c>
      <c r="C3" s="20">
        <v>-1.3740587306833874</v>
      </c>
    </row>
    <row r="4" spans="1:3" x14ac:dyDescent="0.45">
      <c r="A4" s="19" t="s">
        <v>97</v>
      </c>
      <c r="B4" s="20">
        <v>-2.4368511789084515</v>
      </c>
      <c r="C4" s="20">
        <v>5.015291493799289</v>
      </c>
    </row>
    <row r="5" spans="1:3" x14ac:dyDescent="0.45">
      <c r="A5" s="19" t="s">
        <v>68</v>
      </c>
      <c r="B5" s="20">
        <v>-0.78612417856638928</v>
      </c>
      <c r="C5" s="20">
        <v>1.8509375138396251</v>
      </c>
    </row>
    <row r="6" spans="1:3" x14ac:dyDescent="0.45">
      <c r="A6" s="19" t="s">
        <v>102</v>
      </c>
      <c r="B6" s="20">
        <v>3.6566909764337368</v>
      </c>
      <c r="C6" s="20">
        <v>2.9155639865987695</v>
      </c>
    </row>
    <row r="7" spans="1:3" x14ac:dyDescent="0.45">
      <c r="A7" s="19" t="s">
        <v>90</v>
      </c>
      <c r="B7" s="20">
        <v>3.1864392333940827</v>
      </c>
      <c r="C7" s="20">
        <v>-2.1209085597554633E-2</v>
      </c>
    </row>
    <row r="8" spans="1:3" x14ac:dyDescent="0.45">
      <c r="A8" s="19" t="s">
        <v>101</v>
      </c>
      <c r="B8" s="20">
        <v>-4.8608105229388272</v>
      </c>
      <c r="C8" s="20">
        <v>1.569362921184478</v>
      </c>
    </row>
    <row r="9" spans="1:3" x14ac:dyDescent="0.45">
      <c r="A9" s="19" t="s">
        <v>112</v>
      </c>
      <c r="B9" s="20">
        <v>-3.2189763698163816</v>
      </c>
      <c r="C9" s="20">
        <v>3.3151826526695061</v>
      </c>
    </row>
    <row r="10" spans="1:3" x14ac:dyDescent="0.45">
      <c r="A10" s="19" t="s">
        <v>72</v>
      </c>
      <c r="B10" s="20">
        <v>0.96143457022384027</v>
      </c>
      <c r="C10" s="20">
        <v>1.7978560618375496</v>
      </c>
    </row>
    <row r="11" spans="1:3" x14ac:dyDescent="0.45">
      <c r="A11" s="19" t="s">
        <v>91</v>
      </c>
      <c r="B11" s="20">
        <v>1.0829287248386166</v>
      </c>
      <c r="C11" s="20">
        <v>1.461284569544901</v>
      </c>
    </row>
    <row r="12" spans="1:3" x14ac:dyDescent="0.45">
      <c r="A12" s="19" t="s">
        <v>96</v>
      </c>
      <c r="B12" s="20">
        <v>2.89842381387313</v>
      </c>
      <c r="C12" s="20">
        <v>1.0278821522184032</v>
      </c>
    </row>
    <row r="13" spans="1:3" x14ac:dyDescent="0.45">
      <c r="A13" s="19" t="s">
        <v>113</v>
      </c>
      <c r="B13" s="20">
        <v>1.8732373273281411</v>
      </c>
      <c r="C13" s="20">
        <v>2.2554345465651231</v>
      </c>
    </row>
    <row r="14" spans="1:3" x14ac:dyDescent="0.45">
      <c r="A14" s="19" t="s">
        <v>85</v>
      </c>
      <c r="B14" s="20">
        <v>-6.8779934486286507</v>
      </c>
      <c r="C14" s="20">
        <v>-2.5765129412257117</v>
      </c>
    </row>
    <row r="15" spans="1:3" x14ac:dyDescent="0.45">
      <c r="A15" s="19" t="s">
        <v>73</v>
      </c>
      <c r="B15" s="20">
        <v>3.2545275951954302</v>
      </c>
      <c r="C15" s="20">
        <v>-3.6927187889934103</v>
      </c>
    </row>
    <row r="16" spans="1:3" x14ac:dyDescent="0.45">
      <c r="A16" s="19" t="s">
        <v>79</v>
      </c>
      <c r="B16" s="20">
        <v>1.2240949835065962</v>
      </c>
      <c r="C16" s="20">
        <v>-12.09388427749672</v>
      </c>
    </row>
    <row r="17" spans="1:3" x14ac:dyDescent="0.45">
      <c r="A17" s="19" t="s">
        <v>67</v>
      </c>
      <c r="B17" s="20">
        <v>-1.6569517893469836</v>
      </c>
      <c r="C17" s="20">
        <v>3.1845625269845961</v>
      </c>
    </row>
    <row r="18" spans="1:3" x14ac:dyDescent="0.45">
      <c r="A18" s="19" t="s">
        <v>106</v>
      </c>
      <c r="B18" s="20">
        <v>-5.8191939630667555</v>
      </c>
      <c r="C18" s="20">
        <v>-1.8715172227330967</v>
      </c>
    </row>
    <row r="19" spans="1:3" x14ac:dyDescent="0.45">
      <c r="A19" s="19" t="s">
        <v>78</v>
      </c>
      <c r="B19" s="20">
        <v>-8.233348775678742</v>
      </c>
      <c r="C19" s="20">
        <v>-2.2328219961659279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D389-61CC-406E-A44C-D0D1898DA0EC}">
  <dimension ref="A1:R30"/>
  <sheetViews>
    <sheetView topLeftCell="B1" zoomScale="110" zoomScaleNormal="110" workbookViewId="0">
      <selection activeCell="P27" sqref="P27"/>
    </sheetView>
  </sheetViews>
  <sheetFormatPr defaultRowHeight="14.25" x14ac:dyDescent="0.45"/>
  <cols>
    <col min="1" max="1" width="15.73046875" bestFit="1" customWidth="1"/>
    <col min="16" max="16" width="15.73046875" bestFit="1" customWidth="1"/>
  </cols>
  <sheetData>
    <row r="1" spans="1:18" x14ac:dyDescent="0.45">
      <c r="A1" t="s">
        <v>1357</v>
      </c>
      <c r="B1" t="s">
        <v>1382</v>
      </c>
      <c r="C1" t="s">
        <v>1383</v>
      </c>
      <c r="P1" t="s">
        <v>1357</v>
      </c>
      <c r="Q1" t="s">
        <v>1382</v>
      </c>
      <c r="R1" t="s">
        <v>1383</v>
      </c>
    </row>
    <row r="2" spans="1:18" x14ac:dyDescent="0.45">
      <c r="A2" s="25" t="s">
        <v>84</v>
      </c>
      <c r="B2" s="20">
        <v>6.1500711853987085</v>
      </c>
      <c r="C2" s="20">
        <v>4.7673796180405184</v>
      </c>
      <c r="P2" s="19" t="s">
        <v>101</v>
      </c>
      <c r="Q2" s="20">
        <v>-7.5015774162334896</v>
      </c>
      <c r="R2" s="20">
        <v>2.27453290581261</v>
      </c>
    </row>
    <row r="3" spans="1:18" x14ac:dyDescent="0.45">
      <c r="A3" s="19" t="s">
        <v>107</v>
      </c>
      <c r="B3" s="20">
        <v>4.3043868163719452</v>
      </c>
      <c r="C3" s="20">
        <v>-1.3740587306833874</v>
      </c>
      <c r="P3" s="19" t="s">
        <v>1390</v>
      </c>
      <c r="Q3" s="20">
        <v>-3.7029652446562901E-4</v>
      </c>
      <c r="R3" s="20">
        <v>3.13057942546898</v>
      </c>
    </row>
    <row r="4" spans="1:18" x14ac:dyDescent="0.45">
      <c r="A4" s="24" t="s">
        <v>97</v>
      </c>
      <c r="B4" s="20">
        <v>-2.4368511789084515</v>
      </c>
      <c r="C4" s="20">
        <v>5.015291493799289</v>
      </c>
      <c r="P4" s="19" t="s">
        <v>1391</v>
      </c>
      <c r="Q4" s="20">
        <v>-1.8647188786592499</v>
      </c>
      <c r="R4" s="20">
        <v>2.67957494582084</v>
      </c>
    </row>
    <row r="5" spans="1:18" x14ac:dyDescent="0.45">
      <c r="A5" s="19" t="s">
        <v>68</v>
      </c>
      <c r="B5" s="20">
        <v>-0.78612417856638928</v>
      </c>
      <c r="C5" s="20">
        <v>1.8509375138396251</v>
      </c>
      <c r="P5" s="19" t="s">
        <v>1392</v>
      </c>
      <c r="Q5" s="20">
        <v>-3.9181169993209801</v>
      </c>
      <c r="R5" s="20">
        <v>2.3758727222664699</v>
      </c>
    </row>
    <row r="6" spans="1:18" x14ac:dyDescent="0.45">
      <c r="A6" s="19" t="s">
        <v>102</v>
      </c>
      <c r="B6" s="20">
        <v>3.6566909764337368</v>
      </c>
      <c r="C6" s="20">
        <v>2.9155639865987695</v>
      </c>
      <c r="P6" s="19" t="s">
        <v>102</v>
      </c>
      <c r="Q6" s="20">
        <v>-4.60852249430864</v>
      </c>
      <c r="R6" s="20">
        <v>7.0792891618014897</v>
      </c>
    </row>
    <row r="7" spans="1:18" x14ac:dyDescent="0.45">
      <c r="A7" s="19" t="s">
        <v>90</v>
      </c>
      <c r="B7" s="20">
        <v>3.1864392333940827</v>
      </c>
      <c r="C7" s="20">
        <v>-2.1209085597554633E-2</v>
      </c>
      <c r="P7" s="19" t="s">
        <v>1393</v>
      </c>
      <c r="Q7" s="20">
        <v>-4.5403212884384896</v>
      </c>
      <c r="R7" s="20">
        <v>5.40485256240291</v>
      </c>
    </row>
    <row r="8" spans="1:18" x14ac:dyDescent="0.45">
      <c r="A8" s="19" t="s">
        <v>101</v>
      </c>
      <c r="B8" s="20">
        <v>-4.8608105229388272</v>
      </c>
      <c r="C8" s="20">
        <v>1.569362921184478</v>
      </c>
      <c r="P8" s="24" t="s">
        <v>97</v>
      </c>
      <c r="Q8" s="20">
        <v>-4.7167619649000398</v>
      </c>
      <c r="R8" s="20">
        <v>8.6440889683365807</v>
      </c>
    </row>
    <row r="9" spans="1:18" x14ac:dyDescent="0.45">
      <c r="A9" s="19" t="s">
        <v>112</v>
      </c>
      <c r="B9" s="20">
        <v>-3.2189763698163816</v>
      </c>
      <c r="C9" s="20">
        <v>3.3151826526695061</v>
      </c>
      <c r="P9" s="19" t="s">
        <v>1394</v>
      </c>
      <c r="Q9" s="20">
        <v>1.87263810220315</v>
      </c>
      <c r="R9" s="20">
        <v>5.6678321659852697</v>
      </c>
    </row>
    <row r="10" spans="1:18" x14ac:dyDescent="0.45">
      <c r="A10" s="19" t="s">
        <v>72</v>
      </c>
      <c r="B10" s="20">
        <v>0.96143457022384027</v>
      </c>
      <c r="C10" s="20">
        <v>1.7978560618375496</v>
      </c>
      <c r="P10" s="19" t="s">
        <v>1395</v>
      </c>
      <c r="Q10" s="20">
        <v>-5.5425877104761998</v>
      </c>
      <c r="R10" s="20">
        <v>8.0700190522373703</v>
      </c>
    </row>
    <row r="11" spans="1:18" x14ac:dyDescent="0.45">
      <c r="A11" s="19" t="s">
        <v>91</v>
      </c>
      <c r="B11" s="20">
        <v>1.0829287248386166</v>
      </c>
      <c r="C11" s="20">
        <v>1.461284569544901</v>
      </c>
      <c r="P11" s="19" t="s">
        <v>1396</v>
      </c>
      <c r="Q11" s="20">
        <v>-8.4772312324110697</v>
      </c>
      <c r="R11" s="20">
        <v>9.1324423287883008</v>
      </c>
    </row>
    <row r="12" spans="1:18" x14ac:dyDescent="0.45">
      <c r="A12" s="19" t="s">
        <v>96</v>
      </c>
      <c r="B12" s="20">
        <v>2.89842381387313</v>
      </c>
      <c r="C12" s="20">
        <v>1.0278821522184032</v>
      </c>
      <c r="P12" s="19" t="s">
        <v>1397</v>
      </c>
      <c r="Q12" s="20">
        <v>-0.68663869635844998</v>
      </c>
      <c r="R12" s="20">
        <v>0.67212097500075096</v>
      </c>
    </row>
    <row r="13" spans="1:18" x14ac:dyDescent="0.45">
      <c r="A13" s="19" t="s">
        <v>113</v>
      </c>
      <c r="B13" s="20">
        <v>1.8732373273281411</v>
      </c>
      <c r="C13" s="20">
        <v>2.2554345465651231</v>
      </c>
      <c r="P13" s="25" t="s">
        <v>84</v>
      </c>
      <c r="Q13" s="20">
        <v>-5.1197049802741503</v>
      </c>
      <c r="R13" s="20">
        <v>-1.1637984486964701</v>
      </c>
    </row>
    <row r="14" spans="1:18" x14ac:dyDescent="0.45">
      <c r="A14" s="19" t="s">
        <v>85</v>
      </c>
      <c r="B14" s="20">
        <v>-6.8779934486286507</v>
      </c>
      <c r="C14" s="20">
        <v>-2.5765129412257117</v>
      </c>
      <c r="P14" s="19" t="s">
        <v>112</v>
      </c>
      <c r="Q14" s="20">
        <v>-3.7342091657610399</v>
      </c>
      <c r="R14" s="20">
        <v>1.8013694865278</v>
      </c>
    </row>
    <row r="15" spans="1:18" x14ac:dyDescent="0.45">
      <c r="A15" s="19" t="s">
        <v>73</v>
      </c>
      <c r="B15" s="20">
        <v>3.2545275951954302</v>
      </c>
      <c r="C15" s="20">
        <v>-3.6927187889934103</v>
      </c>
      <c r="P15" s="19" t="s">
        <v>1398</v>
      </c>
      <c r="Q15" s="20">
        <v>-4.23190168487855</v>
      </c>
      <c r="R15" s="20">
        <v>-3.0577823670419599</v>
      </c>
    </row>
    <row r="16" spans="1:18" x14ac:dyDescent="0.45">
      <c r="A16" s="19" t="s">
        <v>79</v>
      </c>
      <c r="B16" s="20">
        <v>1.2240949835065962</v>
      </c>
      <c r="C16" s="20">
        <v>-12.09388427749672</v>
      </c>
      <c r="P16" s="19" t="s">
        <v>1399</v>
      </c>
      <c r="Q16" s="20">
        <v>-7.6018190850838803</v>
      </c>
      <c r="R16" s="20">
        <v>6.21781798301223</v>
      </c>
    </row>
    <row r="17" spans="1:18" x14ac:dyDescent="0.45">
      <c r="A17" s="19" t="s">
        <v>67</v>
      </c>
      <c r="B17" s="20">
        <v>-1.6569517893469836</v>
      </c>
      <c r="C17" s="20">
        <v>3.1845625269845961</v>
      </c>
      <c r="P17" s="19" t="s">
        <v>72</v>
      </c>
      <c r="Q17" s="20">
        <v>-5.1224031220548101</v>
      </c>
      <c r="R17" s="20">
        <v>0.867887436161076</v>
      </c>
    </row>
    <row r="18" spans="1:18" x14ac:dyDescent="0.45">
      <c r="A18" s="19" t="s">
        <v>106</v>
      </c>
      <c r="B18" s="20">
        <v>-5.8191939630667555</v>
      </c>
      <c r="C18" s="20">
        <v>-1.8715172227330967</v>
      </c>
      <c r="P18" s="19" t="s">
        <v>79</v>
      </c>
      <c r="Q18" s="20">
        <v>1.21043170160604</v>
      </c>
      <c r="R18" s="20">
        <v>1.12036740550541</v>
      </c>
    </row>
    <row r="19" spans="1:18" x14ac:dyDescent="0.45">
      <c r="A19" s="19" t="s">
        <v>78</v>
      </c>
      <c r="B19" s="20">
        <v>-8.233348775678742</v>
      </c>
      <c r="C19" s="20">
        <v>-2.2328219961659279</v>
      </c>
      <c r="P19" s="19" t="s">
        <v>73</v>
      </c>
      <c r="Q19" s="20">
        <v>-0.78471236763768804</v>
      </c>
      <c r="R19" s="20">
        <v>4.4514608701223102</v>
      </c>
    </row>
    <row r="21" spans="1:18" x14ac:dyDescent="0.45">
      <c r="A21" t="s">
        <v>1357</v>
      </c>
      <c r="B21" t="s">
        <v>1382</v>
      </c>
      <c r="C21" t="s">
        <v>1383</v>
      </c>
    </row>
    <row r="22" spans="1:18" x14ac:dyDescent="0.45">
      <c r="A22" s="25" t="s">
        <v>1401</v>
      </c>
      <c r="B22" s="20">
        <v>6.1500711853987085</v>
      </c>
      <c r="C22" s="20">
        <v>4.7673796180405184</v>
      </c>
    </row>
    <row r="23" spans="1:18" x14ac:dyDescent="0.45">
      <c r="A23" s="25" t="s">
        <v>1400</v>
      </c>
      <c r="B23" s="20">
        <v>-5.1197049802741503</v>
      </c>
      <c r="C23" s="20">
        <v>-1.1637984486964701</v>
      </c>
    </row>
    <row r="24" spans="1:18" x14ac:dyDescent="0.45">
      <c r="B24" s="27">
        <v>11</v>
      </c>
      <c r="C24" s="26">
        <v>6</v>
      </c>
    </row>
    <row r="27" spans="1:18" x14ac:dyDescent="0.45">
      <c r="A27" t="s">
        <v>1357</v>
      </c>
      <c r="B27" t="s">
        <v>1382</v>
      </c>
      <c r="C27" t="s">
        <v>1383</v>
      </c>
    </row>
    <row r="28" spans="1:18" x14ac:dyDescent="0.45">
      <c r="A28" s="24" t="s">
        <v>1403</v>
      </c>
      <c r="B28" s="20">
        <v>-2.4368511789084515</v>
      </c>
      <c r="C28" s="20">
        <v>5.015291493799289</v>
      </c>
    </row>
    <row r="29" spans="1:18" x14ac:dyDescent="0.45">
      <c r="A29" s="24" t="s">
        <v>1402</v>
      </c>
      <c r="B29" s="20">
        <v>-4.7167619649000398</v>
      </c>
      <c r="C29" s="20">
        <v>8.6440889683365807</v>
      </c>
    </row>
    <row r="30" spans="1:18" x14ac:dyDescent="0.45">
      <c r="B30">
        <v>3</v>
      </c>
      <c r="C30">
        <v>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0"/>
  <sheetViews>
    <sheetView zoomScale="110" zoomScaleNormal="110" workbookViewId="0">
      <selection activeCell="L24" sqref="L24"/>
    </sheetView>
  </sheetViews>
  <sheetFormatPr defaultRowHeight="14.25" x14ac:dyDescent="0.45"/>
  <cols>
    <col min="1" max="1" width="15.73046875" bestFit="1" customWidth="1"/>
    <col min="16" max="16" width="15.73046875" bestFit="1" customWidth="1"/>
  </cols>
  <sheetData>
    <row r="1" spans="1:18" x14ac:dyDescent="0.45">
      <c r="A1" t="s">
        <v>1357</v>
      </c>
      <c r="B1" t="s">
        <v>1382</v>
      </c>
      <c r="C1" t="s">
        <v>1383</v>
      </c>
      <c r="P1" t="s">
        <v>1357</v>
      </c>
      <c r="Q1" t="s">
        <v>1382</v>
      </c>
      <c r="R1" t="s">
        <v>1383</v>
      </c>
    </row>
    <row r="2" spans="1:18" x14ac:dyDescent="0.45">
      <c r="A2" s="25" t="s">
        <v>84</v>
      </c>
      <c r="B2" s="20"/>
      <c r="C2" s="20"/>
      <c r="P2" s="19" t="s">
        <v>101</v>
      </c>
      <c r="Q2" s="20">
        <v>-7.5015774162334896</v>
      </c>
      <c r="R2" s="20">
        <v>2.27453290581261</v>
      </c>
    </row>
    <row r="3" spans="1:18" x14ac:dyDescent="0.45">
      <c r="A3" s="19" t="s">
        <v>107</v>
      </c>
      <c r="B3" s="20"/>
      <c r="C3" s="20"/>
      <c r="P3" s="19" t="s">
        <v>1390</v>
      </c>
      <c r="Q3" s="20">
        <v>-3.7029652446562901E-4</v>
      </c>
      <c r="R3" s="20">
        <v>3.13057942546898</v>
      </c>
    </row>
    <row r="4" spans="1:18" x14ac:dyDescent="0.45">
      <c r="A4" s="24" t="s">
        <v>97</v>
      </c>
      <c r="B4" s="20"/>
      <c r="C4" s="20"/>
      <c r="P4" s="19" t="s">
        <v>1391</v>
      </c>
      <c r="Q4" s="20">
        <v>-1.8647188786592499</v>
      </c>
      <c r="R4" s="20">
        <v>2.67957494582084</v>
      </c>
    </row>
    <row r="5" spans="1:18" x14ac:dyDescent="0.45">
      <c r="A5" s="19" t="s">
        <v>68</v>
      </c>
      <c r="B5" s="20"/>
      <c r="C5" s="20"/>
      <c r="P5" s="19" t="s">
        <v>1392</v>
      </c>
      <c r="Q5" s="20">
        <v>-3.9181169993209801</v>
      </c>
      <c r="R5" s="20">
        <v>2.3758727222664699</v>
      </c>
    </row>
    <row r="6" spans="1:18" x14ac:dyDescent="0.45">
      <c r="A6" s="19" t="s">
        <v>102</v>
      </c>
      <c r="B6" s="20"/>
      <c r="C6" s="20"/>
      <c r="P6" s="19" t="s">
        <v>102</v>
      </c>
      <c r="Q6" s="20">
        <v>-4.60852249430864</v>
      </c>
      <c r="R6" s="20">
        <v>7.0792891618014897</v>
      </c>
    </row>
    <row r="7" spans="1:18" x14ac:dyDescent="0.45">
      <c r="A7" s="19" t="s">
        <v>90</v>
      </c>
      <c r="B7" s="20"/>
      <c r="C7" s="20"/>
      <c r="P7" s="19" t="s">
        <v>1393</v>
      </c>
      <c r="Q7" s="20">
        <v>-4.5403212884384896</v>
      </c>
      <c r="R7" s="20">
        <v>5.40485256240291</v>
      </c>
    </row>
    <row r="8" spans="1:18" x14ac:dyDescent="0.45">
      <c r="A8" s="19" t="s">
        <v>101</v>
      </c>
      <c r="B8" s="20"/>
      <c r="C8" s="20"/>
      <c r="P8" s="24" t="s">
        <v>97</v>
      </c>
      <c r="Q8" s="20">
        <v>-4.7167619649000398</v>
      </c>
      <c r="R8" s="20">
        <v>8.6440889683365807</v>
      </c>
    </row>
    <row r="9" spans="1:18" x14ac:dyDescent="0.45">
      <c r="A9" s="19" t="s">
        <v>112</v>
      </c>
      <c r="B9" s="20"/>
      <c r="C9" s="20"/>
      <c r="P9" s="19" t="s">
        <v>1394</v>
      </c>
      <c r="Q9" s="20">
        <v>1.87263810220315</v>
      </c>
      <c r="R9" s="20">
        <v>5.6678321659852697</v>
      </c>
    </row>
    <row r="10" spans="1:18" x14ac:dyDescent="0.45">
      <c r="A10" s="19" t="s">
        <v>72</v>
      </c>
      <c r="B10" s="20"/>
      <c r="C10" s="20"/>
      <c r="P10" s="19" t="s">
        <v>1395</v>
      </c>
      <c r="Q10" s="20">
        <v>-5.5425877104761998</v>
      </c>
      <c r="R10" s="20">
        <v>8.0700190522373703</v>
      </c>
    </row>
    <row r="11" spans="1:18" x14ac:dyDescent="0.45">
      <c r="A11" s="19" t="s">
        <v>91</v>
      </c>
      <c r="B11" s="20"/>
      <c r="C11" s="20"/>
      <c r="P11" s="19" t="s">
        <v>1396</v>
      </c>
      <c r="Q11" s="20">
        <v>-8.4772312324110697</v>
      </c>
      <c r="R11" s="20">
        <v>9.1324423287883008</v>
      </c>
    </row>
    <row r="12" spans="1:18" x14ac:dyDescent="0.45">
      <c r="A12" s="19" t="s">
        <v>96</v>
      </c>
      <c r="B12" s="20"/>
      <c r="C12" s="20"/>
      <c r="P12" s="19" t="s">
        <v>1397</v>
      </c>
      <c r="Q12" s="20">
        <v>-0.68663869635844998</v>
      </c>
      <c r="R12" s="20">
        <v>0.67212097500075096</v>
      </c>
    </row>
    <row r="13" spans="1:18" x14ac:dyDescent="0.45">
      <c r="A13" s="19" t="s">
        <v>113</v>
      </c>
      <c r="B13" s="20"/>
      <c r="C13" s="20"/>
      <c r="P13" s="25" t="s">
        <v>84</v>
      </c>
      <c r="Q13" s="20">
        <v>-5.1197049802741503</v>
      </c>
      <c r="R13" s="20">
        <v>-1.1637984486964701</v>
      </c>
    </row>
    <row r="14" spans="1:18" x14ac:dyDescent="0.45">
      <c r="A14" s="19" t="s">
        <v>85</v>
      </c>
      <c r="B14" s="20"/>
      <c r="C14" s="20"/>
      <c r="P14" s="19" t="s">
        <v>112</v>
      </c>
      <c r="Q14" s="20">
        <v>-3.7342091657610399</v>
      </c>
      <c r="R14" s="20">
        <v>1.8013694865278</v>
      </c>
    </row>
    <row r="15" spans="1:18" x14ac:dyDescent="0.45">
      <c r="A15" s="19" t="s">
        <v>73</v>
      </c>
      <c r="B15" s="20"/>
      <c r="C15" s="20"/>
      <c r="P15" s="19" t="s">
        <v>1398</v>
      </c>
      <c r="Q15" s="20">
        <v>-4.23190168487855</v>
      </c>
      <c r="R15" s="20">
        <v>-3.0577823670419599</v>
      </c>
    </row>
    <row r="16" spans="1:18" x14ac:dyDescent="0.45">
      <c r="A16" s="19" t="s">
        <v>79</v>
      </c>
      <c r="B16" s="20"/>
      <c r="C16" s="20"/>
      <c r="P16" s="19" t="s">
        <v>1399</v>
      </c>
      <c r="Q16" s="20">
        <v>-7.6018190850838803</v>
      </c>
      <c r="R16" s="20">
        <v>6.21781798301223</v>
      </c>
    </row>
    <row r="17" spans="1:18" x14ac:dyDescent="0.45">
      <c r="A17" s="19" t="s">
        <v>67</v>
      </c>
      <c r="B17" s="20"/>
      <c r="C17" s="20"/>
      <c r="P17" s="19" t="s">
        <v>72</v>
      </c>
      <c r="Q17" s="20">
        <v>-5.1224031220548101</v>
      </c>
      <c r="R17" s="20">
        <v>0.867887436161076</v>
      </c>
    </row>
    <row r="18" spans="1:18" x14ac:dyDescent="0.45">
      <c r="A18" s="19" t="s">
        <v>106</v>
      </c>
      <c r="B18" s="20"/>
      <c r="C18" s="20"/>
      <c r="P18" s="19" t="s">
        <v>79</v>
      </c>
      <c r="Q18" s="20">
        <v>1.21043170160604</v>
      </c>
      <c r="R18" s="20">
        <v>1.12036740550541</v>
      </c>
    </row>
    <row r="19" spans="1:18" x14ac:dyDescent="0.45">
      <c r="A19" s="19" t="s">
        <v>78</v>
      </c>
      <c r="B19" s="20"/>
      <c r="C19" s="20"/>
      <c r="P19" s="19" t="s">
        <v>73</v>
      </c>
      <c r="Q19" s="20">
        <v>-0.78471236763768804</v>
      </c>
      <c r="R19" s="20">
        <v>4.4514608701223102</v>
      </c>
    </row>
    <row r="21" spans="1:18" x14ac:dyDescent="0.45">
      <c r="A21" t="s">
        <v>1357</v>
      </c>
      <c r="B21" t="s">
        <v>1382</v>
      </c>
      <c r="C21" t="s">
        <v>1383</v>
      </c>
    </row>
    <row r="22" spans="1:18" x14ac:dyDescent="0.45">
      <c r="A22" s="25" t="s">
        <v>1401</v>
      </c>
      <c r="B22" s="20">
        <v>6.1500711853987085</v>
      </c>
      <c r="C22" s="20">
        <v>4.7673796180405184</v>
      </c>
    </row>
    <row r="23" spans="1:18" x14ac:dyDescent="0.45">
      <c r="A23" s="25" t="s">
        <v>1400</v>
      </c>
      <c r="B23" s="20">
        <v>-5.1197049802741503</v>
      </c>
      <c r="C23" s="20">
        <v>-1.1637984486964701</v>
      </c>
    </row>
    <row r="24" spans="1:18" x14ac:dyDescent="0.45">
      <c r="B24" s="27">
        <v>11</v>
      </c>
      <c r="C24" s="26">
        <v>6</v>
      </c>
    </row>
    <row r="27" spans="1:18" x14ac:dyDescent="0.45">
      <c r="A27" t="s">
        <v>1357</v>
      </c>
      <c r="B27" t="s">
        <v>1382</v>
      </c>
      <c r="C27" t="s">
        <v>1383</v>
      </c>
    </row>
    <row r="28" spans="1:18" x14ac:dyDescent="0.45">
      <c r="A28" s="24" t="s">
        <v>1403</v>
      </c>
      <c r="B28" s="20">
        <v>-2.4368511789084515</v>
      </c>
      <c r="C28" s="20">
        <v>5.015291493799289</v>
      </c>
    </row>
    <row r="29" spans="1:18" x14ac:dyDescent="0.45">
      <c r="A29" s="24" t="s">
        <v>1402</v>
      </c>
      <c r="B29" s="20">
        <v>-4.7167619649000398</v>
      </c>
      <c r="C29" s="20">
        <v>8.6440889683365807</v>
      </c>
    </row>
    <row r="30" spans="1:18" x14ac:dyDescent="0.45">
      <c r="B30">
        <v>3</v>
      </c>
      <c r="C30">
        <v>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7"/>
  <sheetViews>
    <sheetView workbookViewId="0">
      <selection activeCell="A7" sqref="A7"/>
    </sheetView>
  </sheetViews>
  <sheetFormatPr defaultRowHeight="14.25" x14ac:dyDescent="0.45"/>
  <cols>
    <col min="3" max="3" width="16.1328125" bestFit="1" customWidth="1"/>
    <col min="9" max="9" width="18.19921875" bestFit="1" customWidth="1"/>
    <col min="15" max="15" width="13.6640625" bestFit="1" customWidth="1"/>
    <col min="18" max="18" width="15.6640625" bestFit="1" customWidth="1"/>
    <col min="21" max="21" width="13.9296875" bestFit="1" customWidth="1"/>
    <col min="24" max="24" width="15.9296875" bestFit="1" customWidth="1"/>
    <col min="27" max="27" width="23.53125" bestFit="1" customWidth="1"/>
    <col min="30" max="30" width="20.33203125" bestFit="1" customWidth="1"/>
    <col min="33" max="33" width="25.59765625" bestFit="1" customWidth="1"/>
    <col min="36" max="36" width="22.3984375" bestFit="1" customWidth="1"/>
  </cols>
  <sheetData>
    <row r="1" spans="1:38" x14ac:dyDescent="0.45">
      <c r="A1" s="2" t="s">
        <v>694</v>
      </c>
      <c r="B1" t="s">
        <v>1259</v>
      </c>
      <c r="C1" s="2" t="s">
        <v>1330</v>
      </c>
      <c r="D1" t="s">
        <v>1335</v>
      </c>
      <c r="E1" t="s">
        <v>1332</v>
      </c>
      <c r="F1" s="2" t="s">
        <v>1329</v>
      </c>
      <c r="G1" t="s">
        <v>1336</v>
      </c>
      <c r="H1" t="s">
        <v>1333</v>
      </c>
      <c r="I1" s="2" t="s">
        <v>1331</v>
      </c>
      <c r="J1" t="s">
        <v>1337</v>
      </c>
      <c r="K1" t="s">
        <v>1334</v>
      </c>
      <c r="L1" s="2" t="s">
        <v>1328</v>
      </c>
      <c r="M1" t="s">
        <v>1288</v>
      </c>
      <c r="N1" t="s">
        <v>1291</v>
      </c>
      <c r="O1" s="2" t="s">
        <v>1338</v>
      </c>
      <c r="P1" t="s">
        <v>1289</v>
      </c>
      <c r="Q1" t="s">
        <v>1285</v>
      </c>
      <c r="R1" s="2" t="s">
        <v>1339</v>
      </c>
      <c r="S1" t="s">
        <v>1290</v>
      </c>
      <c r="T1" t="s">
        <v>1286</v>
      </c>
      <c r="U1" s="2" t="s">
        <v>1340</v>
      </c>
      <c r="V1" t="s">
        <v>1292</v>
      </c>
      <c r="W1" t="s">
        <v>1294</v>
      </c>
      <c r="X1" s="2" t="s">
        <v>1341</v>
      </c>
      <c r="Y1" t="s">
        <v>1293</v>
      </c>
      <c r="Z1" t="s">
        <v>1295</v>
      </c>
      <c r="AA1" s="2" t="s">
        <v>1343</v>
      </c>
      <c r="AB1" t="s">
        <v>1296</v>
      </c>
      <c r="AC1" t="s">
        <v>1298</v>
      </c>
      <c r="AD1" s="2" t="s">
        <v>1342</v>
      </c>
      <c r="AE1" t="s">
        <v>1300</v>
      </c>
      <c r="AF1" t="s">
        <v>1301</v>
      </c>
      <c r="AG1" s="2" t="s">
        <v>1344</v>
      </c>
      <c r="AH1" t="s">
        <v>1297</v>
      </c>
      <c r="AI1" t="s">
        <v>1299</v>
      </c>
      <c r="AJ1" s="2" t="s">
        <v>1345</v>
      </c>
      <c r="AK1" t="s">
        <v>1303</v>
      </c>
      <c r="AL1" t="s">
        <v>1302</v>
      </c>
    </row>
    <row r="2" spans="1:38" x14ac:dyDescent="0.45">
      <c r="A2" t="s">
        <v>695</v>
      </c>
      <c r="B2">
        <v>0.43620915032679747</v>
      </c>
      <c r="C2" s="7">
        <f>D2/E2</f>
        <v>0.91237516388454265</v>
      </c>
      <c r="D2">
        <v>61</v>
      </c>
      <c r="E2">
        <v>66.858461754137906</v>
      </c>
      <c r="F2" s="7">
        <f>G2/H2</f>
        <v>0.90192979757353353</v>
      </c>
      <c r="G2">
        <v>38</v>
      </c>
      <c r="H2">
        <v>42.131882217697651</v>
      </c>
      <c r="I2" s="7">
        <f>J2/K2</f>
        <v>1.2270034550018325</v>
      </c>
      <c r="J2">
        <v>54</v>
      </c>
      <c r="K2">
        <v>44.009656028164443</v>
      </c>
      <c r="L2" s="7">
        <f>M2/N2</f>
        <v>0.98139675776748381</v>
      </c>
      <c r="M2">
        <v>385</v>
      </c>
      <c r="N2">
        <v>392.29801500038747</v>
      </c>
      <c r="O2" s="7">
        <f>P2/Q2</f>
        <v>0.91051919806114134</v>
      </c>
      <c r="P2">
        <v>202</v>
      </c>
      <c r="Q2">
        <v>221.85144523052188</v>
      </c>
      <c r="R2" s="7">
        <f>S2/T2</f>
        <v>1.0736502368283756</v>
      </c>
      <c r="S2">
        <v>183</v>
      </c>
      <c r="T2">
        <v>170.44656976986519</v>
      </c>
      <c r="U2" s="7">
        <f>V2/W2</f>
        <v>1.0093260657788172</v>
      </c>
      <c r="V2">
        <v>1972</v>
      </c>
      <c r="W2">
        <v>1953.7789291891154</v>
      </c>
      <c r="X2" s="7">
        <f>Y2/Z2</f>
        <v>0.91065649119011916</v>
      </c>
      <c r="Y2">
        <v>1864</v>
      </c>
      <c r="Z2">
        <v>2046.8749940649684</v>
      </c>
      <c r="AA2" s="7">
        <f>AB2/AC2</f>
        <v>1.4866329207336924</v>
      </c>
      <c r="AB2">
        <v>355</v>
      </c>
      <c r="AC2">
        <v>238.79465808196832</v>
      </c>
      <c r="AD2" s="7">
        <f>AE2/AF2</f>
        <v>2.1105392536426395</v>
      </c>
      <c r="AE2">
        <v>28</v>
      </c>
      <c r="AF2">
        <v>13.26675159046391</v>
      </c>
      <c r="AG2" s="7">
        <f>AH2/AI2</f>
        <v>1.2707108376586371</v>
      </c>
      <c r="AH2">
        <v>371</v>
      </c>
      <c r="AI2">
        <v>291.9625685129044</v>
      </c>
      <c r="AJ2" s="7">
        <f>AK2/AL2</f>
        <v>1.6944059575817874</v>
      </c>
      <c r="AK2">
        <v>32</v>
      </c>
      <c r="AL2">
        <v>18.885674862516169</v>
      </c>
    </row>
    <row r="3" spans="1:38" x14ac:dyDescent="0.45">
      <c r="A3" t="s">
        <v>696</v>
      </c>
      <c r="B3">
        <v>0.44235294117647034</v>
      </c>
      <c r="C3" s="7">
        <f>D3/E3</f>
        <v>0.87035265054969768</v>
      </c>
      <c r="D3">
        <v>59</v>
      </c>
      <c r="E3">
        <v>67.788614147077922</v>
      </c>
      <c r="F3" s="7">
        <f>G3/H3</f>
        <v>1.283370189552363</v>
      </c>
      <c r="G3">
        <v>54</v>
      </c>
      <c r="H3">
        <v>42.076713671240171</v>
      </c>
      <c r="I3" s="7">
        <f>J3/K3</f>
        <v>0.92732824841049455</v>
      </c>
      <c r="J3">
        <v>40</v>
      </c>
      <c r="K3">
        <v>43.134672181681943</v>
      </c>
      <c r="L3" s="7">
        <f>M3/N3</f>
        <v>0.83927752997655292</v>
      </c>
      <c r="M3">
        <v>332</v>
      </c>
      <c r="N3">
        <v>395.57832557399121</v>
      </c>
      <c r="O3" s="7">
        <f>P3/Q3</f>
        <v>0.82600416573072855</v>
      </c>
      <c r="P3">
        <v>186</v>
      </c>
      <c r="Q3">
        <v>225.1804624198889</v>
      </c>
      <c r="R3" s="7">
        <f>S3/T3</f>
        <v>0.85681825638835984</v>
      </c>
      <c r="S3">
        <v>146</v>
      </c>
      <c r="T3">
        <v>170.39786315410197</v>
      </c>
      <c r="U3" s="7">
        <f>V3/W3</f>
        <v>0.90864143829684652</v>
      </c>
      <c r="V3">
        <v>1771</v>
      </c>
      <c r="W3">
        <v>1949.0636519060308</v>
      </c>
      <c r="X3" s="7">
        <f>Y3/Z3</f>
        <v>0.85394103857739034</v>
      </c>
      <c r="Y3">
        <v>1746</v>
      </c>
      <c r="Z3">
        <v>2044.6376519258533</v>
      </c>
      <c r="AA3" s="7">
        <f>AB3/AC3</f>
        <v>1.1767145045842275</v>
      </c>
      <c r="AB3">
        <v>280</v>
      </c>
      <c r="AC3">
        <v>237.95066595098473</v>
      </c>
      <c r="AD3" s="7">
        <f>AE3/AF3</f>
        <v>1.6028300529356678</v>
      </c>
      <c r="AE3">
        <v>21</v>
      </c>
      <c r="AF3">
        <v>13.101825712300185</v>
      </c>
      <c r="AG3" s="7">
        <f>AH3/AI3</f>
        <v>1.1738632372837321</v>
      </c>
      <c r="AH3">
        <v>343</v>
      </c>
      <c r="AI3">
        <v>292.19758239783272</v>
      </c>
      <c r="AJ3" s="7">
        <f>AK3/AL3</f>
        <v>1.7454780168297475</v>
      </c>
      <c r="AK3">
        <v>33</v>
      </c>
      <c r="AL3">
        <v>18.905995768389442</v>
      </c>
    </row>
    <row r="4" spans="1:38" x14ac:dyDescent="0.45">
      <c r="A4" t="s">
        <v>1384</v>
      </c>
      <c r="B4">
        <v>0.44</v>
      </c>
      <c r="C4" s="7">
        <v>1</v>
      </c>
      <c r="F4" s="7">
        <v>1</v>
      </c>
      <c r="I4" s="7">
        <v>1</v>
      </c>
      <c r="L4" s="7">
        <v>1</v>
      </c>
      <c r="O4" s="7">
        <v>1</v>
      </c>
      <c r="R4" s="7">
        <v>1</v>
      </c>
      <c r="U4" s="7">
        <v>1</v>
      </c>
      <c r="V4" s="7"/>
      <c r="W4" s="7"/>
      <c r="X4" s="7">
        <v>1</v>
      </c>
      <c r="Y4" s="7"/>
      <c r="Z4" s="7"/>
      <c r="AA4" s="7">
        <v>1</v>
      </c>
      <c r="AB4" s="7"/>
      <c r="AC4" s="7"/>
      <c r="AD4" s="7">
        <v>1</v>
      </c>
      <c r="AE4" s="7"/>
      <c r="AF4" s="7"/>
      <c r="AG4" s="7">
        <v>1</v>
      </c>
      <c r="AH4" s="7"/>
      <c r="AI4" s="7"/>
      <c r="AJ4" s="7">
        <v>1</v>
      </c>
    </row>
    <row r="5" spans="1:38" x14ac:dyDescent="0.45">
      <c r="A5" t="s">
        <v>1256</v>
      </c>
      <c r="B5">
        <v>0.44143790849673198</v>
      </c>
      <c r="C5" s="7">
        <f>D5/E5</f>
        <v>1.0678671187742117</v>
      </c>
      <c r="D5">
        <v>72</v>
      </c>
      <c r="E5">
        <v>67.424119288032486</v>
      </c>
      <c r="F5" s="7">
        <f>G5/H5</f>
        <v>0.91957942743049759</v>
      </c>
      <c r="G5">
        <v>38</v>
      </c>
      <c r="H5">
        <v>41.323238500648237</v>
      </c>
      <c r="I5" s="7">
        <f>J5/K5</f>
        <v>0.97169339165472868</v>
      </c>
      <c r="J5">
        <v>43</v>
      </c>
      <c r="K5">
        <v>44.252642211319234</v>
      </c>
      <c r="L5" s="7">
        <f>M5/N5</f>
        <v>0.91317104403125582</v>
      </c>
      <c r="M5">
        <v>361</v>
      </c>
      <c r="N5">
        <v>395.32571949099577</v>
      </c>
      <c r="O5" s="7">
        <f>P5/Q5</f>
        <v>0.88184404990073595</v>
      </c>
      <c r="P5">
        <v>198</v>
      </c>
      <c r="Q5">
        <v>224.52949591516517</v>
      </c>
      <c r="R5" s="7">
        <f>S5/T5</f>
        <v>0.95435365365459002</v>
      </c>
      <c r="S5">
        <v>163</v>
      </c>
      <c r="T5">
        <v>170.79622357583042</v>
      </c>
      <c r="U5" s="7">
        <f>V5/W5</f>
        <v>1.0030089470529739</v>
      </c>
      <c r="V5">
        <v>1958</v>
      </c>
      <c r="W5">
        <v>1952.1261557566027</v>
      </c>
      <c r="X5" s="7">
        <f>Y5/Z5</f>
        <v>0.91793390551463083</v>
      </c>
      <c r="Y5">
        <v>1880</v>
      </c>
      <c r="Z5">
        <v>2048.0777414426107</v>
      </c>
      <c r="AA5" s="7">
        <f>AB5/AC5</f>
        <v>1.1179239754298529</v>
      </c>
      <c r="AB5">
        <v>267</v>
      </c>
      <c r="AC5">
        <v>238.83556115462667</v>
      </c>
      <c r="AD5" s="7">
        <f>AE5/AF5</f>
        <v>1.6770191114865263</v>
      </c>
      <c r="AE5">
        <v>22</v>
      </c>
      <c r="AF5">
        <v>13.118514779774324</v>
      </c>
      <c r="AG5" s="7">
        <f>AH5/AI5</f>
        <v>1.0679334770398288</v>
      </c>
      <c r="AH5">
        <v>313</v>
      </c>
      <c r="AI5">
        <v>293.08941683108844</v>
      </c>
      <c r="AJ5" s="7">
        <f>AK5/AL5</f>
        <v>1.0545253345086196</v>
      </c>
      <c r="AK5">
        <v>20</v>
      </c>
      <c r="AL5">
        <v>18.965879097935055</v>
      </c>
    </row>
    <row r="6" spans="1:38" x14ac:dyDescent="0.45">
      <c r="A6" t="s">
        <v>1346</v>
      </c>
      <c r="B6">
        <v>0.43555555555555564</v>
      </c>
      <c r="C6" s="7">
        <f>D6/E6</f>
        <v>1.0660208300678455</v>
      </c>
      <c r="D6">
        <v>71</v>
      </c>
      <c r="E6">
        <v>66.602826133783239</v>
      </c>
      <c r="F6" s="7">
        <f>G6/H6</f>
        <v>1.0012025729340821</v>
      </c>
      <c r="G6">
        <v>40</v>
      </c>
      <c r="H6">
        <v>39.951954860421189</v>
      </c>
      <c r="I6" s="7">
        <f>J6/K6</f>
        <v>0.90429113908923853</v>
      </c>
      <c r="J6">
        <v>42</v>
      </c>
      <c r="K6">
        <v>46.445219005795543</v>
      </c>
      <c r="L6" s="7">
        <f>M6/N6</f>
        <v>0.98148827671051952</v>
      </c>
      <c r="M6">
        <v>390</v>
      </c>
      <c r="N6">
        <v>397.35573949705639</v>
      </c>
      <c r="O6" s="7">
        <f>P6/Q6</f>
        <v>0.98357377865705442</v>
      </c>
      <c r="P6">
        <v>220</v>
      </c>
      <c r="Q6">
        <v>223.67412061389251</v>
      </c>
      <c r="R6" s="7">
        <f>S6/T6</f>
        <v>0.97880248406919668</v>
      </c>
      <c r="S6">
        <v>170</v>
      </c>
      <c r="T6">
        <v>173.68161888316357</v>
      </c>
      <c r="U6" s="7">
        <f>V6/W6</f>
        <v>1.0442391086889218</v>
      </c>
      <c r="V6">
        <v>2041</v>
      </c>
      <c r="W6">
        <v>1954.5331936117063</v>
      </c>
      <c r="X6" s="7">
        <f>Y6/Z6</f>
        <v>0.96680349229473295</v>
      </c>
      <c r="Y6">
        <v>1979</v>
      </c>
      <c r="Z6">
        <v>2046.9516460917953</v>
      </c>
      <c r="AA6" s="7">
        <f>AB6/AC6</f>
        <v>1.2694821185219658</v>
      </c>
      <c r="AB6">
        <v>304</v>
      </c>
      <c r="AC6">
        <v>239.46772905627176</v>
      </c>
      <c r="AD6" s="7">
        <f>AE6/AF6</f>
        <v>1.5818313447272021</v>
      </c>
      <c r="AE6">
        <v>21</v>
      </c>
      <c r="AF6">
        <v>13.275751596401447</v>
      </c>
      <c r="AG6" s="7">
        <f>AH6/AI6</f>
        <v>1.0979933573683567</v>
      </c>
      <c r="AH6">
        <v>321</v>
      </c>
      <c r="AI6">
        <v>292.35149543105149</v>
      </c>
      <c r="AJ6" s="7">
        <f>AK6/AL6</f>
        <v>1.789928977558628</v>
      </c>
      <c r="AK6">
        <v>34</v>
      </c>
      <c r="AL6">
        <v>18.995167085553454</v>
      </c>
    </row>
    <row r="7" spans="1:38" x14ac:dyDescent="0.45">
      <c r="A7" t="s">
        <v>1347</v>
      </c>
      <c r="B7">
        <f>AVERAGE(B2:B6)</f>
        <v>0.43911111111111112</v>
      </c>
      <c r="C7" s="7">
        <f>D7/E7</f>
        <v>0.97888139204865809</v>
      </c>
      <c r="D7">
        <f>SUM(D2:D6)</f>
        <v>263</v>
      </c>
      <c r="E7">
        <f>SUM(E2:E6)</f>
        <v>268.67402132303158</v>
      </c>
      <c r="F7" s="7">
        <f>G7/H7</f>
        <v>1.027290955630523</v>
      </c>
      <c r="G7">
        <f>SUM(G2:G6)</f>
        <v>170</v>
      </c>
      <c r="H7">
        <f>SUM(H2:H6)</f>
        <v>165.48378925000725</v>
      </c>
      <c r="I7" s="7">
        <f>J7/K7</f>
        <v>1.0065103256812657</v>
      </c>
      <c r="J7">
        <f>SUM(J2:J6)</f>
        <v>179</v>
      </c>
      <c r="K7">
        <f>SUM(K2:K6)</f>
        <v>177.84218942696114</v>
      </c>
      <c r="L7" s="7">
        <f>M7/N7</f>
        <v>0.92878602756976558</v>
      </c>
      <c r="M7">
        <f>SUM(M2:M6)</f>
        <v>1468</v>
      </c>
      <c r="N7">
        <f>SUM(N2:N6)</f>
        <v>1580.557799562431</v>
      </c>
      <c r="O7" s="7">
        <f>P7/Q7</f>
        <v>0.90032173459463904</v>
      </c>
      <c r="P7">
        <f>SUM(P2:P6)</f>
        <v>806</v>
      </c>
      <c r="Q7">
        <f>SUM(Q2:Q6)</f>
        <v>895.23552417946848</v>
      </c>
      <c r="R7" s="7">
        <f>S7/T7</f>
        <v>0.96596889343786674</v>
      </c>
      <c r="S7">
        <f>SUM(S2:S6)</f>
        <v>662</v>
      </c>
      <c r="T7">
        <f>SUM(T2:T6)</f>
        <v>685.32227538296115</v>
      </c>
      <c r="U7" s="7">
        <f>V7/W7</f>
        <v>0.99135643590788514</v>
      </c>
      <c r="V7">
        <f>SUM(V2:V6)</f>
        <v>7742</v>
      </c>
      <c r="W7">
        <f>SUM(W2:W6)</f>
        <v>7809.5019304634552</v>
      </c>
      <c r="X7" s="7">
        <f>Y7/Z7</f>
        <v>0.91235102310758609</v>
      </c>
      <c r="Y7">
        <f>SUM(Y2:Y6)</f>
        <v>7469</v>
      </c>
      <c r="Z7">
        <f>SUM(Z2:Z6)</f>
        <v>8186.5420335252275</v>
      </c>
      <c r="AA7" s="7">
        <f>AB7/AC7</f>
        <v>1.2627629442244008</v>
      </c>
      <c r="AB7">
        <f>SUM(AB2:AB6)</f>
        <v>1206</v>
      </c>
      <c r="AC7">
        <f>SUM(AC2:AC6)</f>
        <v>955.04861424385149</v>
      </c>
      <c r="AD7" s="7">
        <f>AE7/AF7</f>
        <v>1.7436512815688425</v>
      </c>
      <c r="AE7">
        <f>SUM(AE2:AE6)</f>
        <v>92</v>
      </c>
      <c r="AF7">
        <f>SUM(AF2:AF6)</f>
        <v>52.762843678939866</v>
      </c>
      <c r="AG7" s="7">
        <f>AH7/AI7</f>
        <v>1.1525297320978529</v>
      </c>
      <c r="AH7">
        <f>SUM(AH2:AH6)</f>
        <v>1348</v>
      </c>
      <c r="AI7">
        <f>SUM(AI2:AI6)</f>
        <v>1169.601063172877</v>
      </c>
      <c r="AJ7" s="7">
        <f>AK7/AL7</f>
        <v>1.5709007545111342</v>
      </c>
      <c r="AK7">
        <f>SUM(AK2:AK6)</f>
        <v>119</v>
      </c>
      <c r="AL7">
        <f>SUM(AL2:AL6)</f>
        <v>75.75271681439412</v>
      </c>
    </row>
  </sheetData>
  <pageMargins left="0.7" right="0.7" top="0.75" bottom="0.75" header="0.3" footer="0.3"/>
  <ignoredErrors>
    <ignoredError sqref="F7 I7 L7 O7 R7 U7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E3AE2-319F-4BD4-85D4-E76C9320AFC0}">
  <dimension ref="A1:J26"/>
  <sheetViews>
    <sheetView workbookViewId="0">
      <selection activeCell="C11" sqref="C11"/>
    </sheetView>
  </sheetViews>
  <sheetFormatPr defaultRowHeight="14.25" x14ac:dyDescent="0.45"/>
  <sheetData>
    <row r="1" spans="1:10" x14ac:dyDescent="0.45">
      <c r="A1" t="s">
        <v>97</v>
      </c>
      <c r="B1" t="s">
        <v>1404</v>
      </c>
      <c r="C1" t="s">
        <v>84</v>
      </c>
      <c r="E1" t="s">
        <v>1257</v>
      </c>
      <c r="F1" t="s">
        <v>1405</v>
      </c>
    </row>
    <row r="2" spans="1:10" x14ac:dyDescent="0.45">
      <c r="A2">
        <v>2.9</v>
      </c>
      <c r="B2">
        <v>2.8</v>
      </c>
      <c r="C2">
        <v>2.75</v>
      </c>
      <c r="E2">
        <f>(SUM(A3:C3)-1)</f>
        <v>6.5606806986117316E-2</v>
      </c>
      <c r="F2">
        <f>E2/3</f>
        <v>2.1868935662039107E-2</v>
      </c>
    </row>
    <row r="3" spans="1:10" x14ac:dyDescent="0.45">
      <c r="A3">
        <f>1/A2</f>
        <v>0.34482758620689657</v>
      </c>
      <c r="B3">
        <f>1/B2</f>
        <v>0.35714285714285715</v>
      </c>
      <c r="C3">
        <f>1/C2</f>
        <v>0.36363636363636365</v>
      </c>
    </row>
    <row r="5" spans="1:10" x14ac:dyDescent="0.45">
      <c r="A5" t="s">
        <v>97</v>
      </c>
      <c r="B5" t="s">
        <v>1404</v>
      </c>
      <c r="C5" t="s">
        <v>84</v>
      </c>
    </row>
    <row r="6" spans="1:10" x14ac:dyDescent="0.45">
      <c r="A6" s="7">
        <f>A3-$F$2</f>
        <v>0.32295865054485745</v>
      </c>
      <c r="B6" s="7">
        <f>B3-$F$2</f>
        <v>0.33527392148081803</v>
      </c>
      <c r="C6" s="7">
        <f>C3-$F$2</f>
        <v>0.34176742797432452</v>
      </c>
    </row>
    <row r="9" spans="1:10" x14ac:dyDescent="0.45">
      <c r="A9" t="s">
        <v>1406</v>
      </c>
      <c r="B9" t="s">
        <v>1409</v>
      </c>
      <c r="C9" t="s">
        <v>1410</v>
      </c>
      <c r="D9" t="s">
        <v>1407</v>
      </c>
      <c r="E9" t="s">
        <v>1408</v>
      </c>
      <c r="F9" t="s">
        <v>1411</v>
      </c>
      <c r="G9" t="s">
        <v>1412</v>
      </c>
      <c r="H9" t="s">
        <v>1257</v>
      </c>
      <c r="I9" t="s">
        <v>1413</v>
      </c>
      <c r="J9" t="s">
        <v>1414</v>
      </c>
    </row>
    <row r="10" spans="1:10" x14ac:dyDescent="0.45">
      <c r="A10">
        <v>0.5</v>
      </c>
      <c r="B10" s="7">
        <f t="shared" ref="B10:B15" si="0">F10-I10</f>
        <v>0.88311688311688308</v>
      </c>
      <c r="C10" s="7">
        <f t="shared" ref="C10:C15" si="1">G10-I10</f>
        <v>0.11688311688311687</v>
      </c>
      <c r="D10">
        <v>1.1000000000000001</v>
      </c>
      <c r="E10">
        <v>7</v>
      </c>
      <c r="F10">
        <f t="shared" ref="F10:G15" si="2">1/D10</f>
        <v>0.90909090909090906</v>
      </c>
      <c r="G10">
        <f t="shared" si="2"/>
        <v>0.14285714285714285</v>
      </c>
      <c r="H10">
        <f t="shared" ref="H10:H15" si="3">F10+G10-1</f>
        <v>5.1948051948051965E-2</v>
      </c>
      <c r="I10">
        <f t="shared" ref="I10:I15" si="4">H10/2</f>
        <v>2.5974025974025983E-2</v>
      </c>
      <c r="J10">
        <f t="shared" ref="J10:J15" si="5">B10+C10</f>
        <v>1</v>
      </c>
    </row>
    <row r="11" spans="1:10" x14ac:dyDescent="0.45">
      <c r="A11">
        <v>1.5</v>
      </c>
      <c r="B11" s="7">
        <f t="shared" si="0"/>
        <v>0.65638252756573368</v>
      </c>
      <c r="C11" s="7">
        <f t="shared" si="1"/>
        <v>0.34361747243426632</v>
      </c>
      <c r="D11">
        <v>1.44</v>
      </c>
      <c r="E11">
        <v>2.62</v>
      </c>
      <c r="F11">
        <f t="shared" si="2"/>
        <v>0.69444444444444442</v>
      </c>
      <c r="G11">
        <f t="shared" si="2"/>
        <v>0.38167938931297707</v>
      </c>
      <c r="H11">
        <f t="shared" si="3"/>
        <v>7.6123833757421488E-2</v>
      </c>
      <c r="I11">
        <f t="shared" si="4"/>
        <v>3.8061916878710744E-2</v>
      </c>
      <c r="J11">
        <f t="shared" si="5"/>
        <v>1</v>
      </c>
    </row>
    <row r="12" spans="1:10" x14ac:dyDescent="0.45">
      <c r="A12">
        <v>2.5</v>
      </c>
      <c r="B12" s="7">
        <f t="shared" si="0"/>
        <v>0.3666666666666667</v>
      </c>
      <c r="C12" s="7">
        <f t="shared" si="1"/>
        <v>0.6333333333333333</v>
      </c>
      <c r="D12">
        <v>2.5</v>
      </c>
      <c r="E12">
        <v>1.5</v>
      </c>
      <c r="F12">
        <f t="shared" si="2"/>
        <v>0.4</v>
      </c>
      <c r="G12">
        <f t="shared" si="2"/>
        <v>0.66666666666666663</v>
      </c>
      <c r="H12">
        <f t="shared" si="3"/>
        <v>6.6666666666666652E-2</v>
      </c>
      <c r="I12">
        <f t="shared" si="4"/>
        <v>3.3333333333333326E-2</v>
      </c>
      <c r="J12">
        <f t="shared" si="5"/>
        <v>1</v>
      </c>
    </row>
    <row r="13" spans="1:10" x14ac:dyDescent="0.45">
      <c r="A13">
        <v>3.5</v>
      </c>
      <c r="B13" s="7">
        <f t="shared" si="0"/>
        <v>0.16896551724137926</v>
      </c>
      <c r="C13" s="7">
        <f t="shared" si="1"/>
        <v>0.83103448275862069</v>
      </c>
      <c r="D13">
        <v>5</v>
      </c>
      <c r="E13">
        <v>1.1599999999999999</v>
      </c>
      <c r="F13">
        <f t="shared" si="2"/>
        <v>0.2</v>
      </c>
      <c r="G13">
        <f t="shared" si="2"/>
        <v>0.86206896551724144</v>
      </c>
      <c r="H13">
        <f t="shared" si="3"/>
        <v>6.2068965517241503E-2</v>
      </c>
      <c r="I13">
        <f t="shared" si="4"/>
        <v>3.1034482758620752E-2</v>
      </c>
      <c r="J13">
        <f t="shared" si="5"/>
        <v>1</v>
      </c>
    </row>
    <row r="14" spans="1:10" x14ac:dyDescent="0.45">
      <c r="A14">
        <v>4.5</v>
      </c>
      <c r="B14" s="7">
        <f t="shared" si="0"/>
        <v>6.9264069264069333E-2</v>
      </c>
      <c r="C14" s="7">
        <f t="shared" si="1"/>
        <v>0.93073593073593075</v>
      </c>
      <c r="D14">
        <v>11</v>
      </c>
      <c r="E14">
        <v>1.05</v>
      </c>
      <c r="F14">
        <f t="shared" si="2"/>
        <v>9.0909090909090912E-2</v>
      </c>
      <c r="G14">
        <f t="shared" si="2"/>
        <v>0.95238095238095233</v>
      </c>
      <c r="H14">
        <f t="shared" si="3"/>
        <v>4.3290043290043156E-2</v>
      </c>
      <c r="I14">
        <f t="shared" si="4"/>
        <v>2.1645021645021578E-2</v>
      </c>
      <c r="J14">
        <f t="shared" si="5"/>
        <v>1</v>
      </c>
    </row>
    <row r="15" spans="1:10" x14ac:dyDescent="0.45">
      <c r="A15">
        <v>5.5</v>
      </c>
      <c r="B15" s="7">
        <f t="shared" si="0"/>
        <v>2.9034690799396717E-2</v>
      </c>
      <c r="C15" s="7">
        <f t="shared" si="1"/>
        <v>0.97096530920060331</v>
      </c>
      <c r="D15">
        <v>26</v>
      </c>
      <c r="E15">
        <v>1.02</v>
      </c>
      <c r="F15">
        <f t="shared" si="2"/>
        <v>3.8461538461538464E-2</v>
      </c>
      <c r="G15">
        <f t="shared" si="2"/>
        <v>0.98039215686274506</v>
      </c>
      <c r="H15">
        <f t="shared" si="3"/>
        <v>1.8853695324283493E-2</v>
      </c>
      <c r="I15">
        <f t="shared" si="4"/>
        <v>9.4268476621417463E-3</v>
      </c>
      <c r="J15">
        <f t="shared" si="5"/>
        <v>1</v>
      </c>
    </row>
    <row r="17" spans="1:7" x14ac:dyDescent="0.45">
      <c r="C17" t="s">
        <v>1419</v>
      </c>
      <c r="D17" t="s">
        <v>1418</v>
      </c>
    </row>
    <row r="18" spans="1:7" x14ac:dyDescent="0.45">
      <c r="A18" t="s">
        <v>1415</v>
      </c>
      <c r="C18" s="28">
        <f>A6+B6</f>
        <v>0.65823257202567542</v>
      </c>
      <c r="D18">
        <f>1/(C18+2*$F$2)</f>
        <v>1.4245614035087719</v>
      </c>
      <c r="F18">
        <f>1/(1/A2+1/B2)</f>
        <v>1.4245614035087717</v>
      </c>
    </row>
    <row r="19" spans="1:7" x14ac:dyDescent="0.45">
      <c r="A19" t="s">
        <v>1416</v>
      </c>
      <c r="C19" s="28">
        <f>A6+C6</f>
        <v>0.66472607851918197</v>
      </c>
      <c r="D19">
        <f>1/(C19+2*$F$2)</f>
        <v>1.4115044247787609</v>
      </c>
      <c r="F19">
        <f>1/(1/A2+1/C2)</f>
        <v>1.4115044247787609</v>
      </c>
    </row>
    <row r="20" spans="1:7" x14ac:dyDescent="0.45">
      <c r="A20" t="s">
        <v>1417</v>
      </c>
      <c r="C20" s="28">
        <f>B6+C6</f>
        <v>0.6770413494551426</v>
      </c>
      <c r="D20">
        <f>1/(C20+2*$F$2)</f>
        <v>1.3873873873873872</v>
      </c>
      <c r="F20">
        <f>1/(1/B2+1/C2)</f>
        <v>1.3873873873873874</v>
      </c>
    </row>
    <row r="22" spans="1:7" x14ac:dyDescent="0.45">
      <c r="F22">
        <f>AVERAGE(F18:F20)</f>
        <v>1.4078177385583066</v>
      </c>
    </row>
    <row r="25" spans="1:7" x14ac:dyDescent="0.45">
      <c r="A25" t="s">
        <v>1425</v>
      </c>
      <c r="B25" t="s">
        <v>1423</v>
      </c>
      <c r="C25" t="s">
        <v>1424</v>
      </c>
      <c r="D25" t="s">
        <v>1421</v>
      </c>
      <c r="E25" t="s">
        <v>1422</v>
      </c>
      <c r="F25" t="s">
        <v>1257</v>
      </c>
      <c r="G25" t="s">
        <v>1413</v>
      </c>
    </row>
    <row r="26" spans="1:7" x14ac:dyDescent="0.45">
      <c r="A26" t="s">
        <v>1420</v>
      </c>
      <c r="B26" s="7">
        <f>1/D26-G26</f>
        <v>0.43689041881812962</v>
      </c>
      <c r="C26" s="7">
        <f>1/E26-G26</f>
        <v>0.56310958118187038</v>
      </c>
      <c r="D26">
        <v>2.1</v>
      </c>
      <c r="E26">
        <v>1.66</v>
      </c>
      <c r="F26">
        <f>1/D26+1/E26</f>
        <v>1.0786001147446931</v>
      </c>
      <c r="G26">
        <f>(F26-1)/2</f>
        <v>3.9300057372346542E-2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1"/>
  <sheetViews>
    <sheetView topLeftCell="U1" workbookViewId="0">
      <selection activeCell="AK27" sqref="AK27"/>
    </sheetView>
  </sheetViews>
  <sheetFormatPr defaultRowHeight="14.25" x14ac:dyDescent="0.45"/>
  <cols>
    <col min="1" max="1" width="25.265625" bestFit="1" customWidth="1"/>
    <col min="2" max="2" width="7.46484375" bestFit="1" customWidth="1"/>
    <col min="3" max="4" width="6.86328125" bestFit="1" customWidth="1"/>
    <col min="5" max="6" width="6.86328125" customWidth="1"/>
    <col min="7" max="7" width="6.6640625" bestFit="1" customWidth="1"/>
    <col min="8" max="9" width="6.6640625" customWidth="1"/>
    <col min="10" max="10" width="6.796875" bestFit="1" customWidth="1"/>
    <col min="11" max="11" width="6.796875" customWidth="1"/>
    <col min="12" max="12" width="10.73046875" bestFit="1" customWidth="1"/>
    <col min="15" max="15" width="11.9296875" bestFit="1" customWidth="1"/>
    <col min="18" max="18" width="14.9296875" bestFit="1" customWidth="1"/>
    <col min="21" max="21" width="11.73046875" bestFit="1" customWidth="1"/>
    <col min="24" max="24" width="12.796875" bestFit="1" customWidth="1"/>
    <col min="27" max="27" width="19.3984375" bestFit="1" customWidth="1"/>
    <col min="30" max="30" width="22.3984375" bestFit="1" customWidth="1"/>
    <col min="33" max="33" width="11.73046875" bestFit="1" customWidth="1"/>
  </cols>
  <sheetData>
    <row r="1" spans="1:39" x14ac:dyDescent="0.45">
      <c r="A1" t="s">
        <v>1287</v>
      </c>
      <c r="B1" t="s">
        <v>1389</v>
      </c>
      <c r="C1" t="s">
        <v>1330</v>
      </c>
      <c r="D1" t="s">
        <v>1314</v>
      </c>
      <c r="E1" t="s">
        <v>1317</v>
      </c>
      <c r="F1" t="s">
        <v>1329</v>
      </c>
      <c r="G1" t="s">
        <v>1315</v>
      </c>
      <c r="H1" t="s">
        <v>1318</v>
      </c>
      <c r="I1" t="s">
        <v>1331</v>
      </c>
      <c r="J1" t="s">
        <v>1316</v>
      </c>
      <c r="K1" t="s">
        <v>1319</v>
      </c>
      <c r="L1" t="s">
        <v>1328</v>
      </c>
      <c r="M1" t="s">
        <v>1288</v>
      </c>
      <c r="N1" t="s">
        <v>1291</v>
      </c>
      <c r="O1" t="s">
        <v>1327</v>
      </c>
      <c r="P1" t="s">
        <v>1289</v>
      </c>
      <c r="Q1" t="s">
        <v>1285</v>
      </c>
      <c r="R1" t="s">
        <v>1326</v>
      </c>
      <c r="S1" t="s">
        <v>1290</v>
      </c>
      <c r="T1" t="s">
        <v>1286</v>
      </c>
      <c r="U1" t="s">
        <v>1325</v>
      </c>
      <c r="V1" t="s">
        <v>1292</v>
      </c>
      <c r="W1" t="s">
        <v>1294</v>
      </c>
      <c r="X1" t="s">
        <v>1324</v>
      </c>
      <c r="Y1" t="s">
        <v>1293</v>
      </c>
      <c r="Z1" t="s">
        <v>1295</v>
      </c>
      <c r="AA1" t="s">
        <v>1323</v>
      </c>
      <c r="AB1" t="s">
        <v>1296</v>
      </c>
      <c r="AC1" t="s">
        <v>1298</v>
      </c>
      <c r="AD1" t="s">
        <v>1322</v>
      </c>
      <c r="AE1" t="s">
        <v>1297</v>
      </c>
      <c r="AF1" t="s">
        <v>1299</v>
      </c>
      <c r="AG1" t="s">
        <v>1321</v>
      </c>
      <c r="AH1" t="s">
        <v>1312</v>
      </c>
      <c r="AI1" t="s">
        <v>1313</v>
      </c>
      <c r="AJ1" t="s">
        <v>1300</v>
      </c>
      <c r="AK1" t="s">
        <v>1301</v>
      </c>
      <c r="AL1" t="s">
        <v>1303</v>
      </c>
      <c r="AM1" t="s">
        <v>1302</v>
      </c>
    </row>
    <row r="2" spans="1:39" x14ac:dyDescent="0.45">
      <c r="A2" t="s">
        <v>158</v>
      </c>
      <c r="B2">
        <f>D2+G2+J2</f>
        <v>61</v>
      </c>
      <c r="C2" s="7">
        <f>D2/E2</f>
        <v>1.0985317181545655</v>
      </c>
      <c r="D2">
        <v>30</v>
      </c>
      <c r="E2">
        <v>27.309179611488418</v>
      </c>
      <c r="F2" s="7">
        <f>G2/H2</f>
        <v>0.97350382239114275</v>
      </c>
      <c r="G2">
        <v>16</v>
      </c>
      <c r="H2">
        <v>16.435477326324644</v>
      </c>
      <c r="I2" s="7">
        <f>J2/K2</f>
        <v>0.86929595928293879</v>
      </c>
      <c r="J2">
        <v>15</v>
      </c>
      <c r="K2">
        <v>17.255343062186942</v>
      </c>
      <c r="L2" s="7">
        <f>M2/N2</f>
        <v>0.99923148977076515</v>
      </c>
      <c r="M2">
        <v>157</v>
      </c>
      <c r="N2">
        <v>157.12074890275682</v>
      </c>
      <c r="O2" s="7">
        <f>P2/Q2</f>
        <v>1.0107083893798097</v>
      </c>
      <c r="P2">
        <v>91</v>
      </c>
      <c r="Q2">
        <v>90.035860942877264</v>
      </c>
      <c r="R2" s="7">
        <f>S2/T2</f>
        <v>0.98382813189569096</v>
      </c>
      <c r="S2">
        <v>66</v>
      </c>
      <c r="T2">
        <v>67.084887959879524</v>
      </c>
      <c r="U2" s="7">
        <f>V2/W2</f>
        <v>0.95192678372993655</v>
      </c>
      <c r="V2">
        <v>740</v>
      </c>
      <c r="W2">
        <v>777.37071027716706</v>
      </c>
      <c r="X2" s="7">
        <f>Y2/Z2</f>
        <v>0.95194664535770379</v>
      </c>
      <c r="Y2">
        <v>778</v>
      </c>
      <c r="Z2">
        <v>817.27269463474863</v>
      </c>
      <c r="AA2" s="7">
        <f>AB2/AC2</f>
        <v>1.2829423035059242</v>
      </c>
      <c r="AB2">
        <v>121</v>
      </c>
      <c r="AC2">
        <v>94.314451763996459</v>
      </c>
      <c r="AD2" s="7">
        <f>AE2/AF2</f>
        <v>1.1285280770081119</v>
      </c>
      <c r="AE2">
        <v>132</v>
      </c>
      <c r="AF2">
        <v>116.96651832531339</v>
      </c>
      <c r="AG2" s="7">
        <f>(AJ2+AL2)/(AK2+AM2)</f>
        <v>2.2533648943516966</v>
      </c>
      <c r="AH2">
        <f>AJ2+AL2</f>
        <v>29</v>
      </c>
      <c r="AI2">
        <f>AK2+AM2</f>
        <v>12.869642228247915</v>
      </c>
      <c r="AJ2">
        <v>14</v>
      </c>
      <c r="AK2">
        <v>5.2336437927969977</v>
      </c>
      <c r="AL2">
        <v>15</v>
      </c>
      <c r="AM2">
        <v>7.6359984354509178</v>
      </c>
    </row>
    <row r="3" spans="1:39" x14ac:dyDescent="0.45">
      <c r="A3" t="s">
        <v>130</v>
      </c>
      <c r="B3">
        <f>D3+G3+J3</f>
        <v>49</v>
      </c>
      <c r="C3" s="7">
        <f>D3/E3</f>
        <v>1.2425557277224897</v>
      </c>
      <c r="D3">
        <v>27</v>
      </c>
      <c r="E3">
        <v>21.729407701889517</v>
      </c>
      <c r="F3" s="7">
        <f>G3/H3</f>
        <v>1.1368398774957253</v>
      </c>
      <c r="G3">
        <v>15</v>
      </c>
      <c r="H3">
        <v>13.194470300463578</v>
      </c>
      <c r="I3" s="7">
        <f>J3/K3</f>
        <v>0.49729605932444898</v>
      </c>
      <c r="J3">
        <v>7</v>
      </c>
      <c r="K3">
        <v>14.076121997646911</v>
      </c>
      <c r="L3" s="7">
        <f>M3/N3</f>
        <v>1.04254258023761</v>
      </c>
      <c r="M3">
        <v>132</v>
      </c>
      <c r="N3">
        <v>126.61353358815843</v>
      </c>
      <c r="O3" s="7">
        <f>P3/Q3</f>
        <v>1.1357012178878512</v>
      </c>
      <c r="P3">
        <v>82</v>
      </c>
      <c r="Q3">
        <v>72.202088637803485</v>
      </c>
      <c r="R3" s="7">
        <f>S3/T3</f>
        <v>0.91892431905860994</v>
      </c>
      <c r="S3">
        <v>50</v>
      </c>
      <c r="T3">
        <v>54.411444950354991</v>
      </c>
      <c r="U3" s="7">
        <f>V3/W3</f>
        <v>1.0602669797170683</v>
      </c>
      <c r="V3">
        <v>661</v>
      </c>
      <c r="W3">
        <v>623.42788433945907</v>
      </c>
      <c r="X3" s="7">
        <f>Y3/Z3</f>
        <v>0.95037769004054284</v>
      </c>
      <c r="Y3">
        <v>623</v>
      </c>
      <c r="Z3">
        <v>655.52885608396696</v>
      </c>
      <c r="AA3" s="7">
        <f>AB3/AC3</f>
        <v>1.5916638295223995</v>
      </c>
      <c r="AB3">
        <v>121</v>
      </c>
      <c r="AC3">
        <v>76.021077915873548</v>
      </c>
      <c r="AD3" s="7">
        <f>AE3/AF3</f>
        <v>1.2960681580722613</v>
      </c>
      <c r="AE3">
        <v>122</v>
      </c>
      <c r="AF3">
        <v>94.130852023600127</v>
      </c>
      <c r="AG3" s="7">
        <f>AH3/AI3</f>
        <v>1.4531158925654477</v>
      </c>
      <c r="AH3">
        <f>AJ3+AL3</f>
        <v>15</v>
      </c>
      <c r="AI3">
        <f>AK3+AM3</f>
        <v>10.322645342153539</v>
      </c>
      <c r="AJ3">
        <v>5</v>
      </c>
      <c r="AK3">
        <v>4.1757328848233994</v>
      </c>
      <c r="AL3">
        <v>10</v>
      </c>
      <c r="AM3">
        <v>6.1469124573301395</v>
      </c>
    </row>
    <row r="10" spans="1:39" x14ac:dyDescent="0.45">
      <c r="A10" t="s">
        <v>1287</v>
      </c>
      <c r="D10" t="s">
        <v>1314</v>
      </c>
      <c r="E10" t="s">
        <v>1317</v>
      </c>
      <c r="G10" t="s">
        <v>1315</v>
      </c>
      <c r="H10" t="s">
        <v>1318</v>
      </c>
      <c r="J10" t="s">
        <v>1316</v>
      </c>
      <c r="K10" t="s">
        <v>1319</v>
      </c>
      <c r="L10" t="s">
        <v>1304</v>
      </c>
      <c r="M10" t="s">
        <v>1288</v>
      </c>
      <c r="N10" t="s">
        <v>1291</v>
      </c>
      <c r="O10" t="s">
        <v>1305</v>
      </c>
      <c r="P10" t="s">
        <v>1289</v>
      </c>
      <c r="Q10" t="s">
        <v>1285</v>
      </c>
      <c r="R10" t="s">
        <v>1306</v>
      </c>
      <c r="S10" t="s">
        <v>1290</v>
      </c>
      <c r="T10" t="s">
        <v>1286</v>
      </c>
      <c r="U10" t="s">
        <v>1307</v>
      </c>
      <c r="V10" t="s">
        <v>1292</v>
      </c>
      <c r="W10" t="s">
        <v>1294</v>
      </c>
      <c r="X10" t="s">
        <v>1308</v>
      </c>
      <c r="Y10" t="s">
        <v>1293</v>
      </c>
      <c r="Z10" t="s">
        <v>1295</v>
      </c>
      <c r="AA10" t="s">
        <v>1309</v>
      </c>
      <c r="AB10" t="s">
        <v>1296</v>
      </c>
      <c r="AC10" t="s">
        <v>1298</v>
      </c>
      <c r="AD10" t="s">
        <v>1310</v>
      </c>
      <c r="AE10" t="s">
        <v>1297</v>
      </c>
      <c r="AF10" t="s">
        <v>1299</v>
      </c>
      <c r="AG10" t="s">
        <v>1311</v>
      </c>
      <c r="AH10" t="s">
        <v>1312</v>
      </c>
      <c r="AI10" t="s">
        <v>1313</v>
      </c>
      <c r="AJ10" t="s">
        <v>1300</v>
      </c>
      <c r="AK10" t="s">
        <v>1301</v>
      </c>
      <c r="AL10" t="s">
        <v>1303</v>
      </c>
      <c r="AM10" t="s">
        <v>1302</v>
      </c>
    </row>
    <row r="11" spans="1:39" x14ac:dyDescent="0.45">
      <c r="A11" t="s">
        <v>158</v>
      </c>
      <c r="D11">
        <v>30</v>
      </c>
      <c r="E11">
        <v>27.309179611488418</v>
      </c>
      <c r="G11">
        <v>16</v>
      </c>
      <c r="H11">
        <v>16.435477326324644</v>
      </c>
      <c r="J11">
        <v>15</v>
      </c>
      <c r="K11">
        <v>17.255343062186942</v>
      </c>
      <c r="L11">
        <v>0.99923148977076515</v>
      </c>
      <c r="M11">
        <v>157</v>
      </c>
      <c r="N11">
        <v>157.12074890275682</v>
      </c>
      <c r="O11">
        <v>1.0107083893798097</v>
      </c>
      <c r="P11">
        <v>91</v>
      </c>
      <c r="Q11">
        <v>90.035860942877264</v>
      </c>
      <c r="R11">
        <v>0.98382813189569096</v>
      </c>
      <c r="S11">
        <v>66</v>
      </c>
      <c r="T11">
        <v>67.084887959879524</v>
      </c>
      <c r="U11">
        <v>0.95192678372993655</v>
      </c>
      <c r="V11">
        <v>740</v>
      </c>
      <c r="W11">
        <v>777.37071027716706</v>
      </c>
      <c r="X11">
        <v>0.95194664535770379</v>
      </c>
      <c r="Y11">
        <v>778</v>
      </c>
      <c r="Z11">
        <v>817.27269463474863</v>
      </c>
      <c r="AA11">
        <v>1.2829423035059242</v>
      </c>
      <c r="AB11">
        <v>121</v>
      </c>
      <c r="AC11">
        <v>94.314451763996459</v>
      </c>
      <c r="AD11">
        <v>1.1285280770081119</v>
      </c>
      <c r="AE11">
        <v>132</v>
      </c>
      <c r="AF11">
        <v>116.96651832531339</v>
      </c>
      <c r="AG11">
        <v>2.2533648943516966</v>
      </c>
      <c r="AH11">
        <v>29</v>
      </c>
      <c r="AI11">
        <v>12.869642228247915</v>
      </c>
      <c r="AJ11">
        <v>14</v>
      </c>
      <c r="AK11">
        <v>5.2336437927969977</v>
      </c>
      <c r="AL11">
        <v>15</v>
      </c>
      <c r="AM11">
        <v>7.6359984354509178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5"/>
  <sheetViews>
    <sheetView workbookViewId="0">
      <selection activeCell="A2" sqref="A2"/>
    </sheetView>
  </sheetViews>
  <sheetFormatPr defaultRowHeight="14.25" x14ac:dyDescent="0.45"/>
  <sheetData>
    <row r="1" spans="1:26" x14ac:dyDescent="0.45">
      <c r="A1" t="s">
        <v>1263</v>
      </c>
      <c r="B1" s="5" t="s">
        <v>1258</v>
      </c>
      <c r="C1" s="5" t="s">
        <v>1264</v>
      </c>
      <c r="D1" s="5" t="s">
        <v>1265</v>
      </c>
      <c r="E1" s="5" t="s">
        <v>1259</v>
      </c>
      <c r="F1" s="5" t="s">
        <v>1260</v>
      </c>
      <c r="G1" s="5" t="s">
        <v>1261</v>
      </c>
      <c r="H1" s="5" t="s">
        <v>1266</v>
      </c>
      <c r="I1" s="5" t="s">
        <v>1267</v>
      </c>
      <c r="J1" s="5" t="s">
        <v>1268</v>
      </c>
      <c r="K1" s="5" t="s">
        <v>1269</v>
      </c>
      <c r="L1" s="5" t="s">
        <v>1270</v>
      </c>
      <c r="M1" s="5" t="s">
        <v>1271</v>
      </c>
      <c r="N1" s="5" t="s">
        <v>1272</v>
      </c>
      <c r="O1" s="5" t="s">
        <v>1273</v>
      </c>
      <c r="P1" s="5" t="s">
        <v>1274</v>
      </c>
      <c r="Q1" s="5" t="s">
        <v>1275</v>
      </c>
      <c r="R1" s="5" t="s">
        <v>1276</v>
      </c>
      <c r="S1" s="5" t="s">
        <v>1277</v>
      </c>
      <c r="T1" s="5" t="s">
        <v>1278</v>
      </c>
      <c r="U1" s="5" t="s">
        <v>1279</v>
      </c>
      <c r="V1" s="5" t="s">
        <v>1280</v>
      </c>
      <c r="W1" s="5" t="s">
        <v>1281</v>
      </c>
      <c r="X1" s="5" t="s">
        <v>1282</v>
      </c>
      <c r="Y1" s="5" t="s">
        <v>1283</v>
      </c>
      <c r="Z1" s="5" t="s">
        <v>1284</v>
      </c>
    </row>
    <row r="2" spans="1:26" x14ac:dyDescent="0.45">
      <c r="A2" s="5">
        <v>0.92</v>
      </c>
      <c r="B2">
        <v>1.0511538461538461</v>
      </c>
      <c r="C2">
        <v>13.88461538461539</v>
      </c>
      <c r="D2">
        <v>31.474358974358971</v>
      </c>
      <c r="E2">
        <v>0.93226032751273036</v>
      </c>
      <c r="F2">
        <v>5.4322699378046999E-2</v>
      </c>
      <c r="G2">
        <v>1.3416973109222951E-2</v>
      </c>
      <c r="H2">
        <f>E2*3+F2*1</f>
        <v>2.8511036819162383</v>
      </c>
      <c r="I2">
        <f>F2*1+G2*3</f>
        <v>9.4573618705715845E-2</v>
      </c>
      <c r="J2">
        <f>K2+L2</f>
        <v>4.3846153846153841</v>
      </c>
      <c r="K2">
        <v>3.8461538461538458</v>
      </c>
      <c r="L2">
        <v>0.53846153846153844</v>
      </c>
      <c r="M2">
        <v>1.615384615384615</v>
      </c>
      <c r="N2">
        <v>0.23076923076923081</v>
      </c>
      <c r="O2">
        <v>20.617647058823529</v>
      </c>
      <c r="P2">
        <v>6.9411764705882364</v>
      </c>
      <c r="Q2">
        <v>9.117647058823529</v>
      </c>
      <c r="R2">
        <v>2.5441176470588229</v>
      </c>
      <c r="S2">
        <f>O2-Q2</f>
        <v>11.5</v>
      </c>
      <c r="T2">
        <f>P2-R2</f>
        <v>4.397058823529413</v>
      </c>
      <c r="U2">
        <v>9.867647058823529</v>
      </c>
      <c r="V2">
        <v>13.455882352941179</v>
      </c>
      <c r="W2">
        <v>1.0735294117647061</v>
      </c>
      <c r="X2">
        <v>2.132352941176471</v>
      </c>
      <c r="Y2">
        <v>4.4117647058823532E-2</v>
      </c>
      <c r="Z2">
        <v>0.1470588235294118</v>
      </c>
    </row>
    <row r="3" spans="1:26" x14ac:dyDescent="0.45">
      <c r="A3" s="5">
        <v>0.9</v>
      </c>
      <c r="B3">
        <v>1.074013245033113</v>
      </c>
      <c r="C3">
        <v>10.53675496688742</v>
      </c>
      <c r="D3">
        <v>24.49006622516556</v>
      </c>
      <c r="E3">
        <v>0.90771536858891411</v>
      </c>
      <c r="F3">
        <v>7.3505457490917012E-2</v>
      </c>
      <c r="G3">
        <v>1.8779173920169E-2</v>
      </c>
      <c r="H3">
        <f t="shared" ref="H3:H45" si="0">E3*3+F3*1</f>
        <v>2.7966515632576594</v>
      </c>
      <c r="I3">
        <f t="shared" ref="I3:I45" si="1">F3*1+G3*3</f>
        <v>0.12984297925142402</v>
      </c>
      <c r="J3">
        <f t="shared" ref="J3:J45" si="2">K3+L3</f>
        <v>4.0264900662251657</v>
      </c>
      <c r="K3">
        <v>3.3841059602649008</v>
      </c>
      <c r="L3">
        <v>0.64238410596026485</v>
      </c>
      <c r="M3">
        <v>1.582781456953642</v>
      </c>
      <c r="N3">
        <v>0.33774834437086088</v>
      </c>
      <c r="O3">
        <v>20.428571428571431</v>
      </c>
      <c r="P3">
        <v>7.5</v>
      </c>
      <c r="Q3">
        <v>8.6020408163265305</v>
      </c>
      <c r="R3">
        <v>2.6632653061224492</v>
      </c>
      <c r="S3">
        <f t="shared" ref="S3:T45" si="3">O3-Q3</f>
        <v>11.8265306122449</v>
      </c>
      <c r="T3">
        <f t="shared" si="3"/>
        <v>4.8367346938775508</v>
      </c>
      <c r="U3">
        <v>10.329896907216501</v>
      </c>
      <c r="V3">
        <v>11.896907216494849</v>
      </c>
      <c r="W3">
        <v>1.2653061224489801</v>
      </c>
      <c r="X3">
        <v>2.0612244897959182</v>
      </c>
      <c r="Y3">
        <v>5.1020408163265307E-2</v>
      </c>
      <c r="Z3">
        <v>5.1020408163265307E-2</v>
      </c>
    </row>
    <row r="4" spans="1:26" x14ac:dyDescent="0.45">
      <c r="A4" s="5">
        <v>0.88</v>
      </c>
      <c r="B4">
        <v>1.096624309392265</v>
      </c>
      <c r="C4">
        <v>9.1665745856353595</v>
      </c>
      <c r="D4">
        <v>20.928176795580111</v>
      </c>
      <c r="E4">
        <v>0.88799383339541604</v>
      </c>
      <c r="F4">
        <v>8.6773445525821072E-2</v>
      </c>
      <c r="G4">
        <v>2.523272107876293E-2</v>
      </c>
      <c r="H4">
        <f t="shared" si="0"/>
        <v>2.7507549457120692</v>
      </c>
      <c r="I4">
        <f t="shared" si="1"/>
        <v>0.16247160876210986</v>
      </c>
      <c r="J4">
        <f t="shared" si="2"/>
        <v>3.6850828729281768</v>
      </c>
      <c r="K4">
        <v>3.1491712707182322</v>
      </c>
      <c r="L4">
        <v>0.53591160220994472</v>
      </c>
      <c r="M4">
        <v>1.419889502762431</v>
      </c>
      <c r="N4">
        <v>0.22651933701657459</v>
      </c>
      <c r="O4">
        <v>19.949152542372879</v>
      </c>
      <c r="P4">
        <v>7.1355932203389827</v>
      </c>
      <c r="Q4">
        <v>8.4576271186440675</v>
      </c>
      <c r="R4">
        <v>2.3813559322033901</v>
      </c>
      <c r="S4">
        <f t="shared" si="3"/>
        <v>11.491525423728811</v>
      </c>
      <c r="T4">
        <f t="shared" si="3"/>
        <v>4.7542372881355925</v>
      </c>
      <c r="U4">
        <v>9.8608695652173921</v>
      </c>
      <c r="V4">
        <v>11.765217391304351</v>
      </c>
      <c r="W4">
        <v>0.94915254237288138</v>
      </c>
      <c r="X4">
        <v>1.906779661016949</v>
      </c>
      <c r="Y4">
        <v>2.542372881355932E-2</v>
      </c>
      <c r="Z4">
        <v>0.1101694915254237</v>
      </c>
    </row>
    <row r="5" spans="1:26" x14ac:dyDescent="0.45">
      <c r="A5" s="5">
        <v>0.86</v>
      </c>
      <c r="B5">
        <v>1.1186772334293951</v>
      </c>
      <c r="C5">
        <v>8.0240634005763685</v>
      </c>
      <c r="D5">
        <v>17.977521613832849</v>
      </c>
      <c r="E5">
        <v>0.86815896756662292</v>
      </c>
      <c r="F5">
        <v>0.1003071627228458</v>
      </c>
      <c r="G5">
        <v>3.1533869710531362E-2</v>
      </c>
      <c r="H5">
        <f t="shared" si="0"/>
        <v>2.7047840654227144</v>
      </c>
      <c r="I5">
        <f t="shared" si="1"/>
        <v>0.19490877185443989</v>
      </c>
      <c r="J5">
        <f t="shared" si="2"/>
        <v>3.5693641618497112</v>
      </c>
      <c r="K5">
        <v>3.0404624277456649</v>
      </c>
      <c r="L5">
        <v>0.52890173410404628</v>
      </c>
      <c r="M5">
        <v>1.2601156069364161</v>
      </c>
      <c r="N5">
        <v>0.23988439306358381</v>
      </c>
      <c r="O5">
        <v>19.301020408163261</v>
      </c>
      <c r="P5">
        <v>6.9693877551020407</v>
      </c>
      <c r="Q5">
        <v>8.4795918367346932</v>
      </c>
      <c r="R5">
        <v>2.6020408163265309</v>
      </c>
      <c r="S5">
        <f t="shared" si="3"/>
        <v>10.821428571428568</v>
      </c>
      <c r="T5">
        <f t="shared" si="3"/>
        <v>4.3673469387755102</v>
      </c>
      <c r="U5">
        <v>10.71354166666667</v>
      </c>
      <c r="V5">
        <v>12</v>
      </c>
      <c r="W5">
        <v>1.168367346938775</v>
      </c>
      <c r="X5">
        <v>1.918367346938775</v>
      </c>
      <c r="Y5">
        <v>3.5714285714285712E-2</v>
      </c>
      <c r="Z5">
        <v>8.673469387755102E-2</v>
      </c>
    </row>
    <row r="6" spans="1:26" x14ac:dyDescent="0.45">
      <c r="A6" s="5">
        <v>0.84</v>
      </c>
      <c r="B6">
        <v>1.1377694117647059</v>
      </c>
      <c r="C6">
        <v>7.3444705882352954</v>
      </c>
      <c r="D6">
        <v>16.139294117647061</v>
      </c>
      <c r="E6">
        <v>0.85214880274703253</v>
      </c>
      <c r="F6">
        <v>0.11086480613712781</v>
      </c>
      <c r="G6">
        <v>3.6986391115839637E-2</v>
      </c>
      <c r="H6">
        <f t="shared" si="0"/>
        <v>2.6673112143782256</v>
      </c>
      <c r="I6">
        <f t="shared" si="1"/>
        <v>0.22182397948464672</v>
      </c>
      <c r="J6">
        <f t="shared" si="2"/>
        <v>3.2447058823529407</v>
      </c>
      <c r="K6">
        <v>2.670588235294117</v>
      </c>
      <c r="L6">
        <v>0.57411764705882351</v>
      </c>
      <c r="M6">
        <v>1.2</v>
      </c>
      <c r="N6">
        <v>0.26117647058823529</v>
      </c>
      <c r="O6">
        <v>18.042372881355931</v>
      </c>
      <c r="P6">
        <v>7.148305084745763</v>
      </c>
      <c r="Q6">
        <v>8.0170212765957451</v>
      </c>
      <c r="R6">
        <v>2.6</v>
      </c>
      <c r="S6">
        <f t="shared" si="3"/>
        <v>10.025351604760186</v>
      </c>
      <c r="T6">
        <f t="shared" si="3"/>
        <v>4.5483050847457633</v>
      </c>
      <c r="U6">
        <v>11.306034482758619</v>
      </c>
      <c r="V6">
        <v>12.870689655172409</v>
      </c>
      <c r="W6">
        <v>1.203389830508474</v>
      </c>
      <c r="X6">
        <v>2.0338983050847461</v>
      </c>
      <c r="Y6">
        <v>5.0847457627118647E-2</v>
      </c>
      <c r="Z6">
        <v>0.1228813559322034</v>
      </c>
    </row>
    <row r="7" spans="1:26" x14ac:dyDescent="0.45">
      <c r="A7" s="5">
        <v>0.82</v>
      </c>
      <c r="B7">
        <v>1.1661072261072261</v>
      </c>
      <c r="C7">
        <v>6.680431235431235</v>
      </c>
      <c r="D7">
        <v>14.56131701631702</v>
      </c>
      <c r="E7">
        <v>0.8313099815887236</v>
      </c>
      <c r="F7">
        <v>0.1245744057601996</v>
      </c>
      <c r="G7">
        <v>4.4115612651076858E-2</v>
      </c>
      <c r="H7">
        <f t="shared" si="0"/>
        <v>2.6185043505263703</v>
      </c>
      <c r="I7">
        <f t="shared" si="1"/>
        <v>0.25692124371343017</v>
      </c>
      <c r="J7">
        <f t="shared" si="2"/>
        <v>3.3613053613053614</v>
      </c>
      <c r="K7">
        <v>2.7599067599067602</v>
      </c>
      <c r="L7">
        <v>0.60139860139860135</v>
      </c>
      <c r="M7">
        <v>1.2529137529137531</v>
      </c>
      <c r="N7">
        <v>0.25757575757575762</v>
      </c>
      <c r="O7">
        <v>18.014018691588781</v>
      </c>
      <c r="P7">
        <v>7.2266355140186924</v>
      </c>
      <c r="Q7">
        <v>8.040094339622641</v>
      </c>
      <c r="R7">
        <v>2.7216981132075468</v>
      </c>
      <c r="S7">
        <f t="shared" si="3"/>
        <v>9.97392435196614</v>
      </c>
      <c r="T7">
        <f t="shared" si="3"/>
        <v>4.504937400811146</v>
      </c>
      <c r="U7">
        <v>11.519323671497579</v>
      </c>
      <c r="V7">
        <v>12.93236714975845</v>
      </c>
      <c r="W7">
        <v>1.069767441860465</v>
      </c>
      <c r="X7">
        <v>1.8767441860465119</v>
      </c>
      <c r="Y7">
        <v>4.6511627906976737E-2</v>
      </c>
      <c r="Z7">
        <v>0.1372093023255814</v>
      </c>
    </row>
    <row r="8" spans="1:26" x14ac:dyDescent="0.45">
      <c r="A8" s="5">
        <v>0.8</v>
      </c>
      <c r="B8">
        <v>1.1959530026109659</v>
      </c>
      <c r="C8">
        <v>6.1744778067885111</v>
      </c>
      <c r="D8">
        <v>13.17467362924282</v>
      </c>
      <c r="E8">
        <v>0.81062608285786264</v>
      </c>
      <c r="F8">
        <v>0.13752176164536761</v>
      </c>
      <c r="G8">
        <v>5.1852155496769733E-2</v>
      </c>
      <c r="H8">
        <f t="shared" si="0"/>
        <v>2.5694000102189554</v>
      </c>
      <c r="I8">
        <f t="shared" si="1"/>
        <v>0.2930782281356768</v>
      </c>
      <c r="J8">
        <f t="shared" si="2"/>
        <v>3.2937336814621405</v>
      </c>
      <c r="K8">
        <v>2.6631853785900779</v>
      </c>
      <c r="L8">
        <v>0.63054830287206265</v>
      </c>
      <c r="M8">
        <v>1.2219321148825071</v>
      </c>
      <c r="N8">
        <v>0.28328981723237601</v>
      </c>
      <c r="O8">
        <v>17.784037558685451</v>
      </c>
      <c r="P8">
        <v>7.288732394366197</v>
      </c>
      <c r="Q8">
        <v>8.1981132075471699</v>
      </c>
      <c r="R8">
        <v>2.8844339622641511</v>
      </c>
      <c r="S8">
        <f t="shared" si="3"/>
        <v>9.5859243511382815</v>
      </c>
      <c r="T8">
        <f t="shared" si="3"/>
        <v>4.4042984321020455</v>
      </c>
      <c r="U8">
        <v>10.849642004773269</v>
      </c>
      <c r="V8">
        <v>12.6563245823389</v>
      </c>
      <c r="W8">
        <v>1.182669789227166</v>
      </c>
      <c r="X8">
        <v>1.8922716627634659</v>
      </c>
      <c r="Y8">
        <v>3.7470725995316159E-2</v>
      </c>
      <c r="Z8">
        <v>0.1334894613583138</v>
      </c>
    </row>
    <row r="9" spans="1:26" x14ac:dyDescent="0.45">
      <c r="A9" s="5">
        <v>0.78</v>
      </c>
      <c r="B9">
        <v>1.21885403050109</v>
      </c>
      <c r="C9">
        <v>5.628867102396514</v>
      </c>
      <c r="D9">
        <v>11.7369825708061</v>
      </c>
      <c r="E9">
        <v>0.7917678151699804</v>
      </c>
      <c r="F9">
        <v>0.1502287580944176</v>
      </c>
      <c r="G9">
        <v>5.8003426735602027E-2</v>
      </c>
      <c r="H9">
        <f t="shared" si="0"/>
        <v>2.5255322036043588</v>
      </c>
      <c r="I9">
        <f t="shared" si="1"/>
        <v>0.32423903830122369</v>
      </c>
      <c r="J9">
        <f t="shared" si="2"/>
        <v>3.1537622682660857</v>
      </c>
      <c r="K9">
        <v>2.5027262813522362</v>
      </c>
      <c r="L9">
        <v>0.65103598691384956</v>
      </c>
      <c r="M9">
        <v>1.1341330425299889</v>
      </c>
      <c r="N9">
        <v>0.28789531079607422</v>
      </c>
      <c r="O9">
        <v>17.435665914221222</v>
      </c>
      <c r="P9">
        <v>7.6794582392776523</v>
      </c>
      <c r="Q9">
        <v>7.8283752860411902</v>
      </c>
      <c r="R9">
        <v>3.0457665903890159</v>
      </c>
      <c r="S9">
        <f t="shared" si="3"/>
        <v>9.6072906281800314</v>
      </c>
      <c r="T9">
        <f t="shared" si="3"/>
        <v>4.6336916488886359</v>
      </c>
      <c r="U9">
        <v>11.490867579908681</v>
      </c>
      <c r="V9">
        <v>13.299086757990869</v>
      </c>
      <c r="W9">
        <v>1.213004484304933</v>
      </c>
      <c r="X9">
        <v>1.928251121076233</v>
      </c>
      <c r="Y9">
        <v>3.811659192825112E-2</v>
      </c>
      <c r="Z9">
        <v>0.11659192825112109</v>
      </c>
    </row>
    <row r="10" spans="1:26" x14ac:dyDescent="0.45">
      <c r="A10" s="5">
        <v>0.76</v>
      </c>
      <c r="B10">
        <v>1.2508144989339021</v>
      </c>
      <c r="C10">
        <v>5.3456823027718547</v>
      </c>
      <c r="D10">
        <v>10.748454157782509</v>
      </c>
      <c r="E10">
        <v>0.77205035947777712</v>
      </c>
      <c r="F10">
        <v>0.1607432496168324</v>
      </c>
      <c r="G10">
        <v>6.720639090539042E-2</v>
      </c>
      <c r="H10">
        <f t="shared" si="0"/>
        <v>2.4768943280501636</v>
      </c>
      <c r="I10">
        <f t="shared" si="1"/>
        <v>0.36236242233300364</v>
      </c>
      <c r="J10">
        <f t="shared" si="2"/>
        <v>3.1119402985074629</v>
      </c>
      <c r="K10">
        <v>2.3965884861407249</v>
      </c>
      <c r="L10">
        <v>0.71535181236673773</v>
      </c>
      <c r="M10">
        <v>1.0991471215351809</v>
      </c>
      <c r="N10">
        <v>0.31876332622601278</v>
      </c>
      <c r="O10">
        <v>17.525054466230941</v>
      </c>
      <c r="P10">
        <v>8.2832244008714593</v>
      </c>
      <c r="Q10">
        <v>7.5454545454545459</v>
      </c>
      <c r="R10">
        <v>3.108647450110865</v>
      </c>
      <c r="S10">
        <f t="shared" si="3"/>
        <v>9.9795999207763941</v>
      </c>
      <c r="T10">
        <f t="shared" si="3"/>
        <v>5.1745769507605939</v>
      </c>
      <c r="U10">
        <v>11.957964601769911</v>
      </c>
      <c r="V10">
        <v>13.559734513274339</v>
      </c>
      <c r="W10">
        <v>1.258695652173913</v>
      </c>
      <c r="X10">
        <v>1.991304347826087</v>
      </c>
      <c r="Y10">
        <v>5.434782608695652E-2</v>
      </c>
      <c r="Z10">
        <v>0.13043478260869559</v>
      </c>
    </row>
    <row r="11" spans="1:26" x14ac:dyDescent="0.45">
      <c r="A11" s="5">
        <v>0.74</v>
      </c>
      <c r="B11">
        <v>1.284605242255759</v>
      </c>
      <c r="C11">
        <v>5.0435266084193806</v>
      </c>
      <c r="D11">
        <v>9.784551231135822</v>
      </c>
      <c r="E11">
        <v>0.75130754511791942</v>
      </c>
      <c r="F11">
        <v>0.1722355074832464</v>
      </c>
      <c r="G11">
        <v>7.6456947398834255E-2</v>
      </c>
      <c r="H11">
        <f t="shared" si="0"/>
        <v>2.4261581428370045</v>
      </c>
      <c r="I11">
        <f t="shared" si="1"/>
        <v>0.40160634967974917</v>
      </c>
      <c r="J11">
        <f t="shared" si="2"/>
        <v>3.0158856235107225</v>
      </c>
      <c r="K11">
        <v>2.330420969023034</v>
      </c>
      <c r="L11">
        <v>0.68546465448768867</v>
      </c>
      <c r="M11">
        <v>1.0381254964257349</v>
      </c>
      <c r="N11">
        <v>0.28594122319301041</v>
      </c>
      <c r="O11">
        <v>17.085483870967739</v>
      </c>
      <c r="P11">
        <v>7.9661290322580642</v>
      </c>
      <c r="Q11">
        <v>7.6496710526315788</v>
      </c>
      <c r="R11">
        <v>3.0904605263157889</v>
      </c>
      <c r="S11">
        <f t="shared" si="3"/>
        <v>9.43581281833616</v>
      </c>
      <c r="T11">
        <f t="shared" si="3"/>
        <v>4.8756685059422757</v>
      </c>
      <c r="U11">
        <v>11.915309446254071</v>
      </c>
      <c r="V11">
        <v>13.643322475570031</v>
      </c>
      <c r="W11">
        <v>1.2971246006389781</v>
      </c>
      <c r="X11">
        <v>2.0255591054313098</v>
      </c>
      <c r="Y11">
        <v>5.5910543130990413E-2</v>
      </c>
      <c r="Z11">
        <v>0.11501597444089461</v>
      </c>
    </row>
    <row r="12" spans="1:26" x14ac:dyDescent="0.45">
      <c r="A12" s="5">
        <v>0.72</v>
      </c>
      <c r="B12">
        <v>1.3195676691729319</v>
      </c>
      <c r="C12">
        <v>4.7604015037593976</v>
      </c>
      <c r="D12">
        <v>8.9177293233082704</v>
      </c>
      <c r="E12">
        <v>0.73041023418330597</v>
      </c>
      <c r="F12">
        <v>0.1837328174052516</v>
      </c>
      <c r="G12">
        <v>8.5856948411442438E-2</v>
      </c>
      <c r="H12">
        <f t="shared" si="0"/>
        <v>2.3749635199551693</v>
      </c>
      <c r="I12">
        <f t="shared" si="1"/>
        <v>0.44130366263957893</v>
      </c>
      <c r="J12">
        <f t="shared" si="2"/>
        <v>2.9969924812030078</v>
      </c>
      <c r="K12">
        <v>2.2436090225563912</v>
      </c>
      <c r="L12">
        <v>0.75338345864661649</v>
      </c>
      <c r="M12">
        <v>1.018796992481203</v>
      </c>
      <c r="N12">
        <v>0.35112781954887218</v>
      </c>
      <c r="O12">
        <v>16.67069486404834</v>
      </c>
      <c r="P12">
        <v>8.2024169184290034</v>
      </c>
      <c r="Q12">
        <v>7.274390243902439</v>
      </c>
      <c r="R12">
        <v>3.282012195121951</v>
      </c>
      <c r="S12">
        <f t="shared" si="3"/>
        <v>9.3963046201459015</v>
      </c>
      <c r="T12">
        <f t="shared" si="3"/>
        <v>4.9204047233070529</v>
      </c>
      <c r="U12">
        <v>11.79352850539291</v>
      </c>
      <c r="V12">
        <v>13.348228043143299</v>
      </c>
      <c r="W12">
        <v>1.2705530642750369</v>
      </c>
      <c r="X12">
        <v>2.0822122571001489</v>
      </c>
      <c r="Y12">
        <v>5.6801195814648729E-2</v>
      </c>
      <c r="Z12">
        <v>0.12257100149476829</v>
      </c>
    </row>
    <row r="13" spans="1:26" x14ac:dyDescent="0.45">
      <c r="A13" s="5">
        <v>0.7</v>
      </c>
      <c r="B13">
        <v>1.35306068779501</v>
      </c>
      <c r="C13">
        <v>4.5349157113958194</v>
      </c>
      <c r="D13">
        <v>8.2886783546864464</v>
      </c>
      <c r="E13">
        <v>0.71156928001652708</v>
      </c>
      <c r="F13">
        <v>0.19416646959267911</v>
      </c>
      <c r="G13">
        <v>9.4264250390793697E-2</v>
      </c>
      <c r="H13">
        <f t="shared" si="0"/>
        <v>2.3288743096422602</v>
      </c>
      <c r="I13">
        <f t="shared" si="1"/>
        <v>0.47695922076506025</v>
      </c>
      <c r="J13">
        <f t="shared" si="2"/>
        <v>2.9925826028320968</v>
      </c>
      <c r="K13">
        <v>2.224544841537424</v>
      </c>
      <c r="L13">
        <v>0.76803776129467294</v>
      </c>
      <c r="M13">
        <v>0.96561024949426832</v>
      </c>
      <c r="N13">
        <v>0.34187457855697911</v>
      </c>
      <c r="O13">
        <v>16.100000000000001</v>
      </c>
      <c r="P13">
        <v>8.3493506493506491</v>
      </c>
      <c r="Q13">
        <v>7.2678100263852254</v>
      </c>
      <c r="R13">
        <v>3.2770448548812658</v>
      </c>
      <c r="S13">
        <f t="shared" si="3"/>
        <v>8.832189973614776</v>
      </c>
      <c r="T13">
        <f t="shared" si="3"/>
        <v>5.0723057944693828</v>
      </c>
      <c r="U13">
        <v>11.95872170439414</v>
      </c>
      <c r="V13">
        <v>13.450066577896139</v>
      </c>
      <c r="W13">
        <v>1.301526717557252</v>
      </c>
      <c r="X13">
        <v>1.9796437659033079</v>
      </c>
      <c r="Y13">
        <v>5.3435114503816793E-2</v>
      </c>
      <c r="Z13">
        <v>0.1183206106870229</v>
      </c>
    </row>
    <row r="14" spans="1:26" x14ac:dyDescent="0.45">
      <c r="A14" s="5">
        <v>0.68</v>
      </c>
      <c r="B14">
        <v>1.392400709219858</v>
      </c>
      <c r="C14">
        <v>4.317564420803782</v>
      </c>
      <c r="D14">
        <v>7.8322281323877077</v>
      </c>
      <c r="E14">
        <v>0.69156858517035646</v>
      </c>
      <c r="F14">
        <v>0.20621828738673781</v>
      </c>
      <c r="G14">
        <v>0.1022131274429058</v>
      </c>
      <c r="H14">
        <f t="shared" si="0"/>
        <v>2.2809240428978073</v>
      </c>
      <c r="I14">
        <f t="shared" si="1"/>
        <v>0.51285766971545521</v>
      </c>
      <c r="J14">
        <f t="shared" si="2"/>
        <v>2.9107565011820329</v>
      </c>
      <c r="K14">
        <v>2.1359338061465718</v>
      </c>
      <c r="L14">
        <v>0.77482269503546097</v>
      </c>
      <c r="M14">
        <v>0.93380614657210403</v>
      </c>
      <c r="N14">
        <v>0.33747044917257679</v>
      </c>
      <c r="O14">
        <v>15.783723522853959</v>
      </c>
      <c r="P14">
        <v>8.5830546265328866</v>
      </c>
      <c r="Q14">
        <v>6.7338618346545864</v>
      </c>
      <c r="R14">
        <v>3.2842582106455271</v>
      </c>
      <c r="S14">
        <f t="shared" si="3"/>
        <v>9.049861688199373</v>
      </c>
      <c r="T14">
        <f t="shared" si="3"/>
        <v>5.2987964158873595</v>
      </c>
      <c r="U14">
        <v>12.362500000000001</v>
      </c>
      <c r="V14">
        <v>13.904545454545451</v>
      </c>
      <c r="W14">
        <v>1.353005464480874</v>
      </c>
      <c r="X14">
        <v>2.0185792349726781</v>
      </c>
      <c r="Y14">
        <v>6.6666666666666666E-2</v>
      </c>
      <c r="Z14">
        <v>0.1213114754098361</v>
      </c>
    </row>
    <row r="15" spans="1:26" x14ac:dyDescent="0.45">
      <c r="A15" s="5">
        <v>0.66</v>
      </c>
      <c r="B15">
        <v>1.4290045248868779</v>
      </c>
      <c r="C15">
        <v>4.1162961744138213</v>
      </c>
      <c r="D15">
        <v>7.1827478403949003</v>
      </c>
      <c r="E15">
        <v>0.6716986292433289</v>
      </c>
      <c r="F15">
        <v>0.21604659544982141</v>
      </c>
      <c r="G15">
        <v>0.1122547753068497</v>
      </c>
      <c r="H15">
        <f t="shared" si="0"/>
        <v>2.2311424831798083</v>
      </c>
      <c r="I15">
        <f t="shared" si="1"/>
        <v>0.55281092137037047</v>
      </c>
      <c r="J15">
        <f t="shared" si="2"/>
        <v>2.9251336898395728</v>
      </c>
      <c r="K15">
        <v>2.089675030851502</v>
      </c>
      <c r="L15">
        <v>0.8354586589880707</v>
      </c>
      <c r="M15">
        <v>0.92472233648704238</v>
      </c>
      <c r="N15">
        <v>0.35252982311805842</v>
      </c>
      <c r="O15">
        <v>15.366666666666671</v>
      </c>
      <c r="P15">
        <v>8.5234848484848484</v>
      </c>
      <c r="Q15">
        <v>6.6873065015479876</v>
      </c>
      <c r="R15">
        <v>3.3490712074303399</v>
      </c>
      <c r="S15">
        <f t="shared" si="3"/>
        <v>8.679360165118684</v>
      </c>
      <c r="T15">
        <f t="shared" si="3"/>
        <v>5.1744136410545085</v>
      </c>
      <c r="U15">
        <v>12.62384615384615</v>
      </c>
      <c r="V15">
        <v>13.844615384615381</v>
      </c>
      <c r="W15">
        <v>1.369710467706013</v>
      </c>
      <c r="X15">
        <v>2.0920564216778019</v>
      </c>
      <c r="Y15">
        <v>7.126948775055679E-2</v>
      </c>
      <c r="Z15">
        <v>0.13214550853749071</v>
      </c>
    </row>
    <row r="16" spans="1:26" x14ac:dyDescent="0.45">
      <c r="A16" s="5">
        <v>0.64</v>
      </c>
      <c r="B16">
        <v>1.478892857142857</v>
      </c>
      <c r="C16">
        <v>3.9488705357142848</v>
      </c>
      <c r="D16">
        <v>6.6872098214285716</v>
      </c>
      <c r="E16">
        <v>0.64904859467326415</v>
      </c>
      <c r="F16">
        <v>0.22744531516392361</v>
      </c>
      <c r="G16">
        <v>0.12350609016281219</v>
      </c>
      <c r="H16">
        <f t="shared" si="0"/>
        <v>2.1745910991837163</v>
      </c>
      <c r="I16">
        <f t="shared" si="1"/>
        <v>0.59796358565236019</v>
      </c>
      <c r="J16">
        <f t="shared" si="2"/>
        <v>2.8343749999999996</v>
      </c>
      <c r="K16">
        <v>1.980803571428571</v>
      </c>
      <c r="L16">
        <v>0.85357142857142854</v>
      </c>
      <c r="M16">
        <v>0.8683035714285714</v>
      </c>
      <c r="N16">
        <v>0.36607142857142849</v>
      </c>
      <c r="O16">
        <v>15.03980099502488</v>
      </c>
      <c r="P16">
        <v>8.6326699834162515</v>
      </c>
      <c r="Q16">
        <v>6.5189234650967203</v>
      </c>
      <c r="R16">
        <v>3.4507989907485279</v>
      </c>
      <c r="S16">
        <f t="shared" si="3"/>
        <v>8.5208775299281605</v>
      </c>
      <c r="T16">
        <f t="shared" si="3"/>
        <v>5.181870992667724</v>
      </c>
      <c r="U16">
        <v>12.48566610455312</v>
      </c>
      <c r="V16">
        <v>13.573355817875211</v>
      </c>
      <c r="W16">
        <v>1.395273023634882</v>
      </c>
      <c r="X16">
        <v>2.0586797066014668</v>
      </c>
      <c r="Y16">
        <v>6.8459657701711488E-2</v>
      </c>
      <c r="Z16">
        <v>0.12713936430317849</v>
      </c>
    </row>
    <row r="17" spans="1:26" x14ac:dyDescent="0.45">
      <c r="A17" s="5">
        <v>0.62</v>
      </c>
      <c r="B17">
        <v>1.5204462962962959</v>
      </c>
      <c r="C17">
        <v>3.7750703703703712</v>
      </c>
      <c r="D17">
        <v>6.1839444444444451</v>
      </c>
      <c r="E17">
        <v>0.62870973174908784</v>
      </c>
      <c r="F17">
        <v>0.23730969568173441</v>
      </c>
      <c r="G17">
        <v>0.13398057256917759</v>
      </c>
      <c r="H17">
        <f t="shared" si="0"/>
        <v>2.1234388909289978</v>
      </c>
      <c r="I17">
        <f t="shared" si="1"/>
        <v>0.63925141338926716</v>
      </c>
      <c r="J17">
        <f t="shared" si="2"/>
        <v>2.7366666666666664</v>
      </c>
      <c r="K17">
        <v>1.8681481481481479</v>
      </c>
      <c r="L17">
        <v>0.86851851851851847</v>
      </c>
      <c r="M17">
        <v>0.81333333333333335</v>
      </c>
      <c r="N17">
        <v>0.38925925925925919</v>
      </c>
      <c r="O17">
        <v>14.53422724064926</v>
      </c>
      <c r="P17">
        <v>8.7882851093860275</v>
      </c>
      <c r="Q17">
        <v>6.3007953723788868</v>
      </c>
      <c r="R17">
        <v>3.681851048445409</v>
      </c>
      <c r="S17">
        <f t="shared" si="3"/>
        <v>8.2334318682703724</v>
      </c>
      <c r="T17">
        <f t="shared" si="3"/>
        <v>5.106434060940618</v>
      </c>
      <c r="U17">
        <v>12.32150615496017</v>
      </c>
      <c r="V17">
        <v>13.337436640115859</v>
      </c>
      <c r="W17">
        <v>1.346101231190151</v>
      </c>
      <c r="X17">
        <v>1.995212038303694</v>
      </c>
      <c r="Y17">
        <v>6.1559507523939808E-2</v>
      </c>
      <c r="Z17">
        <v>0.13201094391244869</v>
      </c>
    </row>
    <row r="18" spans="1:26" x14ac:dyDescent="0.45">
      <c r="A18" s="5">
        <v>0.6</v>
      </c>
      <c r="B18">
        <v>1.5671374327004819</v>
      </c>
      <c r="C18">
        <v>3.7180702748654011</v>
      </c>
      <c r="D18">
        <v>5.7927826579767636</v>
      </c>
      <c r="E18">
        <v>0.61072169959138134</v>
      </c>
      <c r="F18">
        <v>0.24281413016440859</v>
      </c>
      <c r="G18">
        <v>0.14646417024420991</v>
      </c>
      <c r="H18">
        <f t="shared" si="0"/>
        <v>2.0749792289385525</v>
      </c>
      <c r="I18">
        <f t="shared" si="1"/>
        <v>0.68220664089703831</v>
      </c>
      <c r="J18">
        <f t="shared" si="2"/>
        <v>2.7310090702947849</v>
      </c>
      <c r="K18">
        <v>1.841836734693878</v>
      </c>
      <c r="L18">
        <v>0.88917233560090703</v>
      </c>
      <c r="M18">
        <v>0.804822695035461</v>
      </c>
      <c r="N18">
        <v>0.38099290780141842</v>
      </c>
      <c r="O18">
        <v>14.25174825174825</v>
      </c>
      <c r="P18">
        <v>8.8316683316683324</v>
      </c>
      <c r="Q18">
        <v>6.2901265822784813</v>
      </c>
      <c r="R18">
        <v>3.6162025316455702</v>
      </c>
      <c r="S18">
        <f t="shared" si="3"/>
        <v>7.9616216694697686</v>
      </c>
      <c r="T18">
        <f t="shared" si="3"/>
        <v>5.2154658000227627</v>
      </c>
      <c r="U18">
        <v>12.444895886236671</v>
      </c>
      <c r="V18">
        <v>13.620619603859829</v>
      </c>
      <c r="W18">
        <v>1.406084017382907</v>
      </c>
      <c r="X18">
        <v>2.070980202800579</v>
      </c>
      <c r="Y18">
        <v>6.1323032351521013E-2</v>
      </c>
      <c r="Z18">
        <v>0.1313375181071946</v>
      </c>
    </row>
    <row r="19" spans="1:26" x14ac:dyDescent="0.45">
      <c r="A19" s="5">
        <v>0.57999999999999996</v>
      </c>
      <c r="B19">
        <v>1.6144316748423271</v>
      </c>
      <c r="C19">
        <v>3.614945106283578</v>
      </c>
      <c r="D19">
        <v>5.3694034104181263</v>
      </c>
      <c r="E19">
        <v>0.59116421130723862</v>
      </c>
      <c r="F19">
        <v>0.2495962804383148</v>
      </c>
      <c r="G19">
        <v>0.15923950825444649</v>
      </c>
      <c r="H19">
        <f t="shared" si="0"/>
        <v>2.0230889143600308</v>
      </c>
      <c r="I19">
        <f t="shared" si="1"/>
        <v>0.72731480520165426</v>
      </c>
      <c r="J19">
        <f t="shared" si="2"/>
        <v>2.6362999299229148</v>
      </c>
      <c r="K19">
        <v>1.7619715019855171</v>
      </c>
      <c r="L19">
        <v>0.87432842793739785</v>
      </c>
      <c r="M19">
        <v>0.78411214953271025</v>
      </c>
      <c r="N19">
        <v>0.38060747663551397</v>
      </c>
      <c r="O19">
        <v>14.215499378367181</v>
      </c>
      <c r="P19">
        <v>8.9523612261806136</v>
      </c>
      <c r="Q19">
        <v>6.3083121289228163</v>
      </c>
      <c r="R19">
        <v>3.7757524374735061</v>
      </c>
      <c r="S19">
        <f t="shared" si="3"/>
        <v>7.9071872494443642</v>
      </c>
      <c r="T19">
        <f t="shared" si="3"/>
        <v>5.1766087887071075</v>
      </c>
      <c r="U19">
        <v>12.634239592183521</v>
      </c>
      <c r="V19">
        <v>13.597706032285471</v>
      </c>
      <c r="W19">
        <v>1.365400161681487</v>
      </c>
      <c r="X19">
        <v>1.963621665319321</v>
      </c>
      <c r="Y19">
        <v>7.1544058205335492E-2</v>
      </c>
      <c r="Z19">
        <v>0.1216653193209378</v>
      </c>
    </row>
    <row r="20" spans="1:26" x14ac:dyDescent="0.45">
      <c r="A20" s="5">
        <v>0.56000000000000005</v>
      </c>
      <c r="B20">
        <v>1.6716146403029031</v>
      </c>
      <c r="C20">
        <v>3.547326461926799</v>
      </c>
      <c r="D20">
        <v>4.9940233487589394</v>
      </c>
      <c r="E20">
        <v>0.5706420723229807</v>
      </c>
      <c r="F20">
        <v>0.25538946860348338</v>
      </c>
      <c r="G20">
        <v>0.17396845907353611</v>
      </c>
      <c r="H20">
        <f t="shared" si="0"/>
        <v>1.9673156855724254</v>
      </c>
      <c r="I20">
        <f t="shared" si="1"/>
        <v>0.77729484582409181</v>
      </c>
      <c r="J20">
        <f t="shared" si="2"/>
        <v>2.6892488954344627</v>
      </c>
      <c r="K20">
        <v>1.7546812539448771</v>
      </c>
      <c r="L20">
        <v>0.93456764148958549</v>
      </c>
      <c r="M20">
        <v>0.77824531874605507</v>
      </c>
      <c r="N20">
        <v>0.41237113402061848</v>
      </c>
      <c r="O20">
        <v>13.77153558052435</v>
      </c>
      <c r="P20">
        <v>9.0445692883895124</v>
      </c>
      <c r="Q20">
        <v>6.0821292775665396</v>
      </c>
      <c r="R20">
        <v>3.8201520912547529</v>
      </c>
      <c r="S20">
        <f t="shared" si="3"/>
        <v>7.6894063029578108</v>
      </c>
      <c r="T20">
        <f t="shared" si="3"/>
        <v>5.224417197134759</v>
      </c>
      <c r="U20">
        <v>12.297605473204101</v>
      </c>
      <c r="V20">
        <v>13.310908399847969</v>
      </c>
      <c r="W20">
        <v>1.3713126843657819</v>
      </c>
      <c r="X20">
        <v>1.9516961651917399</v>
      </c>
      <c r="Y20">
        <v>6.6002949852507375E-2</v>
      </c>
      <c r="Z20">
        <v>0.1297935103244838</v>
      </c>
    </row>
    <row r="21" spans="1:26" x14ac:dyDescent="0.45">
      <c r="A21" s="5">
        <v>0.54</v>
      </c>
      <c r="B21">
        <v>1.724992902890774</v>
      </c>
      <c r="C21">
        <v>3.463970919162195</v>
      </c>
      <c r="D21">
        <v>4.6734566383936302</v>
      </c>
      <c r="E21">
        <v>0.55139013295517769</v>
      </c>
      <c r="F21">
        <v>0.2614956275712127</v>
      </c>
      <c r="G21">
        <v>0.18711423947360961</v>
      </c>
      <c r="H21">
        <f t="shared" si="0"/>
        <v>1.915666026436746</v>
      </c>
      <c r="I21">
        <f t="shared" si="1"/>
        <v>0.82283834599204153</v>
      </c>
      <c r="J21">
        <f t="shared" si="2"/>
        <v>2.6359702267612941</v>
      </c>
      <c r="K21">
        <v>1.684957590444867</v>
      </c>
      <c r="L21">
        <v>0.95101263631642718</v>
      </c>
      <c r="M21">
        <v>0.72650164445213783</v>
      </c>
      <c r="N21">
        <v>0.42097974727367138</v>
      </c>
      <c r="O21">
        <v>13.338806970509379</v>
      </c>
      <c r="P21">
        <v>9.2530160857908843</v>
      </c>
      <c r="Q21">
        <v>5.9915081521739131</v>
      </c>
      <c r="R21">
        <v>3.9772418478260869</v>
      </c>
      <c r="S21">
        <f t="shared" si="3"/>
        <v>7.3472988183354664</v>
      </c>
      <c r="T21">
        <f t="shared" si="3"/>
        <v>5.2757742379647974</v>
      </c>
      <c r="U21">
        <v>12.59428182437032</v>
      </c>
      <c r="V21">
        <v>13.577944179714089</v>
      </c>
      <c r="W21">
        <v>1.4276913099870301</v>
      </c>
      <c r="X21">
        <v>1.940985732814527</v>
      </c>
      <c r="Y21">
        <v>8.0739299610894946E-2</v>
      </c>
      <c r="Z21">
        <v>0.12743190661478601</v>
      </c>
    </row>
    <row r="22" spans="1:26" x14ac:dyDescent="0.45">
      <c r="A22" s="5">
        <v>0.52</v>
      </c>
      <c r="B22">
        <v>1.796224463450057</v>
      </c>
      <c r="C22">
        <v>3.4241963853477499</v>
      </c>
      <c r="D22">
        <v>4.4364235920606747</v>
      </c>
      <c r="E22">
        <v>0.53125484993151884</v>
      </c>
      <c r="F22">
        <v>0.26771846698975221</v>
      </c>
      <c r="G22">
        <v>0.2010266830787289</v>
      </c>
      <c r="H22">
        <f t="shared" si="0"/>
        <v>1.8614830167843088</v>
      </c>
      <c r="I22">
        <f t="shared" si="1"/>
        <v>0.87079851622593896</v>
      </c>
      <c r="J22">
        <f t="shared" si="2"/>
        <v>2.5967403582378576</v>
      </c>
      <c r="K22">
        <v>1.625948039373891</v>
      </c>
      <c r="L22">
        <v>0.97079231886396644</v>
      </c>
      <c r="M22">
        <v>0.71433182698515174</v>
      </c>
      <c r="N22">
        <v>0.43011620400258233</v>
      </c>
      <c r="O22">
        <v>13.39951055368614</v>
      </c>
      <c r="P22">
        <v>9.4252064851636579</v>
      </c>
      <c r="Q22">
        <v>5.7628422023992618</v>
      </c>
      <c r="R22">
        <v>3.9375576745616732</v>
      </c>
      <c r="S22">
        <f t="shared" si="3"/>
        <v>7.636668351286878</v>
      </c>
      <c r="T22">
        <f t="shared" si="3"/>
        <v>5.4876488106019847</v>
      </c>
      <c r="U22">
        <v>12.460420531849101</v>
      </c>
      <c r="V22">
        <v>13.44897959183673</v>
      </c>
      <c r="W22">
        <v>1.462202380952381</v>
      </c>
      <c r="X22">
        <v>2.01547619047619</v>
      </c>
      <c r="Y22">
        <v>7.7380952380952384E-2</v>
      </c>
      <c r="Z22">
        <v>0.13754093480202439</v>
      </c>
    </row>
    <row r="23" spans="1:26" x14ac:dyDescent="0.45">
      <c r="A23" s="5">
        <v>0.5</v>
      </c>
      <c r="B23">
        <v>1.8605839045142989</v>
      </c>
      <c r="C23">
        <v>3.3315303710706692</v>
      </c>
      <c r="D23">
        <v>4.0808056015126448</v>
      </c>
      <c r="E23">
        <v>0.50907955681527894</v>
      </c>
      <c r="F23">
        <v>0.27295506088546778</v>
      </c>
      <c r="G23">
        <v>0.2179653822992533</v>
      </c>
      <c r="H23">
        <f t="shared" si="0"/>
        <v>1.8001937313313046</v>
      </c>
      <c r="I23">
        <f t="shared" si="1"/>
        <v>0.9268512077832276</v>
      </c>
      <c r="J23">
        <f t="shared" si="2"/>
        <v>2.5202079886551649</v>
      </c>
      <c r="K23">
        <v>1.5342708579532029</v>
      </c>
      <c r="L23">
        <v>0.98593713070196176</v>
      </c>
      <c r="M23">
        <v>0.67513590167809023</v>
      </c>
      <c r="N23">
        <v>0.4286727337194185</v>
      </c>
      <c r="O23">
        <v>12.98669114272602</v>
      </c>
      <c r="P23">
        <v>9.4167049105094076</v>
      </c>
      <c r="Q23">
        <v>5.6645716945996272</v>
      </c>
      <c r="R23">
        <v>4.0242085661080074</v>
      </c>
      <c r="S23">
        <f t="shared" si="3"/>
        <v>7.3221194481263927</v>
      </c>
      <c r="T23">
        <f t="shared" si="3"/>
        <v>5.3924963444014002</v>
      </c>
      <c r="U23">
        <v>12.508162313432839</v>
      </c>
      <c r="V23">
        <v>13.36963619402985</v>
      </c>
      <c r="W23">
        <v>1.4438014689517029</v>
      </c>
      <c r="X23">
        <v>1.9410193634542621</v>
      </c>
      <c r="Y23">
        <v>8.4130870242599604E-2</v>
      </c>
      <c r="Z23">
        <v>0.1275317160026708</v>
      </c>
    </row>
    <row r="24" spans="1:26" x14ac:dyDescent="0.45">
      <c r="A24" s="5">
        <v>0.48</v>
      </c>
      <c r="B24">
        <v>1.9253145062269781</v>
      </c>
      <c r="C24">
        <v>3.2548745834064201</v>
      </c>
      <c r="D24">
        <v>3.810339589545694</v>
      </c>
      <c r="E24">
        <v>0.48867446905443013</v>
      </c>
      <c r="F24">
        <v>0.27796860999712752</v>
      </c>
      <c r="G24">
        <v>0.2333569209484424</v>
      </c>
      <c r="H24">
        <f t="shared" si="0"/>
        <v>1.743992017160418</v>
      </c>
      <c r="I24">
        <f t="shared" si="1"/>
        <v>0.97803937284245479</v>
      </c>
      <c r="J24">
        <f t="shared" si="2"/>
        <v>2.5271929824561399</v>
      </c>
      <c r="K24">
        <v>1.510877192982456</v>
      </c>
      <c r="L24">
        <v>1.0163157894736841</v>
      </c>
      <c r="M24">
        <v>0.67350877192982461</v>
      </c>
      <c r="N24">
        <v>0.4442105263157895</v>
      </c>
      <c r="O24">
        <v>12.80980392156863</v>
      </c>
      <c r="P24">
        <v>9.6872549019607845</v>
      </c>
      <c r="Q24">
        <v>5.6491169610129957</v>
      </c>
      <c r="R24">
        <v>4.1379540153282237</v>
      </c>
      <c r="S24">
        <f t="shared" si="3"/>
        <v>7.1606869605556343</v>
      </c>
      <c r="T24">
        <f t="shared" si="3"/>
        <v>5.5493008866325608</v>
      </c>
      <c r="U24">
        <v>12.9029029029029</v>
      </c>
      <c r="V24">
        <v>13.75508842175509</v>
      </c>
      <c r="W24">
        <v>1.5287356321839081</v>
      </c>
      <c r="X24">
        <v>1.9664750957854411</v>
      </c>
      <c r="Y24">
        <v>8.8441890166028103E-2</v>
      </c>
      <c r="Z24">
        <v>0.13409961685823751</v>
      </c>
    </row>
    <row r="25" spans="1:26" x14ac:dyDescent="0.45">
      <c r="A25" s="5">
        <v>0.46</v>
      </c>
      <c r="B25">
        <v>2.0140614875251268</v>
      </c>
      <c r="C25">
        <v>3.286818020574672</v>
      </c>
      <c r="D25">
        <v>3.6877298096251629</v>
      </c>
      <c r="E25">
        <v>0.47168580731743009</v>
      </c>
      <c r="F25">
        <v>0.28051981304630291</v>
      </c>
      <c r="G25">
        <v>0.24779437963626699</v>
      </c>
      <c r="H25">
        <f t="shared" si="0"/>
        <v>1.6955772349985931</v>
      </c>
      <c r="I25">
        <f t="shared" si="1"/>
        <v>1.0239029519551039</v>
      </c>
      <c r="J25">
        <f t="shared" si="2"/>
        <v>2.5405629139072849</v>
      </c>
      <c r="K25">
        <v>1.4888836329233679</v>
      </c>
      <c r="L25">
        <v>1.0516792809839171</v>
      </c>
      <c r="M25">
        <v>0.64581362346263005</v>
      </c>
      <c r="N25">
        <v>0.45364238410596031</v>
      </c>
      <c r="O25">
        <v>12.686892177589851</v>
      </c>
      <c r="P25">
        <v>9.8059196617336148</v>
      </c>
      <c r="Q25">
        <v>5.3198121263877027</v>
      </c>
      <c r="R25">
        <v>4.0954312553373189</v>
      </c>
      <c r="S25">
        <f t="shared" si="3"/>
        <v>7.3670800512021479</v>
      </c>
      <c r="T25">
        <f t="shared" si="3"/>
        <v>5.710488406396296</v>
      </c>
      <c r="U25">
        <v>13.0488908033599</v>
      </c>
      <c r="V25">
        <v>13.714839543398661</v>
      </c>
      <c r="W25">
        <v>1.567523459812322</v>
      </c>
      <c r="X25">
        <v>1.951040391676867</v>
      </c>
      <c r="Y25">
        <v>8.3027335781313744E-2</v>
      </c>
      <c r="Z25">
        <v>0.13117095063239501</v>
      </c>
    </row>
    <row r="26" spans="1:26" x14ac:dyDescent="0.45">
      <c r="A26" s="5">
        <v>0.44</v>
      </c>
      <c r="B26">
        <v>2.096608004778973</v>
      </c>
      <c r="C26">
        <v>3.2401427718040621</v>
      </c>
      <c r="D26">
        <v>3.4762070489844681</v>
      </c>
      <c r="E26">
        <v>0.45164496166452989</v>
      </c>
      <c r="F26">
        <v>0.28461108953696551</v>
      </c>
      <c r="G26">
        <v>0.26374394879850438</v>
      </c>
      <c r="H26">
        <f t="shared" si="0"/>
        <v>1.6395459745305552</v>
      </c>
      <c r="I26">
        <f t="shared" si="1"/>
        <v>1.0758429359324786</v>
      </c>
      <c r="J26">
        <f t="shared" si="2"/>
        <v>2.4807646356033461</v>
      </c>
      <c r="K26">
        <v>1.4140979689366791</v>
      </c>
      <c r="L26">
        <v>1.0666666666666671</v>
      </c>
      <c r="M26">
        <v>0.62712066905615294</v>
      </c>
      <c r="N26">
        <v>0.46009557945041818</v>
      </c>
      <c r="O26">
        <v>12.56969280146722</v>
      </c>
      <c r="P26">
        <v>9.8695552498853729</v>
      </c>
      <c r="Q26">
        <v>5.2754256787850897</v>
      </c>
      <c r="R26">
        <v>4.1279337321675103</v>
      </c>
      <c r="S26">
        <f t="shared" si="3"/>
        <v>7.2942671226821298</v>
      </c>
      <c r="T26">
        <f t="shared" si="3"/>
        <v>5.7416215177178627</v>
      </c>
      <c r="U26">
        <v>12.897246007868549</v>
      </c>
      <c r="V26">
        <v>13.507058551261281</v>
      </c>
      <c r="W26">
        <v>1.576522702104098</v>
      </c>
      <c r="X26">
        <v>1.917165005537099</v>
      </c>
      <c r="Y26">
        <v>8.4385382059800659E-2</v>
      </c>
      <c r="Z26">
        <v>0.1233665559246955</v>
      </c>
    </row>
    <row r="27" spans="1:26" x14ac:dyDescent="0.45">
      <c r="A27" s="5">
        <v>0.42</v>
      </c>
      <c r="B27">
        <v>2.1916590883885991</v>
      </c>
      <c r="C27">
        <v>3.2132943329266941</v>
      </c>
      <c r="D27">
        <v>3.2536406787179768</v>
      </c>
      <c r="E27">
        <v>0.43044124888361479</v>
      </c>
      <c r="F27">
        <v>0.28668685605219602</v>
      </c>
      <c r="G27">
        <v>0.28287189506418919</v>
      </c>
      <c r="H27">
        <f t="shared" si="0"/>
        <v>1.5780106027030405</v>
      </c>
      <c r="I27">
        <f t="shared" si="1"/>
        <v>1.1353025412447635</v>
      </c>
      <c r="J27">
        <f t="shared" si="2"/>
        <v>2.4884649511978703</v>
      </c>
      <c r="K27">
        <v>1.396960958296362</v>
      </c>
      <c r="L27">
        <v>1.091503992901508</v>
      </c>
      <c r="M27">
        <v>0.60765391014975045</v>
      </c>
      <c r="N27">
        <v>0.47276760953965608</v>
      </c>
      <c r="O27">
        <v>12.29504785684561</v>
      </c>
      <c r="P27">
        <v>10.047232625884311</v>
      </c>
      <c r="Q27">
        <v>5.2917192097519967</v>
      </c>
      <c r="R27">
        <v>4.2580916351408158</v>
      </c>
      <c r="S27">
        <f t="shared" si="3"/>
        <v>7.0033286470936131</v>
      </c>
      <c r="T27">
        <f t="shared" si="3"/>
        <v>5.789140990743495</v>
      </c>
      <c r="U27">
        <v>12.77041895895049</v>
      </c>
      <c r="V27">
        <v>13.411129919593741</v>
      </c>
      <c r="W27">
        <v>1.556141062018646</v>
      </c>
      <c r="X27">
        <v>1.9114308877178761</v>
      </c>
      <c r="Y27">
        <v>8.4920956627482766E-2</v>
      </c>
      <c r="Z27">
        <v>0.1323469801378192</v>
      </c>
    </row>
    <row r="28" spans="1:26" x14ac:dyDescent="0.45">
      <c r="A28" s="5">
        <v>0.4</v>
      </c>
      <c r="B28">
        <v>2.2742432524769391</v>
      </c>
      <c r="C28">
        <v>3.1838822457578861</v>
      </c>
      <c r="D28">
        <v>3.0282237786129138</v>
      </c>
      <c r="E28">
        <v>0.41053124991186069</v>
      </c>
      <c r="F28">
        <v>0.28656660659343319</v>
      </c>
      <c r="G28">
        <v>0.30290214349470601</v>
      </c>
      <c r="H28">
        <f t="shared" si="0"/>
        <v>1.5181603563290151</v>
      </c>
      <c r="I28">
        <f t="shared" si="1"/>
        <v>1.1952730370775513</v>
      </c>
      <c r="J28">
        <f t="shared" si="2"/>
        <v>2.4956155335383219</v>
      </c>
      <c r="K28">
        <v>1.344038264434575</v>
      </c>
      <c r="L28">
        <v>1.1515772691037469</v>
      </c>
      <c r="M28">
        <v>0.59936225942375587</v>
      </c>
      <c r="N28">
        <v>0.50723152260562576</v>
      </c>
      <c r="O28">
        <v>11.99278846153846</v>
      </c>
      <c r="P28">
        <v>10.0277534965035</v>
      </c>
      <c r="Q28">
        <v>5.2857459543338514</v>
      </c>
      <c r="R28">
        <v>4.4067834183107957</v>
      </c>
      <c r="S28">
        <f t="shared" si="3"/>
        <v>6.7070425072046085</v>
      </c>
      <c r="T28">
        <f t="shared" si="3"/>
        <v>5.6209700781927046</v>
      </c>
      <c r="U28">
        <v>13.04463690872752</v>
      </c>
      <c r="V28">
        <v>13.49811236953142</v>
      </c>
      <c r="W28">
        <v>1.5836526181353769</v>
      </c>
      <c r="X28">
        <v>1.8744146445295871</v>
      </c>
      <c r="Y28">
        <v>8.5994040017028525E-2</v>
      </c>
      <c r="Z28">
        <v>0.13452532992762881</v>
      </c>
    </row>
    <row r="29" spans="1:26" x14ac:dyDescent="0.45">
      <c r="A29" s="5">
        <v>0.38</v>
      </c>
      <c r="B29">
        <v>2.3897762148337591</v>
      </c>
      <c r="C29">
        <v>3.1919649403239561</v>
      </c>
      <c r="D29">
        <v>2.9007257033248082</v>
      </c>
      <c r="E29">
        <v>0.39201127992507417</v>
      </c>
      <c r="F29">
        <v>0.28812708966641548</v>
      </c>
      <c r="G29">
        <v>0.31986163040851018</v>
      </c>
      <c r="H29">
        <f t="shared" si="0"/>
        <v>1.464160929441638</v>
      </c>
      <c r="I29">
        <f t="shared" si="1"/>
        <v>1.2477119808919459</v>
      </c>
      <c r="J29">
        <f t="shared" si="2"/>
        <v>2.4900895140664963</v>
      </c>
      <c r="K29">
        <v>1.330562659846547</v>
      </c>
      <c r="L29">
        <v>1.1595268542199491</v>
      </c>
      <c r="M29">
        <v>0.59053607588191415</v>
      </c>
      <c r="N29">
        <v>0.50069274219332838</v>
      </c>
      <c r="O29">
        <v>11.79715236686391</v>
      </c>
      <c r="P29">
        <v>10.317122781065089</v>
      </c>
      <c r="Q29">
        <v>5.0637025966747622</v>
      </c>
      <c r="R29">
        <v>4.4674014571268454</v>
      </c>
      <c r="S29">
        <f t="shared" si="3"/>
        <v>6.7334497701891483</v>
      </c>
      <c r="T29">
        <f t="shared" si="3"/>
        <v>5.849721323938244</v>
      </c>
      <c r="U29">
        <v>12.89644194756554</v>
      </c>
      <c r="V29">
        <v>13.3434456928839</v>
      </c>
      <c r="W29">
        <v>1.6144382124117971</v>
      </c>
      <c r="X29">
        <v>1.9032024606477289</v>
      </c>
      <c r="Y29">
        <v>9.372172969060974E-2</v>
      </c>
      <c r="Z29">
        <v>0.11669983716301791</v>
      </c>
    </row>
    <row r="30" spans="1:26" x14ac:dyDescent="0.45">
      <c r="A30" s="5">
        <v>0.36</v>
      </c>
      <c r="B30">
        <v>2.5159028679334359</v>
      </c>
      <c r="C30">
        <v>3.1945355836185541</v>
      </c>
      <c r="D30">
        <v>2.7420049569219871</v>
      </c>
      <c r="E30">
        <v>0.37136650453968778</v>
      </c>
      <c r="F30">
        <v>0.28828694797820409</v>
      </c>
      <c r="G30">
        <v>0.34034654748210791</v>
      </c>
      <c r="H30">
        <f t="shared" si="0"/>
        <v>1.4023864615972674</v>
      </c>
      <c r="I30">
        <f t="shared" si="1"/>
        <v>1.3093265904245279</v>
      </c>
      <c r="J30">
        <f t="shared" si="2"/>
        <v>2.5110350525197691</v>
      </c>
      <c r="K30">
        <v>1.269326094653606</v>
      </c>
      <c r="L30">
        <v>1.2417089578661631</v>
      </c>
      <c r="M30">
        <v>0.56586402266288949</v>
      </c>
      <c r="N30">
        <v>0.55158168083097259</v>
      </c>
      <c r="O30">
        <v>11.49400826446281</v>
      </c>
      <c r="P30">
        <v>10.507231404958681</v>
      </c>
      <c r="Q30">
        <v>4.9238790406673623</v>
      </c>
      <c r="R30">
        <v>4.6296141814389991</v>
      </c>
      <c r="S30">
        <f t="shared" si="3"/>
        <v>6.5701292237954476</v>
      </c>
      <c r="T30">
        <f t="shared" si="3"/>
        <v>5.8776172235196817</v>
      </c>
      <c r="U30">
        <v>12.798739495798319</v>
      </c>
      <c r="V30">
        <v>12.98844537815126</v>
      </c>
      <c r="W30">
        <v>1.604928297313674</v>
      </c>
      <c r="X30">
        <v>1.791961219955565</v>
      </c>
      <c r="Y30">
        <v>8.887093516461321E-2</v>
      </c>
      <c r="Z30">
        <v>0.11694607150070691</v>
      </c>
    </row>
    <row r="31" spans="1:26" x14ac:dyDescent="0.45">
      <c r="A31" s="5">
        <v>0.34</v>
      </c>
      <c r="B31">
        <v>2.652192134107028</v>
      </c>
      <c r="C31">
        <v>3.1965219213410712</v>
      </c>
      <c r="D31">
        <v>2.585041102514507</v>
      </c>
      <c r="E31">
        <v>0.35017331082406528</v>
      </c>
      <c r="F31">
        <v>0.28772405298478532</v>
      </c>
      <c r="G31">
        <v>0.36210263619114952</v>
      </c>
      <c r="H31">
        <f t="shared" si="0"/>
        <v>1.3382439854569812</v>
      </c>
      <c r="I31">
        <f t="shared" si="1"/>
        <v>1.3740319615582339</v>
      </c>
      <c r="J31">
        <f t="shared" si="2"/>
        <v>2.5229727551184897</v>
      </c>
      <c r="K31">
        <v>1.228921489601805</v>
      </c>
      <c r="L31">
        <v>1.2940512655166849</v>
      </c>
      <c r="M31">
        <v>0.53240890035472432</v>
      </c>
      <c r="N31">
        <v>0.56514027732989358</v>
      </c>
      <c r="O31">
        <v>11.417888124439131</v>
      </c>
      <c r="P31">
        <v>10.76308704756207</v>
      </c>
      <c r="Q31">
        <v>4.8317672021824798</v>
      </c>
      <c r="R31">
        <v>4.6698999696877843</v>
      </c>
      <c r="S31">
        <f t="shared" si="3"/>
        <v>6.5861209222566508</v>
      </c>
      <c r="T31">
        <f t="shared" si="3"/>
        <v>6.093187077874286</v>
      </c>
      <c r="U31">
        <v>12.685679611650491</v>
      </c>
      <c r="V31">
        <v>13.02639563106796</v>
      </c>
      <c r="W31">
        <v>1.6481211768132831</v>
      </c>
      <c r="X31">
        <v>1.8572676958928049</v>
      </c>
      <c r="Y31">
        <v>9.641712787649287E-2</v>
      </c>
      <c r="Z31">
        <v>0.11302068161957469</v>
      </c>
    </row>
    <row r="32" spans="1:26" x14ac:dyDescent="0.45">
      <c r="A32" s="5">
        <v>0.32</v>
      </c>
      <c r="B32">
        <v>2.8137542662116042</v>
      </c>
      <c r="C32">
        <v>3.221462187892941</v>
      </c>
      <c r="D32">
        <v>2.4463112987246269</v>
      </c>
      <c r="E32">
        <v>0.32953677564488632</v>
      </c>
      <c r="F32">
        <v>0.28607072449215198</v>
      </c>
      <c r="G32">
        <v>0.38439249986296148</v>
      </c>
      <c r="H32">
        <f t="shared" si="0"/>
        <v>1.274681051426811</v>
      </c>
      <c r="I32">
        <f t="shared" si="1"/>
        <v>1.4392482240810365</v>
      </c>
      <c r="J32">
        <f t="shared" si="2"/>
        <v>2.5313454284174597</v>
      </c>
      <c r="K32">
        <v>1.210167055864918</v>
      </c>
      <c r="L32">
        <v>1.3211783725525419</v>
      </c>
      <c r="M32">
        <v>0.53135669362084459</v>
      </c>
      <c r="N32">
        <v>0.55633423180592989</v>
      </c>
      <c r="O32">
        <v>11.21109010712035</v>
      </c>
      <c r="P32">
        <v>11.01700787401575</v>
      </c>
      <c r="Q32">
        <v>4.6792332268370611</v>
      </c>
      <c r="R32">
        <v>4.7080804854679013</v>
      </c>
      <c r="S32">
        <f t="shared" si="3"/>
        <v>6.5318568802832893</v>
      </c>
      <c r="T32">
        <f t="shared" si="3"/>
        <v>6.3089273885478487</v>
      </c>
      <c r="U32">
        <v>12.72547770700637</v>
      </c>
      <c r="V32">
        <v>13.06847133757962</v>
      </c>
      <c r="W32">
        <v>1.6902356902356901</v>
      </c>
      <c r="X32">
        <v>1.8050198959289869</v>
      </c>
      <c r="Y32">
        <v>0.105907560453015</v>
      </c>
      <c r="Z32">
        <v>0.1141720232629324</v>
      </c>
    </row>
    <row r="33" spans="1:26" x14ac:dyDescent="0.45">
      <c r="A33" s="5">
        <v>0.3</v>
      </c>
      <c r="B33">
        <v>3.0016092544987152</v>
      </c>
      <c r="C33">
        <v>3.2395154241645239</v>
      </c>
      <c r="D33">
        <v>2.3430874035989722</v>
      </c>
      <c r="E33">
        <v>0.30929533291923228</v>
      </c>
      <c r="F33">
        <v>0.28635852396932021</v>
      </c>
      <c r="G33">
        <v>0.40434614311144751</v>
      </c>
      <c r="H33">
        <f t="shared" si="0"/>
        <v>1.2142445227270171</v>
      </c>
      <c r="I33">
        <f t="shared" si="1"/>
        <v>1.4993969533036628</v>
      </c>
      <c r="J33">
        <f t="shared" si="2"/>
        <v>2.5726407816919519</v>
      </c>
      <c r="K33">
        <v>1.1805091283106199</v>
      </c>
      <c r="L33">
        <v>1.3921316533813319</v>
      </c>
      <c r="M33">
        <v>0.5209673269873939</v>
      </c>
      <c r="N33">
        <v>0.61847182917417032</v>
      </c>
      <c r="O33">
        <v>11.149200710479571</v>
      </c>
      <c r="P33">
        <v>11.444049733570161</v>
      </c>
      <c r="Q33">
        <v>4.5257270693512304</v>
      </c>
      <c r="R33">
        <v>4.8465324384787474</v>
      </c>
      <c r="S33">
        <f t="shared" si="3"/>
        <v>6.6234736411283404</v>
      </c>
      <c r="T33">
        <f t="shared" si="3"/>
        <v>6.5975172950914134</v>
      </c>
      <c r="U33">
        <v>12.90081154192967</v>
      </c>
      <c r="V33">
        <v>13.00360685302074</v>
      </c>
      <c r="W33">
        <v>1.7502145922746779</v>
      </c>
      <c r="X33">
        <v>1.831402831402831</v>
      </c>
      <c r="Y33">
        <v>9.6525096525096526E-2</v>
      </c>
      <c r="Z33">
        <v>0.1244101244101244</v>
      </c>
    </row>
    <row r="34" spans="1:26" x14ac:dyDescent="0.45">
      <c r="A34" s="5">
        <v>0.28000000000000003</v>
      </c>
      <c r="B34">
        <v>3.189178560101491</v>
      </c>
      <c r="C34">
        <v>3.2624865207738658</v>
      </c>
      <c r="D34">
        <v>2.230090390104662</v>
      </c>
      <c r="E34">
        <v>0.28958672969178378</v>
      </c>
      <c r="F34">
        <v>0.28419312774798272</v>
      </c>
      <c r="G34">
        <v>0.42622014256023338</v>
      </c>
      <c r="H34">
        <f t="shared" si="0"/>
        <v>1.1529533168233341</v>
      </c>
      <c r="I34">
        <f t="shared" si="1"/>
        <v>1.5628535554286829</v>
      </c>
      <c r="J34">
        <f t="shared" si="2"/>
        <v>2.5445607358071678</v>
      </c>
      <c r="K34">
        <v>1.128766254360926</v>
      </c>
      <c r="L34">
        <v>1.415794481446242</v>
      </c>
      <c r="M34">
        <v>0.49635267998731369</v>
      </c>
      <c r="N34">
        <v>0.61084681255946716</v>
      </c>
      <c r="O34">
        <v>11.04442036836403</v>
      </c>
      <c r="P34">
        <v>11.38840736728061</v>
      </c>
      <c r="Q34">
        <v>4.5379574003276897</v>
      </c>
      <c r="R34">
        <v>4.8481703986892413</v>
      </c>
      <c r="S34">
        <f t="shared" si="3"/>
        <v>6.5064629680363399</v>
      </c>
      <c r="T34">
        <f t="shared" si="3"/>
        <v>6.540236968591369</v>
      </c>
      <c r="U34">
        <v>13.117582417582421</v>
      </c>
      <c r="V34">
        <v>13.28241758241758</v>
      </c>
      <c r="W34">
        <v>1.792592592592593</v>
      </c>
      <c r="X34">
        <v>1.806980433632998</v>
      </c>
      <c r="Y34">
        <v>0.1047065044949762</v>
      </c>
      <c r="Z34">
        <v>0.1073506081438392</v>
      </c>
    </row>
    <row r="35" spans="1:26" x14ac:dyDescent="0.45">
      <c r="A35" s="5">
        <v>0.26</v>
      </c>
      <c r="B35">
        <v>3.4010645278891718</v>
      </c>
      <c r="C35">
        <v>3.302860007291287</v>
      </c>
      <c r="D35">
        <v>2.126145461173897</v>
      </c>
      <c r="E35">
        <v>0.27000142511374792</v>
      </c>
      <c r="F35">
        <v>0.28052708208239618</v>
      </c>
      <c r="G35">
        <v>0.4494714928038559</v>
      </c>
      <c r="H35">
        <f t="shared" si="0"/>
        <v>1.0905313574236399</v>
      </c>
      <c r="I35">
        <f t="shared" si="1"/>
        <v>1.6289415604939639</v>
      </c>
      <c r="J35">
        <f t="shared" si="2"/>
        <v>2.569449507838133</v>
      </c>
      <c r="K35">
        <v>1.0936930368209989</v>
      </c>
      <c r="L35">
        <v>1.475756471017134</v>
      </c>
      <c r="M35">
        <v>0.50018228217280347</v>
      </c>
      <c r="N35">
        <v>0.65220561429092239</v>
      </c>
      <c r="O35">
        <v>10.905576679340941</v>
      </c>
      <c r="P35">
        <v>12.06463878326996</v>
      </c>
      <c r="Q35">
        <v>4.2920127795527154</v>
      </c>
      <c r="R35">
        <v>5.0095846645367406</v>
      </c>
      <c r="S35">
        <f t="shared" si="3"/>
        <v>6.6135638997882253</v>
      </c>
      <c r="T35">
        <f t="shared" si="3"/>
        <v>7.055054118733219</v>
      </c>
      <c r="U35">
        <v>12.94865211810013</v>
      </c>
      <c r="V35">
        <v>13.189345314505781</v>
      </c>
      <c r="W35">
        <v>1.771446078431373</v>
      </c>
      <c r="X35">
        <v>1.809436274509804</v>
      </c>
      <c r="Y35">
        <v>0.1060049019607843</v>
      </c>
      <c r="Z35">
        <v>9.6813725490196081E-2</v>
      </c>
    </row>
    <row r="36" spans="1:26" x14ac:dyDescent="0.45">
      <c r="A36" s="5">
        <v>0.24</v>
      </c>
      <c r="B36">
        <v>3.6656876899696038</v>
      </c>
      <c r="C36">
        <v>3.3774164133738598</v>
      </c>
      <c r="D36">
        <v>2.0077492401215808</v>
      </c>
      <c r="E36">
        <v>0.249316293600267</v>
      </c>
      <c r="F36">
        <v>0.2742195882054802</v>
      </c>
      <c r="G36">
        <v>0.47646411819425272</v>
      </c>
      <c r="H36">
        <f t="shared" si="0"/>
        <v>1.0221684690062811</v>
      </c>
      <c r="I36">
        <f t="shared" si="1"/>
        <v>1.7036119427882386</v>
      </c>
      <c r="J36">
        <f t="shared" si="2"/>
        <v>2.6014437689969609</v>
      </c>
      <c r="K36">
        <v>1.067249240121581</v>
      </c>
      <c r="L36">
        <v>1.53419452887538</v>
      </c>
      <c r="M36">
        <v>0.45589353612167299</v>
      </c>
      <c r="N36">
        <v>0.65133079847908748</v>
      </c>
      <c r="O36">
        <v>10.75886524822695</v>
      </c>
      <c r="P36">
        <v>12.46679561573179</v>
      </c>
      <c r="Q36">
        <v>4.1157347204161248</v>
      </c>
      <c r="R36">
        <v>5.1072821846553964</v>
      </c>
      <c r="S36">
        <f t="shared" si="3"/>
        <v>6.6431305278108255</v>
      </c>
      <c r="T36">
        <f t="shared" si="3"/>
        <v>7.3595134310763939</v>
      </c>
      <c r="U36">
        <v>13.11140235910878</v>
      </c>
      <c r="V36">
        <v>12.93184796854522</v>
      </c>
      <c r="W36">
        <v>1.8341677096370459</v>
      </c>
      <c r="X36">
        <v>1.7903629536921151</v>
      </c>
      <c r="Y36">
        <v>0.1095118898623279</v>
      </c>
      <c r="Z36">
        <v>9.3241551939924908E-2</v>
      </c>
    </row>
    <row r="37" spans="1:26" x14ac:dyDescent="0.45">
      <c r="A37" s="5">
        <v>0.22</v>
      </c>
      <c r="B37">
        <v>3.929547218628719</v>
      </c>
      <c r="C37">
        <v>3.4034476067270369</v>
      </c>
      <c r="D37">
        <v>1.909884864165589</v>
      </c>
      <c r="E37">
        <v>0.22894707442878379</v>
      </c>
      <c r="F37">
        <v>0.27038787133125369</v>
      </c>
      <c r="G37">
        <v>0.50066505423996255</v>
      </c>
      <c r="H37">
        <f t="shared" si="0"/>
        <v>0.95722909461760497</v>
      </c>
      <c r="I37">
        <f t="shared" si="1"/>
        <v>1.7723830340511415</v>
      </c>
      <c r="J37">
        <f t="shared" si="2"/>
        <v>2.7115135834411381</v>
      </c>
      <c r="K37">
        <v>1.0633893919793009</v>
      </c>
      <c r="L37">
        <v>1.648124191461837</v>
      </c>
      <c r="M37">
        <v>0.47218628719275552</v>
      </c>
      <c r="N37">
        <v>0.70181112548512292</v>
      </c>
      <c r="O37">
        <v>10.38488783943329</v>
      </c>
      <c r="P37">
        <v>12.349468713105081</v>
      </c>
      <c r="Q37">
        <v>4.0990453460620522</v>
      </c>
      <c r="R37">
        <v>5.2720763723150359</v>
      </c>
      <c r="S37">
        <f t="shared" si="3"/>
        <v>6.2858424933712378</v>
      </c>
      <c r="T37">
        <f t="shared" si="3"/>
        <v>7.0773923407900448</v>
      </c>
      <c r="U37">
        <v>13.235083532219569</v>
      </c>
      <c r="V37">
        <v>13.05131264916468</v>
      </c>
      <c r="W37">
        <v>1.834292289988493</v>
      </c>
      <c r="X37">
        <v>1.806674338319908</v>
      </c>
      <c r="Y37">
        <v>0.1196777905638665</v>
      </c>
      <c r="Z37">
        <v>0.1185270425776755</v>
      </c>
    </row>
    <row r="38" spans="1:26" x14ac:dyDescent="0.45">
      <c r="A38" s="5">
        <v>0.2</v>
      </c>
      <c r="B38">
        <v>4.2803473625140294</v>
      </c>
      <c r="C38">
        <v>3.524382716049383</v>
      </c>
      <c r="D38">
        <v>1.8171167227833891</v>
      </c>
      <c r="E38">
        <v>0.20968201945543249</v>
      </c>
      <c r="F38">
        <v>0.26135662226159051</v>
      </c>
      <c r="G38">
        <v>0.52896135828297708</v>
      </c>
      <c r="H38">
        <f t="shared" si="0"/>
        <v>0.89040268062788797</v>
      </c>
      <c r="I38">
        <f t="shared" si="1"/>
        <v>1.8482406971105219</v>
      </c>
      <c r="J38">
        <f t="shared" si="2"/>
        <v>2.7065095398428731</v>
      </c>
      <c r="K38">
        <v>1.0101010101010099</v>
      </c>
      <c r="L38">
        <v>1.696408529741863</v>
      </c>
      <c r="M38">
        <v>0.44044943820224719</v>
      </c>
      <c r="N38">
        <v>0.74606741573033708</v>
      </c>
      <c r="O38">
        <v>10.265072765072761</v>
      </c>
      <c r="P38">
        <v>13.023908523908521</v>
      </c>
      <c r="Q38">
        <v>4.0483193277310923</v>
      </c>
      <c r="R38">
        <v>5.60609243697479</v>
      </c>
      <c r="S38">
        <f t="shared" si="3"/>
        <v>6.2167534373416684</v>
      </c>
      <c r="T38">
        <f t="shared" si="3"/>
        <v>7.4178160869337306</v>
      </c>
      <c r="U38">
        <v>13.223628691983119</v>
      </c>
      <c r="V38">
        <v>12.78586497890295</v>
      </c>
      <c r="W38">
        <v>1.8442211055276381</v>
      </c>
      <c r="X38">
        <v>1.7989949748743721</v>
      </c>
      <c r="Y38">
        <v>0.12060301507537689</v>
      </c>
      <c r="Z38">
        <v>0.11658291457286429</v>
      </c>
    </row>
    <row r="39" spans="1:26" x14ac:dyDescent="0.45">
      <c r="A39" s="5">
        <v>0.18</v>
      </c>
      <c r="B39">
        <v>4.636454749439042</v>
      </c>
      <c r="C39">
        <v>3.564308152580403</v>
      </c>
      <c r="D39">
        <v>1.7329678384442779</v>
      </c>
      <c r="E39">
        <v>0.18988896318335879</v>
      </c>
      <c r="F39">
        <v>0.25677653071650519</v>
      </c>
      <c r="G39">
        <v>0.5533345061001359</v>
      </c>
      <c r="H39">
        <f t="shared" si="0"/>
        <v>0.82644342026658157</v>
      </c>
      <c r="I39">
        <f t="shared" si="1"/>
        <v>1.9167800490169129</v>
      </c>
      <c r="J39">
        <f t="shared" si="2"/>
        <v>2.731488406881077</v>
      </c>
      <c r="K39">
        <v>1.007479431563201</v>
      </c>
      <c r="L39">
        <v>1.724008975317876</v>
      </c>
      <c r="M39">
        <v>0.43829468960359008</v>
      </c>
      <c r="N39">
        <v>0.72700074794315628</v>
      </c>
      <c r="O39">
        <v>10.21282401091405</v>
      </c>
      <c r="P39">
        <v>13.16098226466576</v>
      </c>
      <c r="Q39">
        <v>4.0596393897364784</v>
      </c>
      <c r="R39">
        <v>5.7378640776699026</v>
      </c>
      <c r="S39">
        <f t="shared" si="3"/>
        <v>6.1531846211775711</v>
      </c>
      <c r="T39">
        <f t="shared" si="3"/>
        <v>7.4231181869958576</v>
      </c>
      <c r="U39">
        <v>13.193905817174519</v>
      </c>
      <c r="V39">
        <v>12.612188365650971</v>
      </c>
      <c r="W39">
        <v>1.8245614035087721</v>
      </c>
      <c r="X39">
        <v>1.808367071524966</v>
      </c>
      <c r="Y39">
        <v>9.041835357624832E-2</v>
      </c>
      <c r="Z39">
        <v>9.1767881241565458E-2</v>
      </c>
    </row>
    <row r="40" spans="1:26" x14ac:dyDescent="0.45">
      <c r="A40" s="5">
        <v>0.16</v>
      </c>
      <c r="B40">
        <v>5.0990701606086226</v>
      </c>
      <c r="C40">
        <v>3.6979374471682158</v>
      </c>
      <c r="D40">
        <v>1.653922231614539</v>
      </c>
      <c r="E40">
        <v>0.17185262542937091</v>
      </c>
      <c r="F40">
        <v>0.24755925845523899</v>
      </c>
      <c r="G40">
        <v>0.58058811611539007</v>
      </c>
      <c r="H40">
        <f t="shared" si="0"/>
        <v>0.76311713474335174</v>
      </c>
      <c r="I40">
        <f t="shared" si="1"/>
        <v>1.9893236068014093</v>
      </c>
      <c r="J40">
        <f>K40+L40</f>
        <v>2.7005076142131976</v>
      </c>
      <c r="K40">
        <v>0.94500846023688667</v>
      </c>
      <c r="L40">
        <v>1.755499153976311</v>
      </c>
      <c r="M40">
        <v>0.39086294416243661</v>
      </c>
      <c r="N40">
        <v>0.73434856175972929</v>
      </c>
      <c r="O40">
        <v>9.7729393468118193</v>
      </c>
      <c r="P40">
        <v>13.65163297045101</v>
      </c>
      <c r="Q40">
        <v>3.6898734177215191</v>
      </c>
      <c r="R40">
        <v>5.8623417721518987</v>
      </c>
      <c r="S40">
        <f t="shared" si="3"/>
        <v>6.0830659290903002</v>
      </c>
      <c r="T40">
        <f t="shared" si="3"/>
        <v>7.7892911982991109</v>
      </c>
      <c r="U40">
        <v>13.45945945945946</v>
      </c>
      <c r="V40">
        <v>12.694753577106519</v>
      </c>
      <c r="W40">
        <v>2.026073619631902</v>
      </c>
      <c r="X40">
        <v>1.8282208588957061</v>
      </c>
      <c r="Y40">
        <v>0.1088957055214724</v>
      </c>
      <c r="Z40">
        <v>0.1073619631901841</v>
      </c>
    </row>
    <row r="41" spans="1:26" x14ac:dyDescent="0.45">
      <c r="A41" s="5">
        <v>0.14000000000000001</v>
      </c>
      <c r="B41">
        <v>5.713836206896552</v>
      </c>
      <c r="C41">
        <v>3.8510431034482759</v>
      </c>
      <c r="D41">
        <v>1.5753163793103451</v>
      </c>
      <c r="E41">
        <v>0.1512223843396571</v>
      </c>
      <c r="F41">
        <v>0.23754495502418091</v>
      </c>
      <c r="G41">
        <v>0.611232660636162</v>
      </c>
      <c r="H41">
        <f t="shared" si="0"/>
        <v>0.69121210804315225</v>
      </c>
      <c r="I41">
        <f t="shared" si="1"/>
        <v>2.0712429369326668</v>
      </c>
      <c r="J41">
        <f t="shared" si="2"/>
        <v>2.8474137931034478</v>
      </c>
      <c r="K41">
        <v>0.90258620689655178</v>
      </c>
      <c r="L41">
        <v>1.944827586206896</v>
      </c>
      <c r="M41">
        <v>0.41587575496117341</v>
      </c>
      <c r="N41">
        <v>0.86540120793787745</v>
      </c>
      <c r="O41">
        <v>9.7325038880248833</v>
      </c>
      <c r="P41">
        <v>13.844479004665629</v>
      </c>
      <c r="Q41">
        <v>3.59375</v>
      </c>
      <c r="R41">
        <v>6.0671875000000002</v>
      </c>
      <c r="S41">
        <f t="shared" si="3"/>
        <v>6.1387538880248833</v>
      </c>
      <c r="T41">
        <f t="shared" si="3"/>
        <v>7.7772915046656292</v>
      </c>
      <c r="U41">
        <v>13.47310126582278</v>
      </c>
      <c r="V41">
        <v>12.289556962025321</v>
      </c>
      <c r="W41">
        <v>1.9738863287250381</v>
      </c>
      <c r="X41">
        <v>1.6943164362519201</v>
      </c>
      <c r="Y41">
        <v>0.13056835637480799</v>
      </c>
      <c r="Z41">
        <v>8.9093701996927802E-2</v>
      </c>
    </row>
    <row r="42" spans="1:26" x14ac:dyDescent="0.45">
      <c r="A42" s="5">
        <v>0.12</v>
      </c>
      <c r="B42">
        <v>6.4947530864197516</v>
      </c>
      <c r="C42">
        <v>4.0216419753086416</v>
      </c>
      <c r="D42">
        <v>1.4967479423868311</v>
      </c>
      <c r="E42">
        <v>0.12920974223354481</v>
      </c>
      <c r="F42">
        <v>0.2265204382008002</v>
      </c>
      <c r="G42">
        <v>0.64426981956565499</v>
      </c>
      <c r="H42">
        <f t="shared" si="0"/>
        <v>0.61414966490143463</v>
      </c>
      <c r="I42">
        <f t="shared" si="1"/>
        <v>2.1593298968977654</v>
      </c>
      <c r="J42">
        <f t="shared" si="2"/>
        <v>2.8168724279835393</v>
      </c>
      <c r="K42">
        <v>0.84567901234567899</v>
      </c>
      <c r="L42">
        <v>1.9711934156378601</v>
      </c>
      <c r="M42">
        <v>0.39197530864197527</v>
      </c>
      <c r="N42">
        <v>0.87448559670781889</v>
      </c>
      <c r="O42">
        <v>9.3168141592920346</v>
      </c>
      <c r="P42">
        <v>14.090265486725659</v>
      </c>
      <c r="Q42">
        <v>3.7295373665480431</v>
      </c>
      <c r="R42">
        <v>6.3665480427046264</v>
      </c>
      <c r="S42">
        <f t="shared" si="3"/>
        <v>5.5872767927439915</v>
      </c>
      <c r="T42">
        <f t="shared" si="3"/>
        <v>7.723717444021033</v>
      </c>
      <c r="U42">
        <v>13.760360360360361</v>
      </c>
      <c r="V42">
        <v>12.536936936936939</v>
      </c>
      <c r="W42">
        <v>2</v>
      </c>
      <c r="X42">
        <v>1.753086419753086</v>
      </c>
      <c r="Y42">
        <v>8.4656084656084651E-2</v>
      </c>
      <c r="Z42">
        <v>8.4656084656084651E-2</v>
      </c>
    </row>
    <row r="43" spans="1:26" x14ac:dyDescent="0.45">
      <c r="A43" s="5">
        <v>0.1</v>
      </c>
      <c r="B43">
        <v>7.4469987228607906</v>
      </c>
      <c r="C43">
        <v>4.3212681992337174</v>
      </c>
      <c r="D43">
        <v>1.416071519795657</v>
      </c>
      <c r="E43">
        <v>0.10887499881972081</v>
      </c>
      <c r="F43">
        <v>0.20916751001314099</v>
      </c>
      <c r="G43">
        <v>0.68195749116713811</v>
      </c>
      <c r="H43">
        <f t="shared" si="0"/>
        <v>0.53579250647230348</v>
      </c>
      <c r="I43">
        <f t="shared" si="1"/>
        <v>2.2550399835145551</v>
      </c>
      <c r="J43">
        <f t="shared" si="2"/>
        <v>2.9335887611749683</v>
      </c>
      <c r="K43">
        <v>0.86717752234993617</v>
      </c>
      <c r="L43">
        <v>2.0664112388250322</v>
      </c>
      <c r="M43">
        <v>0.39974457215836529</v>
      </c>
      <c r="N43">
        <v>0.90804597701149425</v>
      </c>
      <c r="O43">
        <v>9.2666666666666675</v>
      </c>
      <c r="P43">
        <v>14.422222222222221</v>
      </c>
      <c r="Q43">
        <v>3.5964125560538118</v>
      </c>
      <c r="R43">
        <v>6.2152466367713002</v>
      </c>
      <c r="S43">
        <f t="shared" si="3"/>
        <v>5.6702541106128557</v>
      </c>
      <c r="T43">
        <f t="shared" si="3"/>
        <v>8.2069755854509197</v>
      </c>
      <c r="U43">
        <v>13.77551020408163</v>
      </c>
      <c r="V43">
        <v>12.102040816326531</v>
      </c>
      <c r="W43">
        <v>1.971238938053097</v>
      </c>
      <c r="X43">
        <v>1.696902654867257</v>
      </c>
      <c r="Y43">
        <v>0.13938053097345129</v>
      </c>
      <c r="Z43">
        <v>9.0707964601769914E-2</v>
      </c>
    </row>
    <row r="44" spans="1:26" x14ac:dyDescent="0.45">
      <c r="A44" s="5">
        <v>0.08</v>
      </c>
      <c r="B44">
        <v>8.8529457364341084</v>
      </c>
      <c r="C44">
        <v>4.8263751937984489</v>
      </c>
      <c r="D44">
        <v>1.3416263565891471</v>
      </c>
      <c r="E44">
        <v>8.9583208331644695E-2</v>
      </c>
      <c r="F44">
        <v>0.1871562929526733</v>
      </c>
      <c r="G44">
        <v>0.7232604987156821</v>
      </c>
      <c r="H44">
        <f t="shared" si="0"/>
        <v>0.45590591794760738</v>
      </c>
      <c r="I44">
        <f t="shared" si="1"/>
        <v>2.3569377890997196</v>
      </c>
      <c r="J44">
        <f t="shared" si="2"/>
        <v>2.9953488372093027</v>
      </c>
      <c r="K44">
        <v>0.72868217054263562</v>
      </c>
      <c r="L44">
        <v>2.2666666666666671</v>
      </c>
      <c r="M44">
        <v>0.31987577639751552</v>
      </c>
      <c r="N44">
        <v>0.98913043478260865</v>
      </c>
      <c r="O44">
        <v>8.866323907455012</v>
      </c>
      <c r="P44">
        <v>14.655526992287919</v>
      </c>
      <c r="Q44">
        <v>3.467866323907455</v>
      </c>
      <c r="R44">
        <v>6.5861182519280206</v>
      </c>
      <c r="S44">
        <f t="shared" si="3"/>
        <v>5.3984575835475574</v>
      </c>
      <c r="T44">
        <f t="shared" si="3"/>
        <v>8.0694087403598989</v>
      </c>
      <c r="U44">
        <v>13.49081364829396</v>
      </c>
      <c r="V44">
        <v>11.619422572178481</v>
      </c>
      <c r="W44">
        <v>2.1246819338422389</v>
      </c>
      <c r="X44">
        <v>1.7022900763358779</v>
      </c>
      <c r="Y44">
        <v>9.9236641221374045E-2</v>
      </c>
      <c r="Z44">
        <v>7.8880407124681931E-2</v>
      </c>
    </row>
    <row r="45" spans="1:26" x14ac:dyDescent="0.45">
      <c r="A45" s="5">
        <v>0</v>
      </c>
      <c r="B45">
        <v>12.32234455958549</v>
      </c>
      <c r="C45">
        <v>5.9757642487046629</v>
      </c>
      <c r="D45">
        <v>1.231480569948187</v>
      </c>
      <c r="E45">
        <v>6.0348292743878318E-2</v>
      </c>
      <c r="F45">
        <v>0.14957254509420709</v>
      </c>
      <c r="G45">
        <v>0.79007916216191465</v>
      </c>
      <c r="H45">
        <f t="shared" si="0"/>
        <v>0.33061742332584204</v>
      </c>
      <c r="I45">
        <f t="shared" si="1"/>
        <v>2.5198100315799512</v>
      </c>
      <c r="J45">
        <f t="shared" si="2"/>
        <v>3.0880829015544045</v>
      </c>
      <c r="K45">
        <v>0.68264248704663211</v>
      </c>
      <c r="L45">
        <v>2.4054404145077721</v>
      </c>
      <c r="M45">
        <v>0.29663212435233161</v>
      </c>
      <c r="N45">
        <v>1.0479274611398961</v>
      </c>
      <c r="O45">
        <v>8.0515463917525771</v>
      </c>
      <c r="P45">
        <v>15.60824742268041</v>
      </c>
      <c r="Q45">
        <v>3.0206185567010309</v>
      </c>
      <c r="R45">
        <v>6.8845360824742272</v>
      </c>
      <c r="S45">
        <f t="shared" si="3"/>
        <v>5.0309278350515463</v>
      </c>
      <c r="T45">
        <f t="shared" si="3"/>
        <v>8.723711340206183</v>
      </c>
      <c r="U45">
        <v>13.86401673640167</v>
      </c>
      <c r="V45">
        <v>11.14225941422594</v>
      </c>
      <c r="W45">
        <v>2.1090534979423872</v>
      </c>
      <c r="X45">
        <v>1.5267489711934159</v>
      </c>
      <c r="Y45">
        <v>0.1008230452674897</v>
      </c>
      <c r="Z45">
        <v>6.584362139917696E-2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A2019-C2022</vt:lpstr>
      <vt:lpstr>C2022</vt:lpstr>
      <vt:lpstr>C2022_Tabla</vt:lpstr>
      <vt:lpstr>DifG_C2022</vt:lpstr>
      <vt:lpstr>DifG_A2021_C2022</vt:lpstr>
      <vt:lpstr>DifG_A2021_C2022_PAC_ATS</vt:lpstr>
      <vt:lpstr>Resumen</vt:lpstr>
      <vt:lpstr>Final</vt:lpstr>
      <vt:lpstr>Test_Cesar_Ramos</vt:lpstr>
      <vt:lpstr>Metron</vt:lpstr>
      <vt:lpstr>DifG_A2021_C2022!Clausura2022</vt:lpstr>
      <vt:lpstr>DifG_A2021_C2022_PAC_ATS!Clausura2022</vt:lpstr>
      <vt:lpstr>Clausura2022</vt:lpstr>
      <vt:lpstr>metron</vt:lpstr>
      <vt:lpstr>DifG_A2021_C2022!Torneos</vt:lpstr>
      <vt:lpstr>DifG_A2021_C2022_PAC_ATS!Torneos</vt:lpstr>
      <vt:lpstr>Torneos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Jaime Eduardo González Meléndez</cp:lastModifiedBy>
  <dcterms:created xsi:type="dcterms:W3CDTF">2022-05-24T16:30:04Z</dcterms:created>
  <dcterms:modified xsi:type="dcterms:W3CDTF">2022-05-27T01:28:43Z</dcterms:modified>
</cp:coreProperties>
</file>