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8_{32182446-CB1B-464D-8E64-7977530C5AB9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Apertura2012-Apertura2021_LigaM" sheetId="1" r:id="rId1"/>
    <sheet name="Goals%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G2" i="1"/>
  <c r="W2" i="1" s="1"/>
  <c r="V2" i="1" s="1"/>
  <c r="G3" i="1"/>
  <c r="W3" i="1" s="1"/>
  <c r="V3" i="1" s="1"/>
  <c r="G4" i="1"/>
  <c r="G5" i="1"/>
  <c r="W5" i="1" s="1"/>
  <c r="V5" i="1" s="1"/>
  <c r="G6" i="1"/>
  <c r="W6" i="1" s="1"/>
  <c r="V6" i="1" s="1"/>
  <c r="G7" i="1"/>
  <c r="W7" i="1" s="1"/>
  <c r="V7" i="1" s="1"/>
  <c r="G8" i="1"/>
  <c r="W8" i="1" s="1"/>
  <c r="V8" i="1" s="1"/>
  <c r="G11" i="1"/>
  <c r="W11" i="1" s="1"/>
  <c r="V11" i="1" s="1"/>
  <c r="G9" i="1"/>
  <c r="W9" i="1" s="1"/>
  <c r="V9" i="1" s="1"/>
  <c r="G10" i="1"/>
  <c r="W10" i="1" s="1"/>
  <c r="V10" i="1" s="1"/>
  <c r="G13" i="1"/>
  <c r="W13" i="1" s="1"/>
  <c r="V13" i="1" s="1"/>
  <c r="G12" i="1"/>
  <c r="W12" i="1" s="1"/>
  <c r="V12" i="1" s="1"/>
  <c r="G15" i="1"/>
  <c r="W15" i="1" s="1"/>
  <c r="V15" i="1" s="1"/>
  <c r="G16" i="1"/>
  <c r="W16" i="1" s="1"/>
  <c r="V16" i="1" s="1"/>
  <c r="G14" i="1"/>
  <c r="W14" i="1" s="1"/>
  <c r="V14" i="1" s="1"/>
  <c r="G17" i="1"/>
  <c r="W17" i="1" s="1"/>
  <c r="V17" i="1" s="1"/>
  <c r="G18" i="1"/>
  <c r="W18" i="1" s="1"/>
  <c r="V18" i="1" s="1"/>
  <c r="G22" i="1"/>
  <c r="W22" i="1" s="1"/>
  <c r="V22" i="1" s="1"/>
  <c r="G20" i="1"/>
  <c r="W20" i="1" s="1"/>
  <c r="V20" i="1" s="1"/>
  <c r="G19" i="1"/>
  <c r="W19" i="1" s="1"/>
  <c r="V19" i="1" s="1"/>
  <c r="G21" i="1"/>
  <c r="W21" i="1" s="1"/>
  <c r="V21" i="1" s="1"/>
  <c r="G23" i="1"/>
  <c r="W23" i="1" s="1"/>
  <c r="V23" i="1" s="1"/>
  <c r="G24" i="1"/>
  <c r="W24" i="1" s="1"/>
  <c r="V24" i="1" s="1"/>
  <c r="G25" i="1"/>
  <c r="W25" i="1" s="1"/>
  <c r="V25" i="1" s="1"/>
  <c r="G26" i="1"/>
  <c r="W26" i="1" s="1"/>
  <c r="V26" i="1" s="1"/>
  <c r="BH27" i="1"/>
  <c r="AE27" i="1"/>
  <c r="AD27" i="1"/>
  <c r="Q6" i="1"/>
  <c r="Q11" i="1"/>
  <c r="Q18" i="1"/>
  <c r="Q7" i="1"/>
  <c r="Q3" i="1"/>
  <c r="Q10" i="1"/>
  <c r="Q9" i="1"/>
  <c r="Q4" i="1"/>
  <c r="Q2" i="1"/>
  <c r="Q8" i="1"/>
  <c r="Q26" i="1"/>
  <c r="Q20" i="1"/>
  <c r="Q19" i="1"/>
  <c r="Q5" i="1"/>
  <c r="Q15" i="1"/>
  <c r="Q25" i="1"/>
  <c r="Q14" i="1"/>
  <c r="Q12" i="1"/>
  <c r="Q17" i="1"/>
  <c r="Q13" i="1"/>
  <c r="Q16" i="1"/>
  <c r="Q23" i="1"/>
  <c r="Q21" i="1"/>
  <c r="Q24" i="1"/>
  <c r="Q22" i="1"/>
  <c r="AA16" i="1"/>
  <c r="AA2" i="1"/>
  <c r="AA14" i="1"/>
  <c r="AA11" i="1"/>
  <c r="AA12" i="1"/>
  <c r="AA19" i="1"/>
  <c r="AA9" i="1"/>
  <c r="AA3" i="1"/>
  <c r="AA20" i="1"/>
  <c r="AA4" i="1"/>
  <c r="AA8" i="1"/>
  <c r="AA6" i="1"/>
  <c r="AA22" i="1"/>
  <c r="AA7" i="1"/>
  <c r="AA21" i="1"/>
  <c r="AA24" i="1"/>
  <c r="AA13" i="1"/>
  <c r="AA18" i="1"/>
  <c r="AA17" i="1"/>
  <c r="AA26" i="1"/>
  <c r="AA10" i="1"/>
  <c r="AA25" i="1"/>
  <c r="AA5" i="1"/>
  <c r="AA15" i="1"/>
  <c r="AA23" i="1"/>
  <c r="X2" i="1"/>
  <c r="X14" i="1"/>
  <c r="X11" i="1"/>
  <c r="X12" i="1"/>
  <c r="X19" i="1"/>
  <c r="X9" i="1"/>
  <c r="X3" i="1"/>
  <c r="X20" i="1"/>
  <c r="X4" i="1"/>
  <c r="X8" i="1"/>
  <c r="X6" i="1"/>
  <c r="X22" i="1"/>
  <c r="X7" i="1"/>
  <c r="X21" i="1"/>
  <c r="X24" i="1"/>
  <c r="X13" i="1"/>
  <c r="X18" i="1"/>
  <c r="X17" i="1"/>
  <c r="X26" i="1"/>
  <c r="X10" i="1"/>
  <c r="X25" i="1"/>
  <c r="X5" i="1"/>
  <c r="X16" i="1"/>
  <c r="X15" i="1"/>
  <c r="X23" i="1"/>
  <c r="Z33" i="1"/>
  <c r="Y33" i="1"/>
  <c r="M33" i="1"/>
  <c r="M34" i="1" s="1"/>
  <c r="P27" i="1"/>
  <c r="M27" i="1"/>
  <c r="Y31" i="1"/>
  <c r="K31" i="1"/>
  <c r="I31" i="1"/>
  <c r="E31" i="1"/>
  <c r="Z27" i="1"/>
  <c r="Y27" i="1"/>
  <c r="O27" i="1"/>
  <c r="N27" i="1"/>
  <c r="K27" i="1"/>
  <c r="I27" i="1"/>
  <c r="F27" i="1"/>
  <c r="E27" i="1"/>
  <c r="L17" i="1"/>
  <c r="L10" i="1"/>
  <c r="L9" i="1"/>
  <c r="L20" i="1"/>
  <c r="L26" i="1"/>
  <c r="L13" i="1"/>
  <c r="L4" i="1"/>
  <c r="L16" i="1"/>
  <c r="L11" i="1"/>
  <c r="L19" i="1"/>
  <c r="L5" i="1"/>
  <c r="L22" i="1"/>
  <c r="L21" i="1"/>
  <c r="L12" i="1"/>
  <c r="L7" i="1"/>
  <c r="L3" i="1"/>
  <c r="L24" i="1"/>
  <c r="L8" i="1"/>
  <c r="L23" i="1"/>
  <c r="L14" i="1"/>
  <c r="L18" i="1"/>
  <c r="L15" i="1"/>
  <c r="L6" i="1"/>
  <c r="L2" i="1"/>
  <c r="L25" i="1"/>
  <c r="J17" i="1"/>
  <c r="J10" i="1"/>
  <c r="J9" i="1"/>
  <c r="J20" i="1"/>
  <c r="J26" i="1"/>
  <c r="J13" i="1"/>
  <c r="J4" i="1"/>
  <c r="J16" i="1"/>
  <c r="J11" i="1"/>
  <c r="J19" i="1"/>
  <c r="J5" i="1"/>
  <c r="J22" i="1"/>
  <c r="J21" i="1"/>
  <c r="J12" i="1"/>
  <c r="J7" i="1"/>
  <c r="J3" i="1"/>
  <c r="J24" i="1"/>
  <c r="J8" i="1"/>
  <c r="J23" i="1"/>
  <c r="J14" i="1"/>
  <c r="J18" i="1"/>
  <c r="J15" i="1"/>
  <c r="J6" i="1"/>
  <c r="J2" i="1"/>
  <c r="J25" i="1"/>
  <c r="H17" i="1"/>
  <c r="H10" i="1"/>
  <c r="C10" i="1" s="1"/>
  <c r="H9" i="1"/>
  <c r="C9" i="1" s="1"/>
  <c r="H20" i="1"/>
  <c r="C20" i="1" s="1"/>
  <c r="H26" i="1"/>
  <c r="C26" i="1" s="1"/>
  <c r="H13" i="1"/>
  <c r="C13" i="1" s="1"/>
  <c r="H4" i="1"/>
  <c r="C4" i="1" s="1"/>
  <c r="H16" i="1"/>
  <c r="C16" i="1" s="1"/>
  <c r="H11" i="1"/>
  <c r="H19" i="1"/>
  <c r="C19" i="1" s="1"/>
  <c r="H5" i="1"/>
  <c r="C5" i="1" s="1"/>
  <c r="H22" i="1"/>
  <c r="C22" i="1" s="1"/>
  <c r="H21" i="1"/>
  <c r="C21" i="1" s="1"/>
  <c r="H12" i="1"/>
  <c r="C12" i="1" s="1"/>
  <c r="H7" i="1"/>
  <c r="C7" i="1" s="1"/>
  <c r="H3" i="1"/>
  <c r="C3" i="1" s="1"/>
  <c r="H24" i="1"/>
  <c r="C24" i="1" s="1"/>
  <c r="H8" i="1"/>
  <c r="C8" i="1" s="1"/>
  <c r="H23" i="1"/>
  <c r="C23" i="1" s="1"/>
  <c r="H14" i="1"/>
  <c r="C14" i="1" s="1"/>
  <c r="H18" i="1"/>
  <c r="C18" i="1" s="1"/>
  <c r="H15" i="1"/>
  <c r="H6" i="1"/>
  <c r="C6" i="1" s="1"/>
  <c r="H2" i="1"/>
  <c r="C2" i="1" s="1"/>
  <c r="H25" i="1"/>
  <c r="D17" i="1"/>
  <c r="D10" i="1"/>
  <c r="D9" i="1"/>
  <c r="D20" i="1"/>
  <c r="D26" i="1"/>
  <c r="D13" i="1"/>
  <c r="D4" i="1"/>
  <c r="D16" i="1"/>
  <c r="D11" i="1"/>
  <c r="D19" i="1"/>
  <c r="D5" i="1"/>
  <c r="D22" i="1"/>
  <c r="D21" i="1"/>
  <c r="D12" i="1"/>
  <c r="D7" i="1"/>
  <c r="D3" i="1"/>
  <c r="D24" i="1"/>
  <c r="D8" i="1"/>
  <c r="D23" i="1"/>
  <c r="D14" i="1"/>
  <c r="D18" i="1"/>
  <c r="D15" i="1"/>
  <c r="D6" i="1"/>
  <c r="D2" i="1"/>
  <c r="D25" i="1"/>
  <c r="C25" i="1" l="1"/>
  <c r="C11" i="1"/>
  <c r="C17" i="1"/>
  <c r="C15" i="1"/>
  <c r="G27" i="1"/>
  <c r="G34" i="1" s="1"/>
  <c r="W4" i="1"/>
  <c r="V4" i="1" s="1"/>
</calcChain>
</file>

<file path=xl/sharedStrings.xml><?xml version="1.0" encoding="utf-8"?>
<sst xmlns="http://schemas.openxmlformats.org/spreadsheetml/2006/main" count="117" uniqueCount="89">
  <si>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</si>
  <si>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</si>
  <si>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</si>
  <si>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</si>
  <si>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</si>
  <si>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</si>
  <si>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</si>
  <si>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</si>
  <si>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</si>
  <si>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</si>
  <si>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</si>
  <si>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</si>
  <si>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</si>
  <si>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</si>
  <si>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</si>
  <si>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</si>
  <si>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</si>
  <si>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</si>
  <si>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</si>
  <si>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</si>
  <si>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</si>
  <si>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</si>
  <si>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</si>
  <si>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</si>
  <si>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</si>
  <si>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</si>
  <si>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</si>
  <si>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</si>
  <si>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</si>
  <si>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</si>
  <si>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</si>
  <si>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</si>
  <si>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</si>
  <si>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</si>
  <si>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</si>
  <si>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</si>
  <si>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</si>
  <si>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</si>
  <si>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</si>
  <si>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</si>
  <si>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</si>
  <si>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</si>
  <si>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</si>
  <si>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</si>
  <si>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</si>
  <si>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</si>
  <si>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</si>
  <si>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</si>
  <si>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</si>
  <si>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</si>
  <si>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Club Tijuana</t>
  </si>
  <si>
    <t>Chiapas</t>
  </si>
  <si>
    <t>Santos Laguna</t>
  </si>
  <si>
    <t>Pachuca</t>
  </si>
  <si>
    <t>Atlante</t>
  </si>
  <si>
    <t>Juarez</t>
  </si>
  <si>
    <t>U.N.A.M.- Pumas</t>
  </si>
  <si>
    <t>Atlas</t>
  </si>
  <si>
    <t>Club Leon</t>
  </si>
  <si>
    <t>Monterrey</t>
  </si>
  <si>
    <t>Puebla</t>
  </si>
  <si>
    <t>Leones Negros</t>
  </si>
  <si>
    <t>Guadalajara Chivas</t>
  </si>
  <si>
    <t>Cruz Azul</t>
  </si>
  <si>
    <t>Mazatlan FC</t>
  </si>
  <si>
    <t>Toluca</t>
  </si>
  <si>
    <t>Dorados de Sinaloa</t>
  </si>
  <si>
    <t>Necaxa</t>
  </si>
  <si>
    <t>Veracruz</t>
  </si>
  <si>
    <t>U.A.N.L.- Tigres</t>
  </si>
  <si>
    <t>Lobos BUAP</t>
  </si>
  <si>
    <t>Queretaro</t>
  </si>
  <si>
    <t>Monarcas</t>
  </si>
  <si>
    <t>Club America</t>
  </si>
  <si>
    <t>Atl. San Luis</t>
  </si>
  <si>
    <t>Index</t>
  </si>
  <si>
    <t>rPoints</t>
  </si>
  <si>
    <t>rWins</t>
  </si>
  <si>
    <t>rLosses</t>
  </si>
  <si>
    <t>rDraws</t>
  </si>
  <si>
    <t>rGoalsF</t>
  </si>
  <si>
    <t>rGoalsA</t>
  </si>
  <si>
    <t>GD_Diff</t>
  </si>
  <si>
    <t>GD</t>
  </si>
  <si>
    <t>Club</t>
  </si>
  <si>
    <t>Matches</t>
  </si>
  <si>
    <t>GPM</t>
  </si>
  <si>
    <t>GPT</t>
  </si>
  <si>
    <t>PP100m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</si>
</sst>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9" fontId="0" fillId="0" borderId="0" xfId="1" applyNumberFormat="1" applyFont="1"/>
    <xf numFmtId="0" fontId="0" fillId="36" borderId="0" xfId="0" applyFill="1"/>
    <xf numFmtId="2" fontId="0" fillId="0" borderId="0" xfId="0" applyNumberFormat="1"/>
    <xf numFmtId="1" fontId="0" fillId="0" borderId="0" xfId="0" applyNumberFormat="1"/>
    <xf numFmtId="1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2" formatCode="0.0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'Goals%'!$C$1</c:f>
              <c:strCache>
                <c:ptCount val="1"/>
                <c:pt idx="0">
                  <c:v>GoalsF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'Goals%'!$A$2:$A$26</c15:sqref>
                  </c15:fullRef>
                </c:ext>
              </c:extLst>
              <c:f>('Goals%'!$A$2:$A$5,'Goals%'!$A$7:$A$10,'Goals%'!$A$12:$A$17,'Goals%'!$A$20:$A$22,'Goals%'!$A$25)</c:f>
              <c:strCache>
                <c:ptCount val="18"/>
                <c:pt idx="0">
                  <c:v>Club America</c:v>
                </c:pt>
                <c:pt idx="1">
                  <c:v>Toluca</c:v>
                </c:pt>
                <c:pt idx="2">
                  <c:v>U.N.A.M.- Pumas</c:v>
                </c:pt>
                <c:pt idx="3">
                  <c:v>Puebla</c:v>
                </c:pt>
                <c:pt idx="4">
                  <c:v>Mazatlan FC</c:v>
                </c:pt>
                <c:pt idx="5">
                  <c:v>Necaxa</c:v>
                </c:pt>
                <c:pt idx="6">
                  <c:v>Club Leon</c:v>
                </c:pt>
                <c:pt idx="7">
                  <c:v>Santos Laguna</c:v>
                </c:pt>
                <c:pt idx="8">
                  <c:v>Juarez</c:v>
                </c:pt>
                <c:pt idx="9">
                  <c:v>Cruz Azul</c:v>
                </c:pt>
                <c:pt idx="10">
                  <c:v>Queretaro</c:v>
                </c:pt>
                <c:pt idx="11">
                  <c:v>Atlas</c:v>
                </c:pt>
                <c:pt idx="12">
                  <c:v>U.A.N.L.- Tigres</c:v>
                </c:pt>
                <c:pt idx="13">
                  <c:v>Club Tijuana</c:v>
                </c:pt>
                <c:pt idx="14">
                  <c:v>Pachuca</c:v>
                </c:pt>
                <c:pt idx="15">
                  <c:v>Monterrey</c:v>
                </c:pt>
                <c:pt idx="16">
                  <c:v>Guadalajara Chivas</c:v>
                </c:pt>
                <c:pt idx="17">
                  <c:v>Atl. San Luis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'Goals%'!$C$2:$C$26</c15:sqref>
                  </c15:fullRef>
                </c:ext>
              </c:extLst>
              <c:f>('Goals%'!$C$2:$C$5,'Goals%'!$C$7:$C$10,'Goals%'!$C$12:$C$17,'Goals%'!$C$20:$C$22,'Goals%'!$C$25)</c:f>
              <c:numCache>
                <c:formatCode>0%</c:formatCode>
                <c:ptCount val="18"/>
                <c:pt idx="0">
                  <c:v>1.0456266455290597</c:v>
                </c:pt>
                <c:pt idx="1">
                  <c:v>1.0769420891210815</c:v>
                </c:pt>
                <c:pt idx="2">
                  <c:v>1.0554424905207886</c:v>
                </c:pt>
                <c:pt idx="3">
                  <c:v>1.0003444499883951</c:v>
                </c:pt>
                <c:pt idx="4">
                  <c:v>1.094594260967424</c:v>
                </c:pt>
                <c:pt idx="5">
                  <c:v>1.0417933009414093</c:v>
                </c:pt>
                <c:pt idx="6">
                  <c:v>1.1177134083969256</c:v>
                </c:pt>
                <c:pt idx="7">
                  <c:v>1.066011706830043</c:v>
                </c:pt>
                <c:pt idx="8">
                  <c:v>0.93939072780639288</c:v>
                </c:pt>
                <c:pt idx="9">
                  <c:v>0.9472007797873816</c:v>
                </c:pt>
                <c:pt idx="10">
                  <c:v>0.98197384169419333</c:v>
                </c:pt>
                <c:pt idx="11">
                  <c:v>0.90782359107787769</c:v>
                </c:pt>
                <c:pt idx="12">
                  <c:v>0.9523196804577726</c:v>
                </c:pt>
                <c:pt idx="13">
                  <c:v>0.94563388089917444</c:v>
                </c:pt>
                <c:pt idx="14">
                  <c:v>1.0187133797072323</c:v>
                </c:pt>
                <c:pt idx="15">
                  <c:v>1.0074283291365249</c:v>
                </c:pt>
                <c:pt idx="16">
                  <c:v>0.87606812860761307</c:v>
                </c:pt>
                <c:pt idx="17">
                  <c:v>0.95911998169093937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F-4EFE-BD6C-12BD350F7A38}"/>
            </c:ext>
          </c:extLst>
        </c:ser>
        <c:ser>
          <c:idx val="2"/>
          <c:order val="2"/>
          <c:tx>
            <c:strRef>
              <c:f>'Goals%'!$D$1</c:f>
              <c:strCache>
                <c:ptCount val="1"/>
                <c:pt idx="0">
                  <c:v>GoalsA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'Goals%'!$A$2:$A$26</c15:sqref>
                  </c15:fullRef>
                </c:ext>
              </c:extLst>
              <c:f>('Goals%'!$A$2:$A$5,'Goals%'!$A$7:$A$10,'Goals%'!$A$12:$A$17,'Goals%'!$A$20:$A$22,'Goals%'!$A$25)</c:f>
              <c:strCache>
                <c:ptCount val="18"/>
                <c:pt idx="0">
                  <c:v>Club America</c:v>
                </c:pt>
                <c:pt idx="1">
                  <c:v>Toluca</c:v>
                </c:pt>
                <c:pt idx="2">
                  <c:v>U.N.A.M.- Pumas</c:v>
                </c:pt>
                <c:pt idx="3">
                  <c:v>Puebla</c:v>
                </c:pt>
                <c:pt idx="4">
                  <c:v>Mazatlan FC</c:v>
                </c:pt>
                <c:pt idx="5">
                  <c:v>Necaxa</c:v>
                </c:pt>
                <c:pt idx="6">
                  <c:v>Club Leon</c:v>
                </c:pt>
                <c:pt idx="7">
                  <c:v>Santos Laguna</c:v>
                </c:pt>
                <c:pt idx="8">
                  <c:v>Juarez</c:v>
                </c:pt>
                <c:pt idx="9">
                  <c:v>Cruz Azul</c:v>
                </c:pt>
                <c:pt idx="10">
                  <c:v>Queretaro</c:v>
                </c:pt>
                <c:pt idx="11">
                  <c:v>Atlas</c:v>
                </c:pt>
                <c:pt idx="12">
                  <c:v>U.A.N.L.- Tigres</c:v>
                </c:pt>
                <c:pt idx="13">
                  <c:v>Club Tijuana</c:v>
                </c:pt>
                <c:pt idx="14">
                  <c:v>Pachuca</c:v>
                </c:pt>
                <c:pt idx="15">
                  <c:v>Monterrey</c:v>
                </c:pt>
                <c:pt idx="16">
                  <c:v>Guadalajara Chivas</c:v>
                </c:pt>
                <c:pt idx="17">
                  <c:v>Atl. San Luis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'Goals%'!$D$2:$D$26</c15:sqref>
                  </c15:fullRef>
                </c:ext>
              </c:extLst>
              <c:f>('Goals%'!$D$2:$D$5,'Goals%'!$D$7:$D$10,'Goals%'!$D$12:$D$17,'Goals%'!$D$20:$D$22,'Goals%'!$D$25)</c:f>
              <c:numCache>
                <c:formatCode>0%</c:formatCode>
                <c:ptCount val="18"/>
                <c:pt idx="0">
                  <c:v>0.94136086526498453</c:v>
                </c:pt>
                <c:pt idx="1">
                  <c:v>0.97474187444163307</c:v>
                </c:pt>
                <c:pt idx="2">
                  <c:v>0.95736128880056814</c:v>
                </c:pt>
                <c:pt idx="3">
                  <c:v>0.92061196851014238</c:v>
                </c:pt>
                <c:pt idx="4">
                  <c:v>1.0440237403578103</c:v>
                </c:pt>
                <c:pt idx="5">
                  <c:v>0.9411083477376444</c:v>
                </c:pt>
                <c:pt idx="6">
                  <c:v>1.088475100160107</c:v>
                </c:pt>
                <c:pt idx="7">
                  <c:v>1.0363522457348024</c:v>
                </c:pt>
                <c:pt idx="8">
                  <c:v>0.95742789737992562</c:v>
                </c:pt>
                <c:pt idx="9">
                  <c:v>0.96100030988661855</c:v>
                </c:pt>
                <c:pt idx="10">
                  <c:v>0.97698611029172178</c:v>
                </c:pt>
                <c:pt idx="11">
                  <c:v>0.9479170860231565</c:v>
                </c:pt>
                <c:pt idx="12">
                  <c:v>0.88397993957085064</c:v>
                </c:pt>
                <c:pt idx="13">
                  <c:v>1.0490092249703107</c:v>
                </c:pt>
                <c:pt idx="14">
                  <c:v>1.030608866406334</c:v>
                </c:pt>
                <c:pt idx="15">
                  <c:v>1.0992170951317179</c:v>
                </c:pt>
                <c:pt idx="16">
                  <c:v>0.93869505900867478</c:v>
                </c:pt>
                <c:pt idx="17">
                  <c:v>1.1245839361183172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F-4EFE-BD6C-12BD350F7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158432"/>
        <c:axId val="608156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'Goals%'!$B$1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'Goals%'!$A$2:$A$26</c15:sqref>
                        </c15:fullRef>
                        <c15:formulaRef>
                          <c15:sqref>('Goals%'!$A$2:$A$5,'Goals%'!$A$7:$A$10,'Goals%'!$A$12:$A$17,'Goals%'!$A$20:$A$22,'Goals%'!$A$25)</c15:sqref>
                        </c15:formulaRef>
                      </c:ext>
                    </c:extLst>
                    <c:strCache>
                      <c:ptCount val="18"/>
                      <c:pt idx="0">
                        <c:v>Club America</c:v>
                      </c:pt>
                      <c:pt idx="1">
                        <c:v>Toluca</c:v>
                      </c:pt>
                      <c:pt idx="2">
                        <c:v>U.N.A.M.- Pumas</c:v>
                      </c:pt>
                      <c:pt idx="3">
                        <c:v>Puebla</c:v>
                      </c:pt>
                      <c:pt idx="4">
                        <c:v>Mazatlan FC</c:v>
                      </c:pt>
                      <c:pt idx="5">
                        <c:v>Necaxa</c:v>
                      </c:pt>
                      <c:pt idx="6">
                        <c:v>Club Leon</c:v>
                      </c:pt>
                      <c:pt idx="7">
                        <c:v>Santos Laguna</c:v>
                      </c:pt>
                      <c:pt idx="8">
                        <c:v>Juarez</c:v>
                      </c:pt>
                      <c:pt idx="9">
                        <c:v>Cruz Azul</c:v>
                      </c:pt>
                      <c:pt idx="10">
                        <c:v>Queretaro</c:v>
                      </c:pt>
                      <c:pt idx="11">
                        <c:v>Atlas</c:v>
                      </c:pt>
                      <c:pt idx="12">
                        <c:v>U.A.N.L.- Tigres</c:v>
                      </c:pt>
                      <c:pt idx="13">
                        <c:v>Club Tijuana</c:v>
                      </c:pt>
                      <c:pt idx="14">
                        <c:v>Pachuca</c:v>
                      </c:pt>
                      <c:pt idx="15">
                        <c:v>Monterrey</c:v>
                      </c:pt>
                      <c:pt idx="16">
                        <c:v>Guadalajara Chivas</c:v>
                      </c:pt>
                      <c:pt idx="17">
                        <c:v>Atl. San Luis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'Goals%'!$B$2:$B$26</c15:sqref>
                        </c15:fullRef>
                        <c15:formulaRef>
                          <c15:sqref>('Goals%'!$B$2:$B$5,'Goals%'!$B$7:$B$10,'Goals%'!$B$12:$B$17,'Goals%'!$B$20:$B$22,'Goals%'!$B$25)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1.0848621602451654</c:v>
                      </c:pt>
                      <c:pt idx="1">
                        <c:v>1.0776838422370145</c:v>
                      </c:pt>
                      <c:pt idx="2">
                        <c:v>1.0549525579222696</c:v>
                      </c:pt>
                      <c:pt idx="3">
                        <c:v>1.0444642154604626</c:v>
                      </c:pt>
                      <c:pt idx="4">
                        <c:v>1.0383860592811527</c:v>
                      </c:pt>
                      <c:pt idx="5">
                        <c:v>1.0303988361308265</c:v>
                      </c:pt>
                      <c:pt idx="6">
                        <c:v>1.0270720800099371</c:v>
                      </c:pt>
                      <c:pt idx="7">
                        <c:v>1.0161473621971349</c:v>
                      </c:pt>
                      <c:pt idx="8">
                        <c:v>0.9994263312722742</c:v>
                      </c:pt>
                      <c:pt idx="9">
                        <c:v>0.98762414686477262</c:v>
                      </c:pt>
                      <c:pt idx="10">
                        <c:v>0.98726711708231119</c:v>
                      </c:pt>
                      <c:pt idx="11">
                        <c:v>0.97373572492666749</c:v>
                      </c:pt>
                      <c:pt idx="12">
                        <c:v>0.96867126718021157</c:v>
                      </c:pt>
                      <c:pt idx="13">
                        <c:v>0.96621643033856575</c:v>
                      </c:pt>
                      <c:pt idx="14">
                        <c:v>0.94464248611521606</c:v>
                      </c:pt>
                      <c:pt idx="15">
                        <c:v>0.94164408588774251</c:v>
                      </c:pt>
                      <c:pt idx="16">
                        <c:v>0.9405049816845078</c:v>
                      </c:pt>
                      <c:pt idx="17">
                        <c:v>0.84943635928453265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4F-4EFE-BD6C-12BD350F7A38}"/>
                  </c:ext>
                </c:extLst>
              </c15:ser>
            </c15:filteredBarSeries>
          </c:ext>
        </c:extLst>
      </c:barChart>
      <c:catAx>
        <c:axId val="6081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8156136"/>
        <c:crosses val="autoZero"/>
        <c:auto val="1"/>
        <c:lblAlgn val="ctr"/>
        <c:lblOffset val="100"/>
        <c:noMultiLvlLbl val="0"/>
      </c:catAx>
      <c:valAx>
        <c:axId val="608156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081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29</xdr:row>
      <xdr:rowOff>114300</xdr:rowOff>
    </xdr:from>
    <xdr:to>
      <xdr:col>18</xdr:col>
      <xdr:colOff>471487</xdr:colOff>
      <xdr:row>61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8FC1E-98BF-48C6-8218-CF1E61F4A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K27" totalsRowCount="1">
  <autoFilter ref="A1:BK26" xr:uid="{00000000-0009-0000-0100-000001000000}">
    <filterColumn colId="1">
      <filters>
        <filter val="Guadalajara Chivas"/>
      </filters>
    </filterColumn>
  </autoFilter>
  <sortState xmlns:xlrd2="http://schemas.microsoft.com/office/spreadsheetml/2017/richdata2" ref="A2:BK26">
    <sortCondition descending="1" ref="C1:C26"/>
  </sortState>
  <tableColumns count="63">
    <tableColumn id="1" xr3:uid="{00000000-0010-0000-0000-000001000000}" name="Index"/>
    <tableColumn id="2" xr3:uid="{00000000-0010-0000-0000-000002000000}" name="team"/>
    <tableColumn id="64" xr3:uid="{47306BBB-92C6-40E0-B742-1A09942C7F87}" name="PP100m" dataDxfId="8">
      <calculatedColumnFormula>(Table1[[#This Row],[rWins]]*3+Table1[[#This Row],[rDraws]])*100</calculatedColumnFormula>
    </tableColumn>
    <tableColumn id="53" xr3:uid="{00000000-0010-0000-0000-000035000000}" name="rPoints" totalsRowDxfId="7" dataCellStyle="Percent" totalsRowCellStyle="Percent">
      <calculatedColumnFormula>Table1[[#This Row],[Points]]/Table1[[#This Row],[xPoints]]</calculatedColumnFormula>
    </tableColumn>
    <tableColumn id="3" xr3:uid="{00000000-0010-0000-0000-000003000000}" name="Points" totalsRowFunction="custom">
      <totalsRowFormula>SUM(Table1[Points])</totalsRowFormula>
    </tableColumn>
    <tableColumn id="4" xr3:uid="{00000000-0010-0000-0000-000004000000}" name="xPoints" totalsRowFunction="sum"/>
    <tableColumn id="61" xr3:uid="{E4842FD8-02B0-423B-8143-EFCC3761281A}" name="Matches" totalsRowFunction="sum" dataDxfId="6">
      <calculatedColumnFormula>Table1[[#This Row],[Wins]]+Table1[[#This Row],[Draws]]+Table1[[#This Row],[Losses]]</calculatedColumnFormula>
    </tableColumn>
    <tableColumn id="54" xr3:uid="{00000000-0010-0000-0000-000036000000}" name="rWins" totalsRowDxfId="5" dataCellStyle="Percent" totalsRowCellStyle="Percent">
      <calculatedColumnFormula>Table1[[#This Row],[Wins]]/Table1[[#This Row],[xWins]]</calculatedColumnFormula>
    </tableColumn>
    <tableColumn id="5" xr3:uid="{00000000-0010-0000-0000-000005000000}" name="Wins" totalsRowFunction="sum"/>
    <tableColumn id="55" xr3:uid="{00000000-0010-0000-0000-000037000000}" name="rDraws" totalsRowDxfId="4" dataCellStyle="Percent" totalsRowCellStyle="Percent">
      <calculatedColumnFormula>Table1[[#This Row],[Draws]]/Table1[[#This Row],[xDraws]]</calculatedColumnFormula>
    </tableColumn>
    <tableColumn id="6" xr3:uid="{00000000-0010-0000-0000-000006000000}" name="Draws" totalsRowFunction="sum"/>
    <tableColumn id="56" xr3:uid="{00000000-0010-0000-0000-000038000000}" name="rLosses" totalsRowDxfId="3" dataCellStyle="Percent" totalsRowCellStyle="Percent">
      <calculatedColumnFormula>Table1[[#This Row],[Losses]]/Table1[[#This Row],[xLosses]]</calculatedColumnFormula>
    </tableColumn>
    <tableColumn id="7" xr3:uid="{00000000-0010-0000-0000-000007000000}" name="Losses" totalsRowFunction="sum"/>
    <tableColumn id="8" xr3:uid="{00000000-0010-0000-0000-000008000000}" name="xWins" totalsRowFunction="sum"/>
    <tableColumn id="9" xr3:uid="{00000000-0010-0000-0000-000009000000}" name="xDraws" totalsRowFunction="sum"/>
    <tableColumn id="10" xr3:uid="{00000000-0010-0000-0000-00000A000000}" name="xLosses" totalsRowFunction="sum"/>
    <tableColumn id="60" xr3:uid="{00000000-0010-0000-0000-00003C000000}" name="GD_Diff" dataDxfId="2">
      <calculatedColumnFormula>Table1[[#This Row],[GoalsF_Diff]]+Table1[[#This Row],[GoalsA_Diff]]</calculatedColumnFormula>
    </tableColumn>
    <tableColumn id="11" xr3:uid="{00000000-0010-0000-0000-00000B000000}" name="GD"/>
    <tableColumn id="12" xr3:uid="{00000000-0010-0000-0000-00000C000000}" name="xGoalDiff"/>
    <tableColumn id="13" xr3:uid="{00000000-0010-0000-0000-00000D000000}" name="GoalsF_Diff"/>
    <tableColumn id="14" xr3:uid="{00000000-0010-0000-0000-00000E000000}" name="GoalsA_Diff"/>
    <tableColumn id="63" xr3:uid="{0777CA56-3747-45B3-9510-EA6AB350BBD4}" name="GPT" dataDxfId="1">
      <calculatedColumnFormula>Table1[[#This Row],[GPM]]*17</calculatedColumnFormula>
    </tableColumn>
    <tableColumn id="62" xr3:uid="{2B29B01E-DE7E-471B-987C-399AA1026D30}" name="GPM" dataDxfId="0">
      <calculatedColumnFormula>Table1[[#This Row],[GoalsF]]/Table1[[#This Row],[Matches]]</calculatedColumnFormula>
    </tableColumn>
    <tableColumn id="58" xr3:uid="{00000000-0010-0000-0000-00003A000000}" name="rGoalsF" dataCellStyle="Percent">
      <calculatedColumnFormula>Table1[[#This Row],[GoalsF]]/Table1[[#This Row],[xGoalsF]]</calculatedColumnFormula>
    </tableColumn>
    <tableColumn id="15" xr3:uid="{00000000-0010-0000-0000-00000F000000}" name="GoalsF" totalsRowFunction="sum"/>
    <tableColumn id="16" xr3:uid="{00000000-0010-0000-0000-000010000000}" name="xGoalsF" totalsRowFunction="sum"/>
    <tableColumn id="59" xr3:uid="{00000000-0010-0000-0000-00003B000000}" name="rGoalsA" dataCellStyle="Percent">
      <calculatedColumnFormula>Table1[[#This Row],[GoalsA]]/Table1[[#This Row],[xGoalsA]]</calculatedColumnFormula>
    </tableColumn>
    <tableColumn id="17" xr3:uid="{00000000-0010-0000-0000-000011000000}" name="GoalsA"/>
    <tableColumn id="18" xr3:uid="{00000000-0010-0000-0000-000012000000}" name="xGoalsA"/>
    <tableColumn id="19" xr3:uid="{00000000-0010-0000-0000-000013000000}" name="HTGoalsF" totalsRowFunction="sum"/>
    <tableColumn id="20" xr3:uid="{00000000-0010-0000-0000-000014000000}" name="xHTGoalsF" totalsRowFunction="sum"/>
    <tableColumn id="21" xr3:uid="{00000000-0010-0000-0000-000015000000}" name="HTGoalsA"/>
    <tableColumn id="22" xr3:uid="{00000000-0010-0000-0000-000016000000}" name="xHTGoalsA"/>
    <tableColumn id="23" xr3:uid="{00000000-0010-0000-0000-000017000000}" name="ShotsF100"/>
    <tableColumn id="24" xr3:uid="{00000000-0010-0000-0000-000018000000}" name="ShotsF"/>
    <tableColumn id="25" xr3:uid="{00000000-0010-0000-0000-000019000000}" name="xShotsF"/>
    <tableColumn id="26" xr3:uid="{00000000-0010-0000-0000-00001A000000}" name="ShotsA100"/>
    <tableColumn id="27" xr3:uid="{00000000-0010-0000-0000-00001B000000}" name="ShotsA"/>
    <tableColumn id="28" xr3:uid="{00000000-0010-0000-0000-00001C000000}" name="xShotsA"/>
    <tableColumn id="29" xr3:uid="{00000000-0010-0000-0000-00001D000000}" name="ShotsTF100"/>
    <tableColumn id="30" xr3:uid="{00000000-0010-0000-0000-00001E000000}" name="ShotsTF"/>
    <tableColumn id="31" xr3:uid="{00000000-0010-0000-0000-00001F000000}" name="xShotsTF"/>
    <tableColumn id="32" xr3:uid="{00000000-0010-0000-0000-000020000000}" name="ShotsTA100"/>
    <tableColumn id="33" xr3:uid="{00000000-0010-0000-0000-000021000000}" name="ShotsTA"/>
    <tableColumn id="34" xr3:uid="{00000000-0010-0000-0000-000022000000}" name="xShotsTA"/>
    <tableColumn id="35" xr3:uid="{00000000-0010-0000-0000-000023000000}" name="Fouls100"/>
    <tableColumn id="36" xr3:uid="{00000000-0010-0000-0000-000024000000}" name="Fouls"/>
    <tableColumn id="37" xr3:uid="{00000000-0010-0000-0000-000025000000}" name="xFouls"/>
    <tableColumn id="38" xr3:uid="{00000000-0010-0000-0000-000026000000}" name="FoulsA100"/>
    <tableColumn id="39" xr3:uid="{00000000-0010-0000-0000-000027000000}" name="FoulsA"/>
    <tableColumn id="40" xr3:uid="{00000000-0010-0000-0000-000028000000}" name="xFoulsA"/>
    <tableColumn id="41" xr3:uid="{00000000-0010-0000-0000-000029000000}" name="YCard100"/>
    <tableColumn id="42" xr3:uid="{00000000-0010-0000-0000-00002A000000}" name="YCard"/>
    <tableColumn id="43" xr3:uid="{00000000-0010-0000-0000-00002B000000}" name="xYCard"/>
    <tableColumn id="44" xr3:uid="{00000000-0010-0000-0000-00002C000000}" name="YCardA100"/>
    <tableColumn id="45" xr3:uid="{00000000-0010-0000-0000-00002D000000}" name="YCardA"/>
    <tableColumn id="46" xr3:uid="{00000000-0010-0000-0000-00002E000000}" name="xYCardA"/>
    <tableColumn id="47" xr3:uid="{00000000-0010-0000-0000-00002F000000}" name="RCard100"/>
    <tableColumn id="48" xr3:uid="{00000000-0010-0000-0000-000030000000}" name="RCard"/>
    <tableColumn id="49" xr3:uid="{00000000-0010-0000-0000-000031000000}" name="xRCard" totalsRowFunction="sum"/>
    <tableColumn id="50" xr3:uid="{00000000-0010-0000-0000-000032000000}" name="RCardA100"/>
    <tableColumn id="51" xr3:uid="{00000000-0010-0000-0000-000033000000}" name="RCardA"/>
    <tableColumn id="52" xr3:uid="{00000000-0010-0000-0000-000034000000}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4"/>
  <sheetViews>
    <sheetView workbookViewId="0">
      <pane xSplit="2" topLeftCell="O1" activePane="topRight" state="frozen"/>
      <selection pane="topRight" activeCell="O28" sqref="O28"/>
    </sheetView>
  </sheetViews>
  <sheetFormatPr defaultRowHeight="14.25" x14ac:dyDescent="0.45"/>
  <cols>
    <col min="2" max="2" width="15.86328125" bestFit="1" customWidth="1"/>
    <col min="3" max="3" width="15.86328125" customWidth="1"/>
    <col min="4" max="4" width="8.6640625" bestFit="1" customWidth="1"/>
    <col min="7" max="7" width="9.86328125" bestFit="1" customWidth="1"/>
    <col min="8" max="8" width="7.6640625" bestFit="1" customWidth="1"/>
    <col min="9" max="9" width="7" bestFit="1" customWidth="1"/>
    <col min="10" max="10" width="8.9296875" bestFit="1" customWidth="1"/>
    <col min="19" max="19" width="9.9296875" customWidth="1"/>
    <col min="20" max="20" width="11.59765625" customWidth="1"/>
    <col min="21" max="21" width="11.86328125" customWidth="1"/>
    <col min="22" max="22" width="6.06640625" bestFit="1" customWidth="1"/>
    <col min="23" max="23" width="6.796875" bestFit="1" customWidth="1"/>
    <col min="24" max="24" width="8.9296875" bestFit="1" customWidth="1"/>
    <col min="27" max="27" width="9.265625" bestFit="1" customWidth="1"/>
    <col min="30" max="30" width="9.9296875" customWidth="1"/>
    <col min="31" max="31" width="10.796875" customWidth="1"/>
    <col min="32" max="32" width="10.19921875" customWidth="1"/>
    <col min="33" max="33" width="11.06640625" customWidth="1"/>
    <col min="34" max="34" width="10.73046875" customWidth="1"/>
    <col min="37" max="37" width="11" customWidth="1"/>
    <col min="40" max="40" width="11.6640625" customWidth="1"/>
    <col min="42" max="42" width="9.53125" customWidth="1"/>
    <col min="43" max="43" width="11.9296875" customWidth="1"/>
    <col min="45" max="45" width="9.796875" customWidth="1"/>
    <col min="46" max="46" width="9.6640625" customWidth="1"/>
    <col min="49" max="49" width="10.796875" customWidth="1"/>
    <col min="52" max="52" width="10.1328125" customWidth="1"/>
    <col min="55" max="55" width="11.265625" customWidth="1"/>
    <col min="57" max="57" width="9.1328125" customWidth="1"/>
    <col min="58" max="58" width="10.265625" customWidth="1"/>
    <col min="61" max="61" width="11.3984375" customWidth="1"/>
    <col min="63" max="63" width="9.265625" customWidth="1"/>
  </cols>
  <sheetData>
    <row r="1" spans="1:63" x14ac:dyDescent="0.45">
      <c r="A1" t="s">
        <v>75</v>
      </c>
      <c r="B1" t="s">
        <v>0</v>
      </c>
      <c r="C1" t="s">
        <v>88</v>
      </c>
      <c r="D1" s="2" t="s">
        <v>76</v>
      </c>
      <c r="E1" t="s">
        <v>1</v>
      </c>
      <c r="F1" t="s">
        <v>2</v>
      </c>
      <c r="G1" t="s">
        <v>85</v>
      </c>
      <c r="H1" s="2" t="s">
        <v>77</v>
      </c>
      <c r="I1" t="s">
        <v>3</v>
      </c>
      <c r="J1" s="2" t="s">
        <v>79</v>
      </c>
      <c r="K1" t="s">
        <v>4</v>
      </c>
      <c r="L1" s="2" t="s">
        <v>78</v>
      </c>
      <c r="M1" t="s">
        <v>5</v>
      </c>
      <c r="N1" t="s">
        <v>6</v>
      </c>
      <c r="O1" t="s">
        <v>7</v>
      </c>
      <c r="P1" t="s">
        <v>8</v>
      </c>
      <c r="Q1" t="s">
        <v>82</v>
      </c>
      <c r="R1" t="s">
        <v>83</v>
      </c>
      <c r="S1" s="3" t="s">
        <v>9</v>
      </c>
      <c r="T1" s="3" t="s">
        <v>10</v>
      </c>
      <c r="U1" s="3" t="s">
        <v>11</v>
      </c>
      <c r="V1" s="7" t="s">
        <v>87</v>
      </c>
      <c r="W1" s="7" t="s">
        <v>86</v>
      </c>
      <c r="X1" s="2" t="s">
        <v>80</v>
      </c>
      <c r="Y1" t="s">
        <v>12</v>
      </c>
      <c r="Z1" t="s">
        <v>13</v>
      </c>
      <c r="AA1" s="2" t="s">
        <v>81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</row>
    <row r="2" spans="1:63" hidden="1" x14ac:dyDescent="0.45">
      <c r="A2">
        <v>23</v>
      </c>
      <c r="B2" t="s">
        <v>73</v>
      </c>
      <c r="C2" s="9">
        <f>(Table1[[#This Row],[rWins]]*3+Table1[[#This Row],[rDraws]])*100</f>
        <v>430.67187052224705</v>
      </c>
      <c r="D2" s="1">
        <f>Table1[[#This Row],[Points]]/Table1[[#This Row],[xPoints]]</f>
        <v>1.0848621602451654</v>
      </c>
      <c r="E2">
        <v>571</v>
      </c>
      <c r="F2">
        <v>526.33414725328896</v>
      </c>
      <c r="G2">
        <f>Table1[[#This Row],[Wins]]+Table1[[#This Row],[Draws]]+Table1[[#This Row],[Losses]]</f>
        <v>317</v>
      </c>
      <c r="H2" s="1">
        <f>Table1[[#This Row],[Wins]]/Table1[[#This Row],[xWins]]</f>
        <v>1.0994474735073054</v>
      </c>
      <c r="I2">
        <v>162</v>
      </c>
      <c r="J2" s="1">
        <f>Table1[[#This Row],[Draws]]/Table1[[#This Row],[xDraws]]</f>
        <v>1.0083762847005548</v>
      </c>
      <c r="K2">
        <v>85</v>
      </c>
      <c r="L2" s="1">
        <f>Table1[[#This Row],[Losses]]/Table1[[#This Row],[xLosses]]</f>
        <v>0.82006266067127376</v>
      </c>
      <c r="M2">
        <v>70</v>
      </c>
      <c r="N2">
        <v>147.346739069953</v>
      </c>
      <c r="O2">
        <v>84.293930043427594</v>
      </c>
      <c r="P2">
        <v>85.359330886618494</v>
      </c>
      <c r="Q2" s="5">
        <f>Table1[[#This Row],[GoalsF_Diff]]+Table1[[#This Row],[GoalsA_Diff]]</f>
        <v>42.274562564102794</v>
      </c>
      <c r="R2">
        <v>175</v>
      </c>
      <c r="S2">
        <v>132.72543743589699</v>
      </c>
      <c r="T2">
        <v>21.905118957635199</v>
      </c>
      <c r="U2">
        <v>20.369443606467598</v>
      </c>
      <c r="V2" s="5">
        <f>Table1[[#This Row],[GPM]]*17</f>
        <v>26.921135646687695</v>
      </c>
      <c r="W2" s="8">
        <f>Table1[[#This Row],[GoalsF]]/Table1[[#This Row],[Matches]]</f>
        <v>1.5835962145110409</v>
      </c>
      <c r="X2" s="1">
        <f>Table1[[#This Row],[GoalsF]]/Table1[[#This Row],[xGoalsF]]</f>
        <v>1.0456266455290597</v>
      </c>
      <c r="Y2">
        <v>502</v>
      </c>
      <c r="Z2">
        <v>480.09488104236402</v>
      </c>
      <c r="AA2" s="1">
        <f>Table1[[#This Row],[GoalsA]]/Table1[[#This Row],[xGoalsA]]</f>
        <v>0.94136086526498453</v>
      </c>
      <c r="AB2">
        <v>327</v>
      </c>
      <c r="AC2">
        <v>347.36944360646697</v>
      </c>
      <c r="AD2">
        <v>8</v>
      </c>
      <c r="AE2">
        <v>209.80308508183199</v>
      </c>
      <c r="AF2">
        <v>6</v>
      </c>
      <c r="AG2">
        <v>152.57754852481801</v>
      </c>
      <c r="AH2">
        <v>5.71201312485074E-2</v>
      </c>
      <c r="AI2">
        <v>224</v>
      </c>
      <c r="AJ2">
        <v>3921.5596166168302</v>
      </c>
      <c r="AK2">
        <v>4.2690211068552399E-2</v>
      </c>
      <c r="AL2">
        <v>140</v>
      </c>
      <c r="AM2">
        <v>3279.44033294158</v>
      </c>
      <c r="AN2">
        <v>4.5463775046744898E-2</v>
      </c>
      <c r="AO2">
        <v>77</v>
      </c>
      <c r="AP2">
        <v>1693.65610138687</v>
      </c>
      <c r="AQ2">
        <v>3.7272268847229201E-2</v>
      </c>
      <c r="AR2">
        <v>51</v>
      </c>
      <c r="AS2">
        <v>1368.30951206747</v>
      </c>
      <c r="AT2">
        <v>5.1956880126363403E-2</v>
      </c>
      <c r="AU2">
        <v>212</v>
      </c>
      <c r="AV2">
        <v>4080.3065827739902</v>
      </c>
      <c r="AW2">
        <v>5.6841932791729902E-2</v>
      </c>
      <c r="AX2">
        <v>238</v>
      </c>
      <c r="AY2">
        <v>4187.04974146528</v>
      </c>
      <c r="AZ2">
        <v>5.1804502695195501E-2</v>
      </c>
      <c r="BA2">
        <v>27</v>
      </c>
      <c r="BB2">
        <v>521.19021697517496</v>
      </c>
      <c r="BC2">
        <v>5.8617731104239401E-2</v>
      </c>
      <c r="BD2">
        <v>34</v>
      </c>
      <c r="BE2">
        <v>580.02927372842203</v>
      </c>
      <c r="BF2">
        <v>0.13237938773883801</v>
      </c>
      <c r="BG2">
        <v>4</v>
      </c>
      <c r="BH2">
        <v>30.216184470435099</v>
      </c>
      <c r="BI2">
        <v>0.13876056459350899</v>
      </c>
      <c r="BJ2">
        <v>5</v>
      </c>
      <c r="BK2">
        <v>36.033292417389603</v>
      </c>
    </row>
    <row r="3" spans="1:63" hidden="1" x14ac:dyDescent="0.45">
      <c r="A3">
        <v>15</v>
      </c>
      <c r="B3" t="s">
        <v>65</v>
      </c>
      <c r="C3" s="9">
        <f>(Table1[[#This Row],[rWins]]*3+Table1[[#This Row],[rDraws]])*100</f>
        <v>427.93412683553396</v>
      </c>
      <c r="D3" s="1">
        <f>Table1[[#This Row],[Points]]/Table1[[#This Row],[xPoints]]</f>
        <v>1.0776838422370145</v>
      </c>
      <c r="E3">
        <v>479</v>
      </c>
      <c r="F3">
        <v>444.47172837416798</v>
      </c>
      <c r="G3">
        <f>Table1[[#This Row],[Wins]]+Table1[[#This Row],[Draws]]+Table1[[#This Row],[Losses]]</f>
        <v>317</v>
      </c>
      <c r="H3" s="1">
        <f>Table1[[#This Row],[Wins]]/Table1[[#This Row],[xWins]]</f>
        <v>1.1044478824751425</v>
      </c>
      <c r="I3">
        <v>132</v>
      </c>
      <c r="J3" s="1">
        <f>Table1[[#This Row],[Draws]]/Table1[[#This Row],[xDraws]]</f>
        <v>0.96599762092991159</v>
      </c>
      <c r="K3">
        <v>83</v>
      </c>
      <c r="L3" s="1">
        <f>Table1[[#This Row],[Losses]]/Table1[[#This Row],[xLosses]]</f>
        <v>0.91429200200242511</v>
      </c>
      <c r="M3">
        <v>102</v>
      </c>
      <c r="N3">
        <v>119.51673057145899</v>
      </c>
      <c r="O3">
        <v>85.921536659790704</v>
      </c>
      <c r="P3">
        <v>111.56173276875001</v>
      </c>
      <c r="Q3" s="5">
        <f>Table1[[#This Row],[GoalsF_Diff]]+Table1[[#This Row],[GoalsA_Diff]]</f>
        <v>41.918554530355401</v>
      </c>
      <c r="R3">
        <v>58</v>
      </c>
      <c r="S3">
        <v>16.0814454696444</v>
      </c>
      <c r="T3">
        <v>31.864454082213399</v>
      </c>
      <c r="U3">
        <v>10.054100448142</v>
      </c>
      <c r="V3" s="5">
        <f>Table1[[#This Row],[GPM]]*17</f>
        <v>23.917981072555204</v>
      </c>
      <c r="W3" s="8">
        <f>Table1[[#This Row],[GoalsF]]/Table1[[#This Row],[Matches]]</f>
        <v>1.4069400630914826</v>
      </c>
      <c r="X3" s="1">
        <f>Table1[[#This Row],[GoalsF]]/Table1[[#This Row],[xGoalsF]]</f>
        <v>1.0769420891210815</v>
      </c>
      <c r="Y3">
        <v>446</v>
      </c>
      <c r="Z3">
        <v>414.13554591778598</v>
      </c>
      <c r="AA3" s="1">
        <f>Table1[[#This Row],[GoalsA]]/Table1[[#This Row],[xGoalsA]]</f>
        <v>0.97474187444163307</v>
      </c>
      <c r="AB3">
        <v>388</v>
      </c>
      <c r="AC3">
        <v>398.05410044814198</v>
      </c>
      <c r="AD3">
        <v>10</v>
      </c>
      <c r="AE3">
        <v>181.35537802253</v>
      </c>
      <c r="AF3">
        <v>13</v>
      </c>
      <c r="AG3">
        <v>174.437318579455</v>
      </c>
      <c r="AH3">
        <v>6.2657812227204707E-2</v>
      </c>
      <c r="AI3">
        <v>226</v>
      </c>
      <c r="AJ3">
        <v>3606.8926118980398</v>
      </c>
      <c r="AK3">
        <v>6.4620646465610596E-2</v>
      </c>
      <c r="AL3">
        <v>228</v>
      </c>
      <c r="AM3">
        <v>3528.2841084131701</v>
      </c>
      <c r="AN3">
        <v>4.59444858768965E-2</v>
      </c>
      <c r="AO3">
        <v>71</v>
      </c>
      <c r="AP3">
        <v>1545.34322552301</v>
      </c>
      <c r="AQ3">
        <v>4.71604097769035E-2</v>
      </c>
      <c r="AR3">
        <v>71</v>
      </c>
      <c r="AS3">
        <v>1505.5000653274999</v>
      </c>
      <c r="AT3">
        <v>4.8567102506016799E-2</v>
      </c>
      <c r="AU3">
        <v>201</v>
      </c>
      <c r="AV3">
        <v>4138.6039032305498</v>
      </c>
      <c r="AW3">
        <v>5.6110812865177002E-2</v>
      </c>
      <c r="AX3">
        <v>233</v>
      </c>
      <c r="AY3">
        <v>4152.4973191860799</v>
      </c>
      <c r="AZ3">
        <v>7.51590935301929E-2</v>
      </c>
      <c r="BA3">
        <v>41</v>
      </c>
      <c r="BB3">
        <v>545.50950622534299</v>
      </c>
      <c r="BC3">
        <v>7.0591529455911697E-2</v>
      </c>
      <c r="BD3">
        <v>39</v>
      </c>
      <c r="BE3">
        <v>552.47421752432194</v>
      </c>
      <c r="BF3">
        <v>9.0911086230256094E-2</v>
      </c>
      <c r="BG3">
        <v>3</v>
      </c>
      <c r="BH3">
        <v>32.999275714314003</v>
      </c>
      <c r="BI3">
        <v>0.14866313914262799</v>
      </c>
      <c r="BJ3">
        <v>5</v>
      </c>
      <c r="BK3">
        <v>33.633085032618403</v>
      </c>
    </row>
    <row r="4" spans="1:63" hidden="1" x14ac:dyDescent="0.45">
      <c r="A4">
        <v>6</v>
      </c>
      <c r="B4" t="s">
        <v>56</v>
      </c>
      <c r="C4" s="9">
        <f>(Table1[[#This Row],[rWins]]*3+Table1[[#This Row],[rDraws]])*100</f>
        <v>422.40453755761666</v>
      </c>
      <c r="D4" s="1">
        <f>Table1[[#This Row],[Points]]/Table1[[#This Row],[xPoints]]</f>
        <v>1.0549525579222696</v>
      </c>
      <c r="E4">
        <v>429</v>
      </c>
      <c r="F4">
        <v>406.65335780114702</v>
      </c>
      <c r="G4">
        <f>Table1[[#This Row],[Wins]]+Table1[[#This Row],[Draws]]+Table1[[#This Row],[Losses]]</f>
        <v>317</v>
      </c>
      <c r="H4" s="1">
        <f>Table1[[#This Row],[Wins]]/Table1[[#This Row],[xWins]]</f>
        <v>1.0489850664583122</v>
      </c>
      <c r="I4">
        <v>112</v>
      </c>
      <c r="J4" s="1">
        <f>Table1[[#This Row],[Draws]]/Table1[[#This Row],[xDraws]]</f>
        <v>1.0770901762012304</v>
      </c>
      <c r="K4">
        <v>93</v>
      </c>
      <c r="L4" s="1">
        <f>Table1[[#This Row],[Losses]]/Table1[[#This Row],[xLosses]]</f>
        <v>0.90405415506314546</v>
      </c>
      <c r="M4">
        <v>112</v>
      </c>
      <c r="N4">
        <v>106.76987078390501</v>
      </c>
      <c r="O4">
        <v>86.343745449429306</v>
      </c>
      <c r="P4">
        <v>123.886383766664</v>
      </c>
      <c r="Q4" s="5">
        <f>Table1[[#This Row],[GoalsF_Diff]]+Table1[[#This Row],[GoalsA_Diff]]</f>
        <v>39.5671311189299</v>
      </c>
      <c r="R4">
        <v>3</v>
      </c>
      <c r="S4">
        <v>-36.5671311189299</v>
      </c>
      <c r="T4">
        <v>21.484807392786699</v>
      </c>
      <c r="U4">
        <v>18.082323726143201</v>
      </c>
      <c r="V4" s="5">
        <f>Table1[[#This Row],[GPM]]*17</f>
        <v>21.933753943217667</v>
      </c>
      <c r="W4" s="8">
        <f>Table1[[#This Row],[GoalsF]]/Table1[[#This Row],[Matches]]</f>
        <v>1.2902208201892744</v>
      </c>
      <c r="X4" s="1">
        <f>Table1[[#This Row],[GoalsF]]/Table1[[#This Row],[xGoalsF]]</f>
        <v>1.0554424905207886</v>
      </c>
      <c r="Y4">
        <v>409</v>
      </c>
      <c r="Z4">
        <v>387.51519260721301</v>
      </c>
      <c r="AA4" s="1">
        <f>Table1[[#This Row],[GoalsA]]/Table1[[#This Row],[xGoalsA]]</f>
        <v>0.95736128880056814</v>
      </c>
      <c r="AB4">
        <v>406</v>
      </c>
      <c r="AC4">
        <v>424.08232372614299</v>
      </c>
      <c r="AD4">
        <v>6</v>
      </c>
      <c r="AE4">
        <v>169.879170661248</v>
      </c>
      <c r="AF4">
        <v>11</v>
      </c>
      <c r="AG4">
        <v>185.56530105664501</v>
      </c>
      <c r="AH4">
        <v>6.4615328552391396E-2</v>
      </c>
      <c r="AI4">
        <v>225</v>
      </c>
      <c r="AJ4">
        <v>3482.1458783973399</v>
      </c>
      <c r="AK4">
        <v>6.3453971874323098E-2</v>
      </c>
      <c r="AL4">
        <v>232</v>
      </c>
      <c r="AM4">
        <v>3656.1935076262598</v>
      </c>
      <c r="AN4">
        <v>4.7309568938122597E-2</v>
      </c>
      <c r="AO4">
        <v>70</v>
      </c>
      <c r="AP4">
        <v>1479.6161024327801</v>
      </c>
      <c r="AQ4">
        <v>4.7154388664382402E-2</v>
      </c>
      <c r="AR4">
        <v>74</v>
      </c>
      <c r="AS4">
        <v>1569.31310310667</v>
      </c>
      <c r="AT4">
        <v>5.0430766767491801E-2</v>
      </c>
      <c r="AU4">
        <v>210</v>
      </c>
      <c r="AV4">
        <v>4164.1246695334403</v>
      </c>
      <c r="AW4">
        <v>3.8465628751718203E-2</v>
      </c>
      <c r="AX4">
        <v>159</v>
      </c>
      <c r="AY4">
        <v>4133.5604060000496</v>
      </c>
      <c r="AZ4">
        <v>6.4463491726326497E-2</v>
      </c>
      <c r="BA4">
        <v>36</v>
      </c>
      <c r="BB4">
        <v>558.45563179907299</v>
      </c>
      <c r="BC4">
        <v>4.0579441786524603E-2</v>
      </c>
      <c r="BD4">
        <v>22</v>
      </c>
      <c r="BE4">
        <v>542.14644242113798</v>
      </c>
      <c r="BF4">
        <v>0.116710220653915</v>
      </c>
      <c r="BG4">
        <v>4</v>
      </c>
      <c r="BH4">
        <v>34.272919523143898</v>
      </c>
      <c r="BI4">
        <v>0</v>
      </c>
      <c r="BJ4">
        <v>0</v>
      </c>
      <c r="BK4">
        <v>32.640514176275602</v>
      </c>
    </row>
    <row r="5" spans="1:63" hidden="1" x14ac:dyDescent="0.45">
      <c r="A5">
        <v>10</v>
      </c>
      <c r="B5" t="s">
        <v>60</v>
      </c>
      <c r="C5" s="9">
        <f>(Table1[[#This Row],[rWins]]*3+Table1[[#This Row],[rDraws]])*100</f>
        <v>418.1793700968197</v>
      </c>
      <c r="D5" s="1">
        <f>Table1[[#This Row],[Points]]/Table1[[#This Row],[xPoints]]</f>
        <v>1.0444642154604626</v>
      </c>
      <c r="E5">
        <v>376</v>
      </c>
      <c r="F5">
        <v>359.99318543837001</v>
      </c>
      <c r="G5">
        <f>Table1[[#This Row],[Wins]]+Table1[[#This Row],[Draws]]+Table1[[#This Row],[Losses]]</f>
        <v>317</v>
      </c>
      <c r="H5" s="1">
        <f>Table1[[#This Row],[Wins]]/Table1[[#This Row],[xWins]]</f>
        <v>1.0201328013491646</v>
      </c>
      <c r="I5">
        <v>93</v>
      </c>
      <c r="J5" s="1">
        <f>Table1[[#This Row],[Draws]]/Table1[[#This Row],[xDraws]]</f>
        <v>1.1213952969207035</v>
      </c>
      <c r="K5">
        <v>97</v>
      </c>
      <c r="L5" s="1">
        <f>Table1[[#This Row],[Losses]]/Table1[[#This Row],[xLosses]]</f>
        <v>0.91146569838980196</v>
      </c>
      <c r="M5">
        <v>127</v>
      </c>
      <c r="N5">
        <v>91.164601194083701</v>
      </c>
      <c r="O5">
        <v>86.499381856119101</v>
      </c>
      <c r="P5">
        <v>139.336016949797</v>
      </c>
      <c r="Q5" s="5">
        <f>Table1[[#This Row],[GoalsF_Diff]]+Table1[[#This Row],[GoalsA_Diff]]</f>
        <v>36.686821293614727</v>
      </c>
      <c r="R5">
        <v>-65</v>
      </c>
      <c r="S5">
        <v>-101.686821293614</v>
      </c>
      <c r="T5">
        <v>0.123614966659829</v>
      </c>
      <c r="U5">
        <v>36.563206326954898</v>
      </c>
      <c r="V5" s="5">
        <f>Table1[[#This Row],[GPM]]*17</f>
        <v>19.252365930599371</v>
      </c>
      <c r="W5" s="8">
        <f>Table1[[#This Row],[GoalsF]]/Table1[[#This Row],[Matches]]</f>
        <v>1.1324921135646688</v>
      </c>
      <c r="X5" s="1">
        <f>Table1[[#This Row],[GoalsF]]/Table1[[#This Row],[xGoalsF]]</f>
        <v>1.0003444499883951</v>
      </c>
      <c r="Y5">
        <v>359</v>
      </c>
      <c r="Z5">
        <v>358.87638503334</v>
      </c>
      <c r="AA5" s="1">
        <f>Table1[[#This Row],[GoalsA]]/Table1[[#This Row],[xGoalsA]]</f>
        <v>0.92061196851014238</v>
      </c>
      <c r="AB5">
        <v>424</v>
      </c>
      <c r="AC5">
        <v>460.563206326954</v>
      </c>
      <c r="AD5">
        <v>4</v>
      </c>
      <c r="AE5">
        <v>157.64263751449801</v>
      </c>
      <c r="AF5">
        <v>7</v>
      </c>
      <c r="AG5">
        <v>201.55536953505501</v>
      </c>
      <c r="AH5">
        <v>6.61873604721505E-2</v>
      </c>
      <c r="AI5">
        <v>221</v>
      </c>
      <c r="AJ5">
        <v>3339.0060945698101</v>
      </c>
      <c r="AK5">
        <v>5.3747435463761997E-2</v>
      </c>
      <c r="AL5">
        <v>206</v>
      </c>
      <c r="AM5">
        <v>3832.7410084317498</v>
      </c>
      <c r="AN5">
        <v>4.7120920785663399E-2</v>
      </c>
      <c r="AO5">
        <v>66</v>
      </c>
      <c r="AP5">
        <v>1400.6517466033999</v>
      </c>
      <c r="AQ5">
        <v>3.4534402025961003E-2</v>
      </c>
      <c r="AR5">
        <v>57</v>
      </c>
      <c r="AS5">
        <v>1650.5280721858301</v>
      </c>
      <c r="AT5">
        <v>6.0752165053420501E-2</v>
      </c>
      <c r="AU5">
        <v>254</v>
      </c>
      <c r="AV5">
        <v>4180.9209560951904</v>
      </c>
      <c r="AW5">
        <v>5.2213342194289497E-2</v>
      </c>
      <c r="AX5">
        <v>214</v>
      </c>
      <c r="AY5">
        <v>4098.5692738015296</v>
      </c>
      <c r="AZ5">
        <v>5.7517004255533501E-2</v>
      </c>
      <c r="BA5">
        <v>33</v>
      </c>
      <c r="BB5">
        <v>573.74337254056798</v>
      </c>
      <c r="BC5">
        <v>5.5010195873751E-2</v>
      </c>
      <c r="BD5">
        <v>29</v>
      </c>
      <c r="BE5">
        <v>527.17499982285597</v>
      </c>
      <c r="BF5">
        <v>0.141041853626379</v>
      </c>
      <c r="BG5">
        <v>5</v>
      </c>
      <c r="BH5">
        <v>35.450469994849897</v>
      </c>
      <c r="BI5">
        <v>0.16241077194397899</v>
      </c>
      <c r="BJ5">
        <v>5</v>
      </c>
      <c r="BK5">
        <v>30.7861353046499</v>
      </c>
    </row>
    <row r="6" spans="1:63" hidden="1" x14ac:dyDescent="0.45">
      <c r="A6">
        <v>22</v>
      </c>
      <c r="B6" s="4" t="s">
        <v>72</v>
      </c>
      <c r="C6" s="10">
        <f>(Table1[[#This Row],[rWins]]*3+Table1[[#This Row],[rDraws]])*100</f>
        <v>415.99351337183953</v>
      </c>
      <c r="D6" s="1">
        <f>Table1[[#This Row],[Points]]/Table1[[#This Row],[xPoints]]</f>
        <v>1.0413504049916738</v>
      </c>
      <c r="E6">
        <v>355</v>
      </c>
      <c r="F6">
        <v>340.90350212408902</v>
      </c>
      <c r="G6">
        <f>Table1[[#This Row],[Wins]]+Table1[[#This Row],[Draws]]+Table1[[#This Row],[Losses]]</f>
        <v>266</v>
      </c>
      <c r="H6" s="1">
        <f>Table1[[#This Row],[Wins]]/Table1[[#This Row],[xWins]]</f>
        <v>1.0488080295072093</v>
      </c>
      <c r="I6">
        <v>94</v>
      </c>
      <c r="J6" s="1">
        <f>Table1[[#This Row],[Draws]]/Table1[[#This Row],[xDraws]]</f>
        <v>1.013511045196767</v>
      </c>
      <c r="K6">
        <v>73</v>
      </c>
      <c r="L6" s="1">
        <f>Table1[[#This Row],[Losses]]/Table1[[#This Row],[xLosses]]</f>
        <v>0.94875201406770449</v>
      </c>
      <c r="M6">
        <v>99</v>
      </c>
      <c r="N6">
        <v>89.625553347609895</v>
      </c>
      <c r="O6">
        <v>72.026842081259701</v>
      </c>
      <c r="P6">
        <v>104.34760457113001</v>
      </c>
      <c r="Q6" s="5">
        <f>Table1[[#This Row],[GoalsF_Diff]]+Table1[[#This Row],[GoalsA_Diff]]</f>
        <v>20.988550222249103</v>
      </c>
      <c r="R6">
        <v>-10</v>
      </c>
      <c r="S6">
        <v>-30.988550222249099</v>
      </c>
      <c r="T6">
        <v>40.942257824047601</v>
      </c>
      <c r="U6">
        <v>-19.953707601798499</v>
      </c>
      <c r="V6" s="5">
        <f>Table1[[#This Row],[GPM]]*17</f>
        <v>23.390977443609025</v>
      </c>
      <c r="W6" s="8">
        <f>Table1[[#This Row],[GoalsF]]/Table1[[#This Row],[Matches]]</f>
        <v>1.3759398496240602</v>
      </c>
      <c r="X6" s="1">
        <f>Table1[[#This Row],[GoalsF]]/Table1[[#This Row],[xGoalsF]]</f>
        <v>1.1259537999309863</v>
      </c>
      <c r="Y6">
        <v>366</v>
      </c>
      <c r="Z6">
        <v>325.057742175952</v>
      </c>
      <c r="AA6" s="1">
        <f>Table1[[#This Row],[GoalsA]]/Table1[[#This Row],[xGoalsA]]</f>
        <v>1.0560424529838464</v>
      </c>
      <c r="AB6">
        <v>376</v>
      </c>
      <c r="AC6">
        <v>356.04629239820099</v>
      </c>
      <c r="AD6">
        <v>0</v>
      </c>
      <c r="AE6">
        <v>142.48920677984199</v>
      </c>
      <c r="AF6">
        <v>0</v>
      </c>
      <c r="AG6">
        <v>155.97891920882401</v>
      </c>
      <c r="AH6">
        <v>0</v>
      </c>
      <c r="AI6">
        <v>0</v>
      </c>
      <c r="AJ6">
        <v>2918.30738204914</v>
      </c>
      <c r="AK6">
        <v>0</v>
      </c>
      <c r="AL6">
        <v>0</v>
      </c>
      <c r="AM6">
        <v>3068.6051128100798</v>
      </c>
      <c r="AN6">
        <v>0</v>
      </c>
      <c r="AO6">
        <v>0</v>
      </c>
      <c r="AP6">
        <v>1242.45636843282</v>
      </c>
      <c r="AQ6">
        <v>0</v>
      </c>
      <c r="AR6">
        <v>0</v>
      </c>
      <c r="AS6">
        <v>1317.38994682263</v>
      </c>
      <c r="AT6">
        <v>0</v>
      </c>
      <c r="AU6">
        <v>0</v>
      </c>
      <c r="AV6">
        <v>3493.4933707495202</v>
      </c>
      <c r="AW6">
        <v>0</v>
      </c>
      <c r="AX6">
        <v>0</v>
      </c>
      <c r="AY6">
        <v>3467.6210340197899</v>
      </c>
      <c r="AZ6">
        <v>0</v>
      </c>
      <c r="BA6">
        <v>0</v>
      </c>
      <c r="BB6">
        <v>469.01980337745402</v>
      </c>
      <c r="BC6">
        <v>0</v>
      </c>
      <c r="BD6">
        <v>0</v>
      </c>
      <c r="BE6">
        <v>454.41190866570201</v>
      </c>
      <c r="BF6">
        <v>0</v>
      </c>
      <c r="BG6">
        <v>0</v>
      </c>
      <c r="BH6">
        <v>28.760749174844602</v>
      </c>
      <c r="BI6">
        <v>0</v>
      </c>
      <c r="BJ6">
        <v>0</v>
      </c>
      <c r="BK6">
        <v>27.4210357098471</v>
      </c>
    </row>
    <row r="7" spans="1:63" hidden="1" x14ac:dyDescent="0.45">
      <c r="A7">
        <v>14</v>
      </c>
      <c r="B7" t="s">
        <v>64</v>
      </c>
      <c r="C7" s="9">
        <f>(Table1[[#This Row],[rWins]]*3+Table1[[#This Row],[rDraws]])*100</f>
        <v>415.17910679170899</v>
      </c>
      <c r="D7" s="1">
        <f>Table1[[#This Row],[Points]]/Table1[[#This Row],[xPoints]]</f>
        <v>1.0383860592811527</v>
      </c>
      <c r="E7">
        <v>57</v>
      </c>
      <c r="F7">
        <v>54.892878703956796</v>
      </c>
      <c r="G7">
        <f>Table1[[#This Row],[Wins]]+Table1[[#This Row],[Draws]]+Table1[[#This Row],[Losses]]</f>
        <v>51</v>
      </c>
      <c r="H7" s="1">
        <f>Table1[[#This Row],[Wins]]/Table1[[#This Row],[xWins]]</f>
        <v>1.0899773341041368</v>
      </c>
      <c r="I7">
        <v>15</v>
      </c>
      <c r="J7" s="1">
        <f>Table1[[#This Row],[Draws]]/Table1[[#This Row],[xDraws]]</f>
        <v>0.88185906560467986</v>
      </c>
      <c r="K7">
        <v>12</v>
      </c>
      <c r="L7" s="1">
        <f>Table1[[#This Row],[Losses]]/Table1[[#This Row],[xLosses]]</f>
        <v>1.0156310093517675</v>
      </c>
      <c r="M7">
        <v>24</v>
      </c>
      <c r="N7">
        <v>13.761754057325099</v>
      </c>
      <c r="O7">
        <v>13.607616531981501</v>
      </c>
      <c r="P7">
        <v>23.630629410693299</v>
      </c>
      <c r="Q7" s="5">
        <f>Table1[[#This Row],[GoalsF_Diff]]+Table1[[#This Row],[GoalsA_Diff]]</f>
        <v>1.8560305938711199</v>
      </c>
      <c r="R7">
        <v>-20</v>
      </c>
      <c r="S7">
        <v>-21.8560305938711</v>
      </c>
      <c r="T7">
        <v>5.27158795251942</v>
      </c>
      <c r="U7">
        <v>-3.4155573586483001</v>
      </c>
      <c r="V7" s="5">
        <f>Table1[[#This Row],[GPM]]*17</f>
        <v>20.333333333333332</v>
      </c>
      <c r="W7" s="8">
        <f>Table1[[#This Row],[GoalsF]]/Table1[[#This Row],[Matches]]</f>
        <v>1.196078431372549</v>
      </c>
      <c r="X7" s="1">
        <f>Table1[[#This Row],[GoalsF]]/Table1[[#This Row],[xGoalsF]]</f>
        <v>1.094594260967424</v>
      </c>
      <c r="Y7">
        <v>61</v>
      </c>
      <c r="Z7">
        <v>55.728412047480496</v>
      </c>
      <c r="AA7" s="1">
        <f>Table1[[#This Row],[GoalsA]]/Table1[[#This Row],[xGoalsA]]</f>
        <v>1.0440237403578103</v>
      </c>
      <c r="AB7">
        <v>81</v>
      </c>
      <c r="AC7">
        <v>77.5844426413517</v>
      </c>
      <c r="AD7">
        <v>9</v>
      </c>
      <c r="AE7">
        <v>24.5659648733788</v>
      </c>
      <c r="AF7">
        <v>13</v>
      </c>
      <c r="AG7">
        <v>34.0672696164537</v>
      </c>
      <c r="AH7">
        <v>0.24968509700672301</v>
      </c>
      <c r="AI7">
        <v>132</v>
      </c>
      <c r="AJ7">
        <v>528.66591391494001</v>
      </c>
      <c r="AK7">
        <v>0.39551756783220599</v>
      </c>
      <c r="AL7">
        <v>251</v>
      </c>
      <c r="AM7">
        <v>634.61150758917302</v>
      </c>
      <c r="AN7">
        <v>0.182331688202928</v>
      </c>
      <c r="AO7">
        <v>40</v>
      </c>
      <c r="AP7">
        <v>219.38040718123199</v>
      </c>
      <c r="AQ7">
        <v>0.28212855312574597</v>
      </c>
      <c r="AR7">
        <v>77</v>
      </c>
      <c r="AS7">
        <v>272.92522910887499</v>
      </c>
      <c r="AT7">
        <v>0.32050596223952998</v>
      </c>
      <c r="AU7">
        <v>216</v>
      </c>
      <c r="AV7">
        <v>673.93442072248195</v>
      </c>
      <c r="AW7">
        <v>0.33316485644959598</v>
      </c>
      <c r="AX7">
        <v>219</v>
      </c>
      <c r="AY7">
        <v>657.33223586003203</v>
      </c>
      <c r="AZ7">
        <v>0.429666266485561</v>
      </c>
      <c r="BA7">
        <v>40</v>
      </c>
      <c r="BB7">
        <v>93.095509515276603</v>
      </c>
      <c r="BC7">
        <v>0.32203214268237601</v>
      </c>
      <c r="BD7">
        <v>27</v>
      </c>
      <c r="BE7">
        <v>83.842562345182898</v>
      </c>
      <c r="BF7">
        <v>0.351247272153204</v>
      </c>
      <c r="BG7">
        <v>2</v>
      </c>
      <c r="BH7">
        <v>5.69399439813344</v>
      </c>
      <c r="BI7">
        <v>0.61809393258853595</v>
      </c>
      <c r="BJ7">
        <v>3</v>
      </c>
      <c r="BK7">
        <v>4.8536312068882399</v>
      </c>
    </row>
    <row r="8" spans="1:63" hidden="1" x14ac:dyDescent="0.45">
      <c r="A8">
        <v>17</v>
      </c>
      <c r="B8" t="s">
        <v>67</v>
      </c>
      <c r="C8" s="9">
        <f>(Table1[[#This Row],[rWins]]*3+Table1[[#This Row],[rDraws]])*100</f>
        <v>413.66801570608612</v>
      </c>
      <c r="D8" s="1">
        <f>Table1[[#This Row],[Points]]/Table1[[#This Row],[xPoints]]</f>
        <v>1.0303988361308265</v>
      </c>
      <c r="E8">
        <v>233</v>
      </c>
      <c r="F8">
        <v>226.12603181397299</v>
      </c>
      <c r="G8">
        <f>Table1[[#This Row],[Wins]]+Table1[[#This Row],[Draws]]+Table1[[#This Row],[Losses]]</f>
        <v>181</v>
      </c>
      <c r="H8" s="1">
        <f>Table1[[#This Row],[Wins]]/Table1[[#This Row],[xWins]]</f>
        <v>1.003091983193614</v>
      </c>
      <c r="I8">
        <v>59</v>
      </c>
      <c r="J8" s="1">
        <f>Table1[[#This Row],[Draws]]/Table1[[#This Row],[xDraws]]</f>
        <v>1.1274042074800192</v>
      </c>
      <c r="K8">
        <v>56</v>
      </c>
      <c r="L8" s="1">
        <f>Table1[[#This Row],[Losses]]/Table1[[#This Row],[xLosses]]</f>
        <v>0.9102162822693407</v>
      </c>
      <c r="M8">
        <v>66</v>
      </c>
      <c r="N8">
        <v>58.818135314129002</v>
      </c>
      <c r="O8">
        <v>49.6716258715865</v>
      </c>
      <c r="P8">
        <v>72.510238814284406</v>
      </c>
      <c r="Q8" s="5">
        <f>Table1[[#This Row],[GoalsF_Diff]]+Table1[[#This Row],[GoalsA_Diff]]</f>
        <v>23.624332167087609</v>
      </c>
      <c r="R8">
        <v>-5</v>
      </c>
      <c r="S8">
        <v>-28.624332167087601</v>
      </c>
      <c r="T8">
        <v>9.1064890752573096</v>
      </c>
      <c r="U8">
        <v>14.517843091830301</v>
      </c>
      <c r="V8" s="5">
        <f>Table1[[#This Row],[GPM]]*17</f>
        <v>21.320441988950275</v>
      </c>
      <c r="W8" s="8">
        <f>Table1[[#This Row],[GoalsF]]/Table1[[#This Row],[Matches]]</f>
        <v>1.2541436464088398</v>
      </c>
      <c r="X8" s="1">
        <f>Table1[[#This Row],[GoalsF]]/Table1[[#This Row],[xGoalsF]]</f>
        <v>1.0417933009414093</v>
      </c>
      <c r="Y8">
        <v>227</v>
      </c>
      <c r="Z8">
        <v>217.893510924742</v>
      </c>
      <c r="AA8" s="1">
        <f>Table1[[#This Row],[GoalsA]]/Table1[[#This Row],[xGoalsA]]</f>
        <v>0.9411083477376444</v>
      </c>
      <c r="AB8">
        <v>232</v>
      </c>
      <c r="AC8">
        <v>246.51784309183</v>
      </c>
      <c r="AD8">
        <v>4</v>
      </c>
      <c r="AE8">
        <v>95.556997024686694</v>
      </c>
      <c r="AF8">
        <v>11</v>
      </c>
      <c r="AG8">
        <v>107.997784326708</v>
      </c>
      <c r="AH8">
        <v>0.12602918010964101</v>
      </c>
      <c r="AI8">
        <v>248</v>
      </c>
      <c r="AJ8">
        <v>1967.7982494549899</v>
      </c>
      <c r="AK8">
        <v>9.4872814558489907E-2</v>
      </c>
      <c r="AL8">
        <v>200</v>
      </c>
      <c r="AM8">
        <v>2108.0854503024998</v>
      </c>
      <c r="AN8">
        <v>9.4655335169382904E-2</v>
      </c>
      <c r="AO8">
        <v>79</v>
      </c>
      <c r="AP8">
        <v>834.60694379911899</v>
      </c>
      <c r="AQ8">
        <v>7.6129483944990306E-2</v>
      </c>
      <c r="AR8">
        <v>69</v>
      </c>
      <c r="AS8">
        <v>906.35055466628398</v>
      </c>
      <c r="AT8">
        <v>0.103504641211851</v>
      </c>
      <c r="AU8">
        <v>246</v>
      </c>
      <c r="AV8">
        <v>2376.7050165073401</v>
      </c>
      <c r="AW8">
        <v>7.9050527381416394E-2</v>
      </c>
      <c r="AX8">
        <v>186</v>
      </c>
      <c r="AY8">
        <v>2352.92547894785</v>
      </c>
      <c r="AZ8">
        <v>8.4059355274216402E-2</v>
      </c>
      <c r="BA8">
        <v>27</v>
      </c>
      <c r="BB8">
        <v>321.201607030189</v>
      </c>
      <c r="BC8">
        <v>0.100820425927096</v>
      </c>
      <c r="BD8">
        <v>31</v>
      </c>
      <c r="BE8">
        <v>307.47737588825498</v>
      </c>
      <c r="BF8">
        <v>5.0775596510736203E-2</v>
      </c>
      <c r="BG8">
        <v>1</v>
      </c>
      <c r="BH8">
        <v>19.694500285950401</v>
      </c>
      <c r="BI8">
        <v>0.107804470121782</v>
      </c>
      <c r="BJ8">
        <v>2</v>
      </c>
      <c r="BK8">
        <v>18.552106399119399</v>
      </c>
    </row>
    <row r="9" spans="1:63" hidden="1" x14ac:dyDescent="0.45">
      <c r="A9">
        <v>2</v>
      </c>
      <c r="B9" t="s">
        <v>52</v>
      </c>
      <c r="C9" s="9">
        <f>(Table1[[#This Row],[rWins]]*3+Table1[[#This Row],[rDraws]])*100</f>
        <v>413.03381313580098</v>
      </c>
      <c r="D9" s="1">
        <f>Table1[[#This Row],[Points]]/Table1[[#This Row],[xPoints]]</f>
        <v>1.0161473621971349</v>
      </c>
      <c r="E9">
        <v>472</v>
      </c>
      <c r="F9">
        <v>464.499557406154</v>
      </c>
      <c r="G9">
        <f>Table1[[#This Row],[Wins]]+Table1[[#This Row],[Draws]]+Table1[[#This Row],[Losses]]</f>
        <v>317</v>
      </c>
      <c r="H9" s="1">
        <f>Table1[[#This Row],[Wins]]/Table1[[#This Row],[xWins]]</f>
        <v>0.97172384373856358</v>
      </c>
      <c r="I9">
        <v>123</v>
      </c>
      <c r="J9" s="1">
        <f>Table1[[#This Row],[Draws]]/Table1[[#This Row],[xDraws]]</f>
        <v>1.2151666001423189</v>
      </c>
      <c r="K9">
        <v>103</v>
      </c>
      <c r="L9" s="1">
        <f>Table1[[#This Row],[Losses]]/Table1[[#This Row],[xLosses]]</f>
        <v>0.86126295920453144</v>
      </c>
      <c r="M9">
        <v>91</v>
      </c>
      <c r="N9">
        <v>126.57917245992</v>
      </c>
      <c r="O9">
        <v>84.762040026393706</v>
      </c>
      <c r="P9">
        <v>105.65878751368599</v>
      </c>
      <c r="Q9" s="5">
        <f>Table1[[#This Row],[GoalsF_Diff]]+Table1[[#This Row],[GoalsA_Diff]]</f>
        <v>14.303498663344698</v>
      </c>
      <c r="R9">
        <v>58</v>
      </c>
      <c r="S9">
        <v>43.696501336655203</v>
      </c>
      <c r="T9">
        <v>28.299267098141598</v>
      </c>
      <c r="U9">
        <v>-13.995768434796901</v>
      </c>
      <c r="V9" s="5">
        <f>Table1[[#This Row],[GPM]]*17</f>
        <v>24.50788643533123</v>
      </c>
      <c r="W9" s="8">
        <f>Table1[[#This Row],[GoalsF]]/Table1[[#This Row],[Matches]]</f>
        <v>1.4416403785488958</v>
      </c>
      <c r="X9" s="1">
        <f>Table1[[#This Row],[GoalsF]]/Table1[[#This Row],[xGoalsF]]</f>
        <v>1.066011706830043</v>
      </c>
      <c r="Y9">
        <v>457</v>
      </c>
      <c r="Z9">
        <v>428.70073290185798</v>
      </c>
      <c r="AA9" s="1">
        <f>Table1[[#This Row],[GoalsA]]/Table1[[#This Row],[xGoalsA]]</f>
        <v>1.0363522457348024</v>
      </c>
      <c r="AB9">
        <v>399</v>
      </c>
      <c r="AC9">
        <v>385.00423156520299</v>
      </c>
      <c r="AD9">
        <v>10</v>
      </c>
      <c r="AE9">
        <v>187.73333836296999</v>
      </c>
      <c r="AF9">
        <v>4</v>
      </c>
      <c r="AG9">
        <v>168.69388220213801</v>
      </c>
      <c r="AH9">
        <v>6.79570659651971E-2</v>
      </c>
      <c r="AI9">
        <v>250</v>
      </c>
      <c r="AJ9">
        <v>3678.7933152975202</v>
      </c>
      <c r="AK9">
        <v>6.4684310737864403E-2</v>
      </c>
      <c r="AL9">
        <v>224</v>
      </c>
      <c r="AM9">
        <v>3462.9726659338999</v>
      </c>
      <c r="AN9">
        <v>4.6826825837563202E-2</v>
      </c>
      <c r="AO9">
        <v>74</v>
      </c>
      <c r="AP9">
        <v>1580.2907559162099</v>
      </c>
      <c r="AQ9">
        <v>4.2134168872827601E-2</v>
      </c>
      <c r="AR9">
        <v>62</v>
      </c>
      <c r="AS9">
        <v>1471.4898064592801</v>
      </c>
      <c r="AT9">
        <v>5.5466900791517101E-2</v>
      </c>
      <c r="AU9">
        <v>229</v>
      </c>
      <c r="AV9">
        <v>4128.5883424556096</v>
      </c>
      <c r="AW9">
        <v>6.4833872205114607E-2</v>
      </c>
      <c r="AX9">
        <v>270</v>
      </c>
      <c r="AY9">
        <v>4164.4898078245596</v>
      </c>
      <c r="AZ9">
        <v>5.9304053061400901E-2</v>
      </c>
      <c r="BA9">
        <v>32</v>
      </c>
      <c r="BB9">
        <v>539.59212478898405</v>
      </c>
      <c r="BC9">
        <v>8.7546840682563298E-2</v>
      </c>
      <c r="BD9">
        <v>49</v>
      </c>
      <c r="BE9">
        <v>559.70038002478395</v>
      </c>
      <c r="BF9">
        <v>6.1441257750428802E-2</v>
      </c>
      <c r="BG9">
        <v>2</v>
      </c>
      <c r="BH9">
        <v>32.551416966818799</v>
      </c>
      <c r="BI9">
        <v>0.14584290467570399</v>
      </c>
      <c r="BJ9">
        <v>5</v>
      </c>
      <c r="BK9">
        <v>34.283464191267797</v>
      </c>
    </row>
    <row r="10" spans="1:63" hidden="1" x14ac:dyDescent="0.45">
      <c r="A10">
        <v>1</v>
      </c>
      <c r="B10" s="4" t="s">
        <v>51</v>
      </c>
      <c r="C10" s="10">
        <f>(Table1[[#This Row],[rWins]]*3+Table1[[#This Row],[rDraws]])*100</f>
        <v>406.05583011938666</v>
      </c>
      <c r="D10" s="1">
        <f>Table1[[#This Row],[Points]]/Table1[[#This Row],[xPoints]]</f>
        <v>1.0140737421733428</v>
      </c>
      <c r="E10">
        <v>204</v>
      </c>
      <c r="F10">
        <v>201.168802145287</v>
      </c>
      <c r="G10">
        <f>Table1[[#This Row],[Wins]]+Table1[[#This Row],[Draws]]+Table1[[#This Row],[Losses]]</f>
        <v>170</v>
      </c>
      <c r="H10" s="1">
        <f>Table1[[#This Row],[Wins]]/Table1[[#This Row],[xWins]]</f>
        <v>1.0034527445979831</v>
      </c>
      <c r="I10">
        <v>52</v>
      </c>
      <c r="J10" s="1">
        <f>Table1[[#This Row],[Draws]]/Table1[[#This Row],[xDraws]]</f>
        <v>1.0502000673999179</v>
      </c>
      <c r="K10">
        <v>48</v>
      </c>
      <c r="L10" s="1">
        <f>Table1[[#This Row],[Losses]]/Table1[[#This Row],[xLosses]]</f>
        <v>0.96587230961927872</v>
      </c>
      <c r="M10">
        <v>70</v>
      </c>
      <c r="N10">
        <v>51.821075063014497</v>
      </c>
      <c r="O10">
        <v>45.7055769562444</v>
      </c>
      <c r="P10">
        <v>72.473347980740996</v>
      </c>
      <c r="Q10" s="5">
        <f>Table1[[#This Row],[GoalsF_Diff]]+Table1[[#This Row],[GoalsA_Diff]]</f>
        <v>-15.244523671660899</v>
      </c>
      <c r="R10">
        <v>-60</v>
      </c>
      <c r="S10">
        <v>-44.755476328339</v>
      </c>
      <c r="T10">
        <v>14.6405085824971</v>
      </c>
      <c r="U10">
        <v>-29.885032254157998</v>
      </c>
      <c r="V10" s="5">
        <f>Table1[[#This Row],[GPM]]*17</f>
        <v>21.2</v>
      </c>
      <c r="W10" s="8">
        <f>Table1[[#This Row],[GoalsF]]/Table1[[#This Row],[Matches]]</f>
        <v>1.2470588235294118</v>
      </c>
      <c r="X10" s="1">
        <f>Table1[[#This Row],[GoalsF]]/Table1[[#This Row],[xGoalsF]]</f>
        <v>1.0741819330671405</v>
      </c>
      <c r="Y10">
        <v>212</v>
      </c>
      <c r="Z10">
        <v>197.359491417502</v>
      </c>
      <c r="AA10" s="1">
        <f>Table1[[#This Row],[GoalsA]]/Table1[[#This Row],[xGoalsA]]</f>
        <v>1.1234332289837226</v>
      </c>
      <c r="AB10">
        <v>272</v>
      </c>
      <c r="AC10">
        <v>242.114967745841</v>
      </c>
      <c r="AD10">
        <v>0</v>
      </c>
      <c r="AE10">
        <v>86.481450886225602</v>
      </c>
      <c r="AF10">
        <v>0</v>
      </c>
      <c r="AG10">
        <v>105.943152221616</v>
      </c>
      <c r="AH10">
        <v>0</v>
      </c>
      <c r="AI10">
        <v>0</v>
      </c>
      <c r="AJ10">
        <v>1814.56172370025</v>
      </c>
      <c r="AK10">
        <v>0</v>
      </c>
      <c r="AL10">
        <v>0</v>
      </c>
      <c r="AM10">
        <v>2032.2206158014801</v>
      </c>
      <c r="AN10">
        <v>0</v>
      </c>
      <c r="AO10">
        <v>0</v>
      </c>
      <c r="AP10">
        <v>765.98849084194205</v>
      </c>
      <c r="AQ10">
        <v>0</v>
      </c>
      <c r="AR10">
        <v>0</v>
      </c>
      <c r="AS10">
        <v>876.98894405141095</v>
      </c>
      <c r="AT10">
        <v>0</v>
      </c>
      <c r="AU10">
        <v>0</v>
      </c>
      <c r="AV10">
        <v>2241.1252095349901</v>
      </c>
      <c r="AW10">
        <v>0</v>
      </c>
      <c r="AX10">
        <v>0</v>
      </c>
      <c r="AY10">
        <v>2205.47664162192</v>
      </c>
      <c r="AZ10">
        <v>0</v>
      </c>
      <c r="BA10">
        <v>0</v>
      </c>
      <c r="BB10">
        <v>304.16304236096897</v>
      </c>
      <c r="BC10">
        <v>0</v>
      </c>
      <c r="BD10">
        <v>0</v>
      </c>
      <c r="BE10">
        <v>284.47143063223399</v>
      </c>
      <c r="BF10">
        <v>0</v>
      </c>
      <c r="BG10">
        <v>0</v>
      </c>
      <c r="BH10">
        <v>18.7090285084094</v>
      </c>
      <c r="BI10">
        <v>0</v>
      </c>
      <c r="BJ10">
        <v>0</v>
      </c>
      <c r="BK10">
        <v>16.888895535430201</v>
      </c>
    </row>
    <row r="11" spans="1:63" hidden="1" x14ac:dyDescent="0.45">
      <c r="A11">
        <v>8</v>
      </c>
      <c r="B11" t="s">
        <v>58</v>
      </c>
      <c r="C11" s="9">
        <f>(Table1[[#This Row],[rWins]]*3+Table1[[#This Row],[rDraws]])*100</f>
        <v>402.40770188654642</v>
      </c>
      <c r="D11" s="1">
        <f>Table1[[#This Row],[Points]]/Table1[[#This Row],[xPoints]]</f>
        <v>1.0270720800099371</v>
      </c>
      <c r="E11">
        <v>502</v>
      </c>
      <c r="F11">
        <v>488.76803271211799</v>
      </c>
      <c r="G11">
        <f>Table1[[#This Row],[Wins]]+Table1[[#This Row],[Draws]]+Table1[[#This Row],[Losses]]</f>
        <v>317</v>
      </c>
      <c r="H11" s="1">
        <f>Table1[[#This Row],[Wins]]/Table1[[#This Row],[xWins]]</f>
        <v>1.0710087412720599</v>
      </c>
      <c r="I11">
        <v>145</v>
      </c>
      <c r="J11" s="1">
        <f>Table1[[#This Row],[Draws]]/Table1[[#This Row],[xDraws]]</f>
        <v>0.81105079504928357</v>
      </c>
      <c r="K11">
        <v>67</v>
      </c>
      <c r="L11" s="1">
        <f>Table1[[#This Row],[Losses]]/Table1[[#This Row],[xLosses]]</f>
        <v>1.0605553472487277</v>
      </c>
      <c r="M11">
        <v>105</v>
      </c>
      <c r="N11">
        <v>135.38638333407101</v>
      </c>
      <c r="O11">
        <v>82.608882709903199</v>
      </c>
      <c r="P11">
        <v>99.004733956025007</v>
      </c>
      <c r="Q11" s="5">
        <f>Table1[[#This Row],[GoalsF_Diff]]+Table1[[#This Row],[GoalsA_Diff]]</f>
        <v>20.030221370169599</v>
      </c>
      <c r="R11">
        <v>98</v>
      </c>
      <c r="S11">
        <v>77.969778629830401</v>
      </c>
      <c r="T11">
        <v>52.868768121882098</v>
      </c>
      <c r="U11">
        <v>-32.838546751712499</v>
      </c>
      <c r="V11" s="5">
        <f>Table1[[#This Row],[GPM]]*17</f>
        <v>26.921135646687695</v>
      </c>
      <c r="W11" s="8">
        <f>Table1[[#This Row],[GoalsF]]/Table1[[#This Row],[Matches]]</f>
        <v>1.5835962145110409</v>
      </c>
      <c r="X11" s="1">
        <f>Table1[[#This Row],[GoalsF]]/Table1[[#This Row],[xGoalsF]]</f>
        <v>1.1177134083969256</v>
      </c>
      <c r="Y11">
        <v>502</v>
      </c>
      <c r="Z11">
        <v>449.13123187811698</v>
      </c>
      <c r="AA11" s="1">
        <f>Table1[[#This Row],[GoalsA]]/Table1[[#This Row],[xGoalsA]]</f>
        <v>1.088475100160107</v>
      </c>
      <c r="AB11">
        <v>404</v>
      </c>
      <c r="AC11">
        <v>371.16145324828699</v>
      </c>
      <c r="AD11">
        <v>11</v>
      </c>
      <c r="AE11">
        <v>196.526953178046</v>
      </c>
      <c r="AF11">
        <v>4</v>
      </c>
      <c r="AG11">
        <v>162.82745396783801</v>
      </c>
      <c r="AH11">
        <v>5.0091671513898102E-2</v>
      </c>
      <c r="AI11">
        <v>189</v>
      </c>
      <c r="AJ11">
        <v>3773.0823166394198</v>
      </c>
      <c r="AK11">
        <v>5.5613438009966799E-2</v>
      </c>
      <c r="AL11">
        <v>189</v>
      </c>
      <c r="AM11">
        <v>3398.45919912608</v>
      </c>
      <c r="AN11">
        <v>3.3792328007558298E-2</v>
      </c>
      <c r="AO11">
        <v>55</v>
      </c>
      <c r="AP11">
        <v>1627.5883682147601</v>
      </c>
      <c r="AQ11">
        <v>4.5953681405112398E-2</v>
      </c>
      <c r="AR11">
        <v>66</v>
      </c>
      <c r="AS11">
        <v>1436.2287847662401</v>
      </c>
      <c r="AT11">
        <v>4.84470970985987E-2</v>
      </c>
      <c r="AU11">
        <v>199</v>
      </c>
      <c r="AV11">
        <v>4107.5732483000602</v>
      </c>
      <c r="AW11">
        <v>5.6564572052675698E-2</v>
      </c>
      <c r="AX11">
        <v>236</v>
      </c>
      <c r="AY11">
        <v>4172.2228496703701</v>
      </c>
      <c r="AZ11">
        <v>6.7769019052621601E-2</v>
      </c>
      <c r="BA11">
        <v>36</v>
      </c>
      <c r="BB11">
        <v>531.21618850711798</v>
      </c>
      <c r="BC11">
        <v>8.4911504793577605E-2</v>
      </c>
      <c r="BD11">
        <v>48</v>
      </c>
      <c r="BE11">
        <v>565.29442172399797</v>
      </c>
      <c r="BF11">
        <v>6.3528001370915604E-2</v>
      </c>
      <c r="BG11">
        <v>2</v>
      </c>
      <c r="BH11">
        <v>31.482180406129299</v>
      </c>
      <c r="BI11">
        <v>8.61480765337998E-2</v>
      </c>
      <c r="BJ11">
        <v>3</v>
      </c>
      <c r="BK11">
        <v>34.823760677035601</v>
      </c>
    </row>
    <row r="12" spans="1:63" hidden="1" x14ac:dyDescent="0.45">
      <c r="A12">
        <v>13</v>
      </c>
      <c r="B12" t="s">
        <v>63</v>
      </c>
      <c r="C12" s="9">
        <f>(Table1[[#This Row],[rWins]]*3+Table1[[#This Row],[rDraws]])*100</f>
        <v>400.71535313336074</v>
      </c>
      <c r="D12" s="1">
        <f>Table1[[#This Row],[Points]]/Table1[[#This Row],[xPoints]]</f>
        <v>0.98762414686477262</v>
      </c>
      <c r="E12">
        <v>501</v>
      </c>
      <c r="F12">
        <v>507.27799800200501</v>
      </c>
      <c r="G12">
        <f>Table1[[#This Row],[Wins]]+Table1[[#This Row],[Draws]]+Table1[[#This Row],[Losses]]</f>
        <v>317</v>
      </c>
      <c r="H12" s="1">
        <f>Table1[[#This Row],[Wins]]/Table1[[#This Row],[xWins]]</f>
        <v>0.95662156235621543</v>
      </c>
      <c r="I12">
        <v>134</v>
      </c>
      <c r="J12" s="1">
        <f>Table1[[#This Row],[Draws]]/Table1[[#This Row],[xDraws]]</f>
        <v>1.1372888442649605</v>
      </c>
      <c r="K12">
        <v>99</v>
      </c>
      <c r="L12" s="1">
        <f>Table1[[#This Row],[Losses]]/Table1[[#This Row],[xLosses]]</f>
        <v>0.93463576618012967</v>
      </c>
      <c r="M12">
        <v>84</v>
      </c>
      <c r="N12">
        <v>140.07629063885</v>
      </c>
      <c r="O12">
        <v>87.049126085453295</v>
      </c>
      <c r="P12">
        <v>89.874583275695997</v>
      </c>
      <c r="Q12" s="5">
        <f>Table1[[#This Row],[GoalsF_Diff]]+Table1[[#This Row],[GoalsA_Diff]]</f>
        <v>-10.591724582927801</v>
      </c>
      <c r="R12">
        <v>97</v>
      </c>
      <c r="S12">
        <v>107.591724582927</v>
      </c>
      <c r="T12">
        <v>-24.4709022289267</v>
      </c>
      <c r="U12">
        <v>13.879177645998899</v>
      </c>
      <c r="V12" s="5">
        <f>Table1[[#This Row],[GPM]]*17</f>
        <v>23.542586750788644</v>
      </c>
      <c r="W12" s="8">
        <f>Table1[[#This Row],[GoalsF]]/Table1[[#This Row],[Matches]]</f>
        <v>1.3848580441640379</v>
      </c>
      <c r="X12" s="1">
        <f>Table1[[#This Row],[GoalsF]]/Table1[[#This Row],[xGoalsF]]</f>
        <v>0.9472007797873816</v>
      </c>
      <c r="Y12">
        <v>439</v>
      </c>
      <c r="Z12">
        <v>463.47090222892598</v>
      </c>
      <c r="AA12" s="1">
        <f>Table1[[#This Row],[GoalsA]]/Table1[[#This Row],[xGoalsA]]</f>
        <v>0.96100030988661855</v>
      </c>
      <c r="AB12">
        <v>342</v>
      </c>
      <c r="AC12">
        <v>355.87917764599899</v>
      </c>
      <c r="AD12">
        <v>15</v>
      </c>
      <c r="AE12">
        <v>202.801056556183</v>
      </c>
      <c r="AF12">
        <v>10</v>
      </c>
      <c r="AG12">
        <v>156.14697728851201</v>
      </c>
      <c r="AH12">
        <v>4.3991956522033401E-2</v>
      </c>
      <c r="AI12">
        <v>169</v>
      </c>
      <c r="AJ12">
        <v>3841.6113617350902</v>
      </c>
      <c r="AK12">
        <v>5.7174683724952401E-2</v>
      </c>
      <c r="AL12">
        <v>190</v>
      </c>
      <c r="AM12">
        <v>3323.1491216291402</v>
      </c>
      <c r="AN12">
        <v>3.3767299397575001E-2</v>
      </c>
      <c r="AO12">
        <v>56</v>
      </c>
      <c r="AP12">
        <v>1658.40920058953</v>
      </c>
      <c r="AQ12">
        <v>4.3751271196651599E-2</v>
      </c>
      <c r="AR12">
        <v>61</v>
      </c>
      <c r="AS12">
        <v>1394.24520320379</v>
      </c>
      <c r="AT12">
        <v>5.2790053030895102E-2</v>
      </c>
      <c r="AU12">
        <v>216</v>
      </c>
      <c r="AV12">
        <v>4091.6799207151098</v>
      </c>
      <c r="AW12">
        <v>5.0936981895632297E-2</v>
      </c>
      <c r="AX12">
        <v>213</v>
      </c>
      <c r="AY12">
        <v>4181.6376250251296</v>
      </c>
      <c r="AZ12">
        <v>7.4116995879781794E-2</v>
      </c>
      <c r="BA12">
        <v>39</v>
      </c>
      <c r="BB12">
        <v>526.19509920852897</v>
      </c>
      <c r="BC12">
        <v>5.9120773942077501E-2</v>
      </c>
      <c r="BD12">
        <v>34</v>
      </c>
      <c r="BE12">
        <v>575.093959921953</v>
      </c>
      <c r="BF12">
        <v>6.4562765319790202E-2</v>
      </c>
      <c r="BG12">
        <v>2</v>
      </c>
      <c r="BH12">
        <v>30.977607450573998</v>
      </c>
      <c r="BI12">
        <v>5.62031486606644E-2</v>
      </c>
      <c r="BJ12">
        <v>2</v>
      </c>
      <c r="BK12">
        <v>35.585194916308303</v>
      </c>
    </row>
    <row r="13" spans="1:63" hidden="1" x14ac:dyDescent="0.45">
      <c r="A13">
        <v>5</v>
      </c>
      <c r="B13" t="s">
        <v>55</v>
      </c>
      <c r="C13" s="9">
        <f>(Table1[[#This Row],[rWins]]*3+Table1[[#This Row],[rDraws]])*100</f>
        <v>400.00280524519337</v>
      </c>
      <c r="D13" s="1">
        <f>Table1[[#This Row],[Points]]/Table1[[#This Row],[xPoints]]</f>
        <v>0.9994263312722742</v>
      </c>
      <c r="E13">
        <v>82</v>
      </c>
      <c r="F13">
        <v>82.047067837019696</v>
      </c>
      <c r="G13">
        <f>Table1[[#This Row],[Wins]]+Table1[[#This Row],[Draws]]+Table1[[#This Row],[Losses]]</f>
        <v>79</v>
      </c>
      <c r="H13" s="1">
        <f>Table1[[#This Row],[Wins]]/Table1[[#This Row],[xWins]]</f>
        <v>1.0303708890281802</v>
      </c>
      <c r="I13">
        <v>21</v>
      </c>
      <c r="J13" s="1">
        <f>Table1[[#This Row],[Draws]]/Table1[[#This Row],[xDraws]]</f>
        <v>0.90891538536739347</v>
      </c>
      <c r="K13">
        <v>19</v>
      </c>
      <c r="L13" s="1">
        <f>Table1[[#This Row],[Losses]]/Table1[[#This Row],[xLosses]]</f>
        <v>1.0340726037007688</v>
      </c>
      <c r="M13">
        <v>39</v>
      </c>
      <c r="N13">
        <v>20.3810105891158</v>
      </c>
      <c r="O13">
        <v>20.904036069672198</v>
      </c>
      <c r="P13">
        <v>37.714953341211903</v>
      </c>
      <c r="Q13" s="5">
        <f>Table1[[#This Row],[GoalsF_Diff]]+Table1[[#This Row],[GoalsA_Diff]]</f>
        <v>8.529729876087E-2</v>
      </c>
      <c r="R13">
        <v>-38</v>
      </c>
      <c r="S13">
        <v>-38.0852972987608</v>
      </c>
      <c r="T13">
        <v>-5.1615814718664401</v>
      </c>
      <c r="U13">
        <v>5.2468787706273101</v>
      </c>
      <c r="V13" s="5">
        <f>Table1[[#This Row],[GPM]]*17</f>
        <v>17.215189873417721</v>
      </c>
      <c r="W13" s="8">
        <f>Table1[[#This Row],[GoalsF]]/Table1[[#This Row],[Matches]]</f>
        <v>1.0126582278481013</v>
      </c>
      <c r="X13" s="1">
        <f>Table1[[#This Row],[GoalsF]]/Table1[[#This Row],[xGoalsF]]</f>
        <v>0.93939072780639288</v>
      </c>
      <c r="Y13">
        <v>80</v>
      </c>
      <c r="Z13">
        <v>85.161581471866398</v>
      </c>
      <c r="AA13" s="1">
        <f>Table1[[#This Row],[GoalsA]]/Table1[[#This Row],[xGoalsA]]</f>
        <v>0.95742789737992562</v>
      </c>
      <c r="AB13">
        <v>118</v>
      </c>
      <c r="AC13">
        <v>123.24687877062701</v>
      </c>
      <c r="AD13">
        <v>8</v>
      </c>
      <c r="AE13">
        <v>37.3831078480248</v>
      </c>
      <c r="AF13">
        <v>9</v>
      </c>
      <c r="AG13">
        <v>53.844900997919098</v>
      </c>
      <c r="AH13">
        <v>0.194085237291027</v>
      </c>
      <c r="AI13">
        <v>157</v>
      </c>
      <c r="AJ13">
        <v>808.92293608390605</v>
      </c>
      <c r="AK13">
        <v>0.237762593382323</v>
      </c>
      <c r="AL13">
        <v>236</v>
      </c>
      <c r="AM13">
        <v>992.58675068584205</v>
      </c>
      <c r="AN13">
        <v>0.122017049048762</v>
      </c>
      <c r="AO13">
        <v>41</v>
      </c>
      <c r="AP13">
        <v>336.01861641166897</v>
      </c>
      <c r="AQ13">
        <v>0.16280181792753101</v>
      </c>
      <c r="AR13">
        <v>70</v>
      </c>
      <c r="AS13">
        <v>429.97062865206601</v>
      </c>
      <c r="AT13">
        <v>0.17583316576682301</v>
      </c>
      <c r="AU13">
        <v>184</v>
      </c>
      <c r="AV13">
        <v>1046.4464948780301</v>
      </c>
      <c r="AW13">
        <v>0.20728960493601201</v>
      </c>
      <c r="AX13">
        <v>210</v>
      </c>
      <c r="AY13">
        <v>1013.07540271893</v>
      </c>
      <c r="AZ13">
        <v>0.21350340767929599</v>
      </c>
      <c r="BA13">
        <v>31</v>
      </c>
      <c r="BB13">
        <v>145.196745742649</v>
      </c>
      <c r="BC13">
        <v>0.25590092713559498</v>
      </c>
      <c r="BD13">
        <v>33</v>
      </c>
      <c r="BE13">
        <v>128.95615646798399</v>
      </c>
      <c r="BF13">
        <v>0.33412186193591797</v>
      </c>
      <c r="BG13">
        <v>3</v>
      </c>
      <c r="BH13">
        <v>8.97875997283702</v>
      </c>
      <c r="BI13">
        <v>0.26593645101480101</v>
      </c>
      <c r="BJ13">
        <v>2</v>
      </c>
      <c r="BK13">
        <v>7.5205937071360101</v>
      </c>
    </row>
    <row r="14" spans="1:63" hidden="1" x14ac:dyDescent="0.45">
      <c r="A14">
        <v>19</v>
      </c>
      <c r="B14" t="s">
        <v>69</v>
      </c>
      <c r="C14" s="9">
        <f>(Table1[[#This Row],[rWins]]*3+Table1[[#This Row],[rDraws]])*100</f>
        <v>398.19919077746044</v>
      </c>
      <c r="D14" s="1">
        <f>Table1[[#This Row],[Points]]/Table1[[#This Row],[xPoints]]</f>
        <v>0.96867126718021157</v>
      </c>
      <c r="E14">
        <v>520</v>
      </c>
      <c r="F14">
        <v>536.81782212216604</v>
      </c>
      <c r="G14">
        <f>Table1[[#This Row],[Wins]]+Table1[[#This Row],[Draws]]+Table1[[#This Row],[Losses]]</f>
        <v>317</v>
      </c>
      <c r="H14" s="1">
        <f>Table1[[#This Row],[Wins]]/Table1[[#This Row],[xWins]]</f>
        <v>0.92258496525283862</v>
      </c>
      <c r="I14">
        <v>139</v>
      </c>
      <c r="J14" s="1">
        <f>Table1[[#This Row],[Draws]]/Table1[[#This Row],[xDraws]]</f>
        <v>1.2142370120160888</v>
      </c>
      <c r="K14">
        <v>103</v>
      </c>
      <c r="L14" s="1">
        <f>Table1[[#This Row],[Losses]]/Table1[[#This Row],[xLosses]]</f>
        <v>0.92013884097748033</v>
      </c>
      <c r="M14">
        <v>75</v>
      </c>
      <c r="N14">
        <v>150.66363016430299</v>
      </c>
      <c r="O14">
        <v>84.826931629255299</v>
      </c>
      <c r="P14">
        <v>81.509438206440805</v>
      </c>
      <c r="Q14" s="5">
        <f>Table1[[#This Row],[GoalsF_Diff]]+Table1[[#This Row],[GoalsA_Diff]]</f>
        <v>16.123915625011097</v>
      </c>
      <c r="R14">
        <v>166</v>
      </c>
      <c r="S14">
        <v>149.87608437498801</v>
      </c>
      <c r="T14">
        <v>-23.381548951626701</v>
      </c>
      <c r="U14">
        <v>39.505464576637799</v>
      </c>
      <c r="V14" s="5">
        <f>Table1[[#This Row],[GPM]]*17</f>
        <v>25.044164037854888</v>
      </c>
      <c r="W14" s="8">
        <f>Table1[[#This Row],[GoalsF]]/Table1[[#This Row],[Matches]]</f>
        <v>1.473186119873817</v>
      </c>
      <c r="X14" s="1">
        <f>Table1[[#This Row],[GoalsF]]/Table1[[#This Row],[xGoalsF]]</f>
        <v>0.9523196804577726</v>
      </c>
      <c r="Y14">
        <v>467</v>
      </c>
      <c r="Z14">
        <v>490.38154895162597</v>
      </c>
      <c r="AA14" s="1">
        <f>Table1[[#This Row],[GoalsA]]/Table1[[#This Row],[xGoalsA]]</f>
        <v>0.88397993957085064</v>
      </c>
      <c r="AB14">
        <v>301</v>
      </c>
      <c r="AC14">
        <v>340.505464576637</v>
      </c>
      <c r="AD14">
        <v>14</v>
      </c>
      <c r="AE14">
        <v>214.16208477329201</v>
      </c>
      <c r="AF14">
        <v>7</v>
      </c>
      <c r="AG14">
        <v>149.44411709521299</v>
      </c>
      <c r="AH14">
        <v>5.7054142403363498E-2</v>
      </c>
      <c r="AI14">
        <v>227</v>
      </c>
      <c r="AJ14">
        <v>3978.6769275252</v>
      </c>
      <c r="AK14">
        <v>6.1860489197577903E-2</v>
      </c>
      <c r="AL14">
        <v>201</v>
      </c>
      <c r="AM14">
        <v>3249.2468554204302</v>
      </c>
      <c r="AN14">
        <v>4.4231511963921E-2</v>
      </c>
      <c r="AO14">
        <v>76</v>
      </c>
      <c r="AP14">
        <v>1718.2320166218101</v>
      </c>
      <c r="AQ14">
        <v>4.8169136025403403E-2</v>
      </c>
      <c r="AR14">
        <v>65</v>
      </c>
      <c r="AS14">
        <v>1349.4117886133599</v>
      </c>
      <c r="AT14">
        <v>5.2317239984962197E-2</v>
      </c>
      <c r="AU14">
        <v>213</v>
      </c>
      <c r="AV14">
        <v>4071.3156898418802</v>
      </c>
      <c r="AW14">
        <v>4.9392845708569097E-2</v>
      </c>
      <c r="AX14">
        <v>207</v>
      </c>
      <c r="AY14">
        <v>4190.8903411104202</v>
      </c>
      <c r="AZ14">
        <v>5.4092555138532401E-2</v>
      </c>
      <c r="BA14">
        <v>28</v>
      </c>
      <c r="BB14">
        <v>517.63130671663203</v>
      </c>
      <c r="BC14">
        <v>5.6507865024160699E-2</v>
      </c>
      <c r="BD14">
        <v>33</v>
      </c>
      <c r="BE14">
        <v>583.98950280443898</v>
      </c>
      <c r="BF14">
        <v>0.10136767792696701</v>
      </c>
      <c r="BG14">
        <v>3</v>
      </c>
      <c r="BH14">
        <v>29.595232537154502</v>
      </c>
      <c r="BI14">
        <v>8.3300955153522496E-2</v>
      </c>
      <c r="BJ14">
        <v>3</v>
      </c>
      <c r="BK14">
        <v>36.013992810418998</v>
      </c>
    </row>
    <row r="15" spans="1:63" hidden="1" x14ac:dyDescent="0.45">
      <c r="A15">
        <v>21</v>
      </c>
      <c r="B15" t="s">
        <v>71</v>
      </c>
      <c r="C15" s="9">
        <f>(Table1[[#This Row],[rWins]]*3+Table1[[#This Row],[rDraws]])*100</f>
        <v>394.23904108293345</v>
      </c>
      <c r="D15" s="1">
        <f>Table1[[#This Row],[Points]]/Table1[[#This Row],[xPoints]]</f>
        <v>0.98726711708231119</v>
      </c>
      <c r="E15">
        <v>367</v>
      </c>
      <c r="F15">
        <v>371.73323576764301</v>
      </c>
      <c r="G15">
        <f>Table1[[#This Row],[Wins]]+Table1[[#This Row],[Draws]]+Table1[[#This Row],[Losses]]</f>
        <v>316</v>
      </c>
      <c r="H15" s="1">
        <f>Table1[[#This Row],[Wins]]/Table1[[#This Row],[xWins]]</f>
        <v>1.0086773770985316</v>
      </c>
      <c r="I15">
        <v>96</v>
      </c>
      <c r="J15" s="1">
        <f>Table1[[#This Row],[Draws]]/Table1[[#This Row],[xDraws]]</f>
        <v>0.91635827953373983</v>
      </c>
      <c r="K15">
        <v>79</v>
      </c>
      <c r="L15" s="1">
        <f>Table1[[#This Row],[Losses]]/Table1[[#This Row],[xLosses]]</f>
        <v>1.0474312492774089</v>
      </c>
      <c r="M15">
        <v>141</v>
      </c>
      <c r="N15">
        <v>95.1741381135609</v>
      </c>
      <c r="O15">
        <v>86.210821426960507</v>
      </c>
      <c r="P15">
        <v>134.615040459478</v>
      </c>
      <c r="Q15" s="5">
        <f>Table1[[#This Row],[GoalsF_Diff]]+Table1[[#This Row],[GoalsA_Diff]]</f>
        <v>3.7508996208757095</v>
      </c>
      <c r="R15">
        <v>-80</v>
      </c>
      <c r="S15">
        <v>-83.7508996208757</v>
      </c>
      <c r="T15">
        <v>-6.5901865783106901</v>
      </c>
      <c r="U15">
        <v>10.3410861991864</v>
      </c>
      <c r="V15" s="5">
        <f>Table1[[#This Row],[GPM]]*17</f>
        <v>19.313291139240508</v>
      </c>
      <c r="W15" s="8">
        <f>Table1[[#This Row],[GoalsF]]/Table1[[#This Row],[Matches]]</f>
        <v>1.1360759493670887</v>
      </c>
      <c r="X15" s="1">
        <f>Table1[[#This Row],[GoalsF]]/Table1[[#This Row],[xGoalsF]]</f>
        <v>0.98197384169419333</v>
      </c>
      <c r="Y15">
        <v>359</v>
      </c>
      <c r="Z15">
        <v>365.59018657831001</v>
      </c>
      <c r="AA15" s="1">
        <f>Table1[[#This Row],[GoalsA]]/Table1[[#This Row],[xGoalsA]]</f>
        <v>0.97698611029172178</v>
      </c>
      <c r="AB15">
        <v>439</v>
      </c>
      <c r="AC15">
        <v>449.34108619918601</v>
      </c>
      <c r="AD15">
        <v>4</v>
      </c>
      <c r="AE15">
        <v>160.325770528167</v>
      </c>
      <c r="AF15">
        <v>8</v>
      </c>
      <c r="AG15">
        <v>196.67585458231599</v>
      </c>
      <c r="AH15">
        <v>5.5848930359086002E-2</v>
      </c>
      <c r="AI15">
        <v>188</v>
      </c>
      <c r="AJ15">
        <v>3366.2238254383001</v>
      </c>
      <c r="AK15">
        <v>6.6173249177272395E-2</v>
      </c>
      <c r="AL15">
        <v>250</v>
      </c>
      <c r="AM15">
        <v>3777.9616855486602</v>
      </c>
      <c r="AN15">
        <v>2.9599001076148702E-2</v>
      </c>
      <c r="AO15">
        <v>42</v>
      </c>
      <c r="AP15">
        <v>1418.96680539817</v>
      </c>
      <c r="AQ15">
        <v>4.4257079200226597E-2</v>
      </c>
      <c r="AR15">
        <v>72</v>
      </c>
      <c r="AS15">
        <v>1626.8583761314101</v>
      </c>
      <c r="AT15">
        <v>5.3565555970078602E-2</v>
      </c>
      <c r="AU15">
        <v>223</v>
      </c>
      <c r="AV15">
        <v>4163.1230360899399</v>
      </c>
      <c r="AW15">
        <v>6.2516147308840503E-2</v>
      </c>
      <c r="AX15">
        <v>256</v>
      </c>
      <c r="AY15">
        <v>4094.9420432982802</v>
      </c>
      <c r="AZ15">
        <v>6.5197104535282102E-2</v>
      </c>
      <c r="BA15">
        <v>37</v>
      </c>
      <c r="BB15">
        <v>567.50986510416305</v>
      </c>
      <c r="BC15">
        <v>5.8462304141234003E-2</v>
      </c>
      <c r="BD15">
        <v>31</v>
      </c>
      <c r="BE15">
        <v>530.25621304815104</v>
      </c>
      <c r="BF15">
        <v>0.17241114770704299</v>
      </c>
      <c r="BG15">
        <v>6</v>
      </c>
      <c r="BH15">
        <v>34.800533955002898</v>
      </c>
      <c r="BI15">
        <v>6.3487148549199193E-2</v>
      </c>
      <c r="BJ15">
        <v>2</v>
      </c>
      <c r="BK15">
        <v>31.5024386148025</v>
      </c>
    </row>
    <row r="16" spans="1:63" hidden="1" x14ac:dyDescent="0.45">
      <c r="A16">
        <v>7</v>
      </c>
      <c r="B16" t="s">
        <v>57</v>
      </c>
      <c r="C16" s="9">
        <f>(Table1[[#This Row],[rWins]]*3+Table1[[#This Row],[rDraws]])*100</f>
        <v>389.55136874284892</v>
      </c>
      <c r="D16" s="1">
        <f>Table1[[#This Row],[Points]]/Table1[[#This Row],[xPoints]]</f>
        <v>0.97373572492666749</v>
      </c>
      <c r="E16">
        <v>380</v>
      </c>
      <c r="F16">
        <v>390.24962345775901</v>
      </c>
      <c r="G16">
        <f>Table1[[#This Row],[Wins]]+Table1[[#This Row],[Draws]]+Table1[[#This Row],[Losses]]</f>
        <v>317</v>
      </c>
      <c r="H16" s="1">
        <f>Table1[[#This Row],[Wins]]/Table1[[#This Row],[xWins]]</f>
        <v>0.97243522568450369</v>
      </c>
      <c r="I16">
        <v>98</v>
      </c>
      <c r="J16" s="1">
        <f>Table1[[#This Row],[Draws]]/Table1[[#This Row],[xDraws]]</f>
        <v>0.97820801037497873</v>
      </c>
      <c r="K16">
        <v>86</v>
      </c>
      <c r="L16" s="1">
        <f>Table1[[#This Row],[Losses]]/Table1[[#This Row],[xLosses]]</f>
        <v>1.0365826556248057</v>
      </c>
      <c r="M16">
        <v>133</v>
      </c>
      <c r="N16">
        <v>100.777920638382</v>
      </c>
      <c r="O16">
        <v>87.915861542611395</v>
      </c>
      <c r="P16">
        <v>128.30621781900601</v>
      </c>
      <c r="Q16" s="5">
        <f>Table1[[#This Row],[GoalsF_Diff]]+Table1[[#This Row],[GoalsA_Diff]]</f>
        <v>-12.079649722682102</v>
      </c>
      <c r="R16">
        <v>-71</v>
      </c>
      <c r="S16">
        <v>-58.920350277317802</v>
      </c>
      <c r="T16">
        <v>-34.826709253886001</v>
      </c>
      <c r="U16">
        <v>22.747059531203899</v>
      </c>
      <c r="V16" s="5">
        <f>Table1[[#This Row],[GPM]]*17</f>
        <v>18.394321766561514</v>
      </c>
      <c r="W16" s="8">
        <f>Table1[[#This Row],[GoalsF]]/Table1[[#This Row],[Matches]]</f>
        <v>1.0820189274447949</v>
      </c>
      <c r="X16" s="1">
        <f>Table1[[#This Row],[GoalsF]]/Table1[[#This Row],[xGoalsF]]</f>
        <v>0.90782359107787769</v>
      </c>
      <c r="Y16">
        <v>343</v>
      </c>
      <c r="Z16">
        <v>377.82670925388601</v>
      </c>
      <c r="AA16" s="1">
        <f>Table1[[#This Row],[GoalsA]]/Table1[[#This Row],[xGoalsA]]</f>
        <v>0.9479170860231565</v>
      </c>
      <c r="AB16">
        <v>414</v>
      </c>
      <c r="AC16">
        <v>436.74705953120298</v>
      </c>
      <c r="AD16">
        <v>10</v>
      </c>
      <c r="AE16">
        <v>165.591354956575</v>
      </c>
      <c r="AF16">
        <v>5</v>
      </c>
      <c r="AG16">
        <v>191.11823154916999</v>
      </c>
      <c r="AH16">
        <v>6.9039540025814694E-2</v>
      </c>
      <c r="AI16">
        <v>237</v>
      </c>
      <c r="AJ16">
        <v>3432.81545490283</v>
      </c>
      <c r="AK16">
        <v>4.6835824386316102E-2</v>
      </c>
      <c r="AL16">
        <v>174</v>
      </c>
      <c r="AM16">
        <v>3715.1048856276002</v>
      </c>
      <c r="AN16">
        <v>4.74976471222439E-2</v>
      </c>
      <c r="AO16">
        <v>69</v>
      </c>
      <c r="AP16">
        <v>1452.7035375545199</v>
      </c>
      <c r="AQ16">
        <v>2.94493789517567E-2</v>
      </c>
      <c r="AR16">
        <v>47</v>
      </c>
      <c r="AS16">
        <v>1595.95895305616</v>
      </c>
      <c r="AT16">
        <v>4.7942357798691201E-2</v>
      </c>
      <c r="AU16">
        <v>200</v>
      </c>
      <c r="AV16">
        <v>4171.6763459943804</v>
      </c>
      <c r="AW16">
        <v>5.2609482200658697E-2</v>
      </c>
      <c r="AX16">
        <v>217</v>
      </c>
      <c r="AY16">
        <v>4124.7317198891296</v>
      </c>
      <c r="AZ16">
        <v>4.7879404327794903E-2</v>
      </c>
      <c r="BA16">
        <v>27</v>
      </c>
      <c r="BB16">
        <v>563.91679009101495</v>
      </c>
      <c r="BC16">
        <v>5.2023695078849401E-2</v>
      </c>
      <c r="BD16">
        <v>28</v>
      </c>
      <c r="BE16">
        <v>538.21628697388599</v>
      </c>
      <c r="BF16">
        <v>2.8781875019649201E-2</v>
      </c>
      <c r="BG16">
        <v>1</v>
      </c>
      <c r="BH16">
        <v>34.744088052543603</v>
      </c>
      <c r="BI16">
        <v>0.124130494129653</v>
      </c>
      <c r="BJ16">
        <v>4</v>
      </c>
      <c r="BK16">
        <v>32.224152719653397</v>
      </c>
    </row>
    <row r="17" spans="1:63" hidden="1" x14ac:dyDescent="0.45">
      <c r="A17">
        <v>0</v>
      </c>
      <c r="B17" t="s">
        <v>50</v>
      </c>
      <c r="C17" s="9">
        <f>(Table1[[#This Row],[rWins]]*3+Table1[[#This Row],[rDraws]])*100</f>
        <v>386.70839851656837</v>
      </c>
      <c r="D17" s="1">
        <f>Table1[[#This Row],[Points]]/Table1[[#This Row],[xPoints]]</f>
        <v>0.96621643033856575</v>
      </c>
      <c r="E17">
        <v>417</v>
      </c>
      <c r="F17">
        <v>431.58032393827301</v>
      </c>
      <c r="G17">
        <f>Table1[[#This Row],[Wins]]+Table1[[#This Row],[Draws]]+Table1[[#This Row],[Losses]]</f>
        <v>317</v>
      </c>
      <c r="H17" s="1">
        <f>Table1[[#This Row],[Wins]]/Table1[[#This Row],[xWins]]</f>
        <v>0.96401915223343793</v>
      </c>
      <c r="I17">
        <v>111</v>
      </c>
      <c r="J17" s="1">
        <f>Table1[[#This Row],[Draws]]/Table1[[#This Row],[xDraws]]</f>
        <v>0.97502652846536986</v>
      </c>
      <c r="K17">
        <v>84</v>
      </c>
      <c r="L17" s="1">
        <f>Table1[[#This Row],[Losses]]/Table1[[#This Row],[xLosses]]</f>
        <v>1.0544005218917647</v>
      </c>
      <c r="M17">
        <v>122</v>
      </c>
      <c r="N17">
        <v>115.14294061776199</v>
      </c>
      <c r="O17">
        <v>86.151502084984998</v>
      </c>
      <c r="P17">
        <v>115.705557297252</v>
      </c>
      <c r="Q17" s="5">
        <f>Table1[[#This Row],[GoalsF_Diff]]+Table1[[#This Row],[GoalsA_Diff]]</f>
        <v>-42.072782505663696</v>
      </c>
      <c r="R17">
        <v>-44</v>
      </c>
      <c r="S17">
        <v>-1.9272174943362099</v>
      </c>
      <c r="T17">
        <v>-22.076820803910199</v>
      </c>
      <c r="U17">
        <v>-19.995961701753501</v>
      </c>
      <c r="V17" s="5">
        <f>Table1[[#This Row],[GPM]]*17</f>
        <v>20.593059936908517</v>
      </c>
      <c r="W17" s="8">
        <f>Table1[[#This Row],[GoalsF]]/Table1[[#This Row],[Matches]]</f>
        <v>1.2113564668769716</v>
      </c>
      <c r="X17" s="1">
        <f>Table1[[#This Row],[GoalsF]]/Table1[[#This Row],[xGoalsF]]</f>
        <v>0.94563388089917444</v>
      </c>
      <c r="Y17">
        <v>384</v>
      </c>
      <c r="Z17">
        <v>406.07682080390998</v>
      </c>
      <c r="AA17" s="1">
        <f>Table1[[#This Row],[GoalsA]]/Table1[[#This Row],[xGoalsA]]</f>
        <v>1.0490092249703107</v>
      </c>
      <c r="AB17">
        <v>428</v>
      </c>
      <c r="AC17">
        <v>408.00403829824597</v>
      </c>
      <c r="AD17">
        <v>8</v>
      </c>
      <c r="AE17">
        <v>178.02019126840401</v>
      </c>
      <c r="AF17">
        <v>11</v>
      </c>
      <c r="AG17">
        <v>178.72739203397401</v>
      </c>
      <c r="AH17">
        <v>5.63419858778604E-2</v>
      </c>
      <c r="AI17">
        <v>201</v>
      </c>
      <c r="AJ17">
        <v>3567.4993855511698</v>
      </c>
      <c r="AK17">
        <v>6.5440347777127095E-2</v>
      </c>
      <c r="AL17">
        <v>234</v>
      </c>
      <c r="AM17">
        <v>3575.77561777244</v>
      </c>
      <c r="AN17">
        <v>4.1196236007711301E-2</v>
      </c>
      <c r="AO17">
        <v>63</v>
      </c>
      <c r="AP17">
        <v>1529.2659258532001</v>
      </c>
      <c r="AQ17">
        <v>4.5000020644945897E-2</v>
      </c>
      <c r="AR17">
        <v>69</v>
      </c>
      <c r="AS17">
        <v>1533.3326298762299</v>
      </c>
      <c r="AT17">
        <v>6.0761752747171903E-2</v>
      </c>
      <c r="AU17">
        <v>252</v>
      </c>
      <c r="AV17">
        <v>4147.34579906813</v>
      </c>
      <c r="AW17">
        <v>5.2293728545368103E-2</v>
      </c>
      <c r="AX17">
        <v>217</v>
      </c>
      <c r="AY17">
        <v>4149.6371751679198</v>
      </c>
      <c r="AZ17">
        <v>6.2046567556225202E-2</v>
      </c>
      <c r="BA17">
        <v>34</v>
      </c>
      <c r="BB17">
        <v>547.97551805246803</v>
      </c>
      <c r="BC17">
        <v>6.3920239273592902E-2</v>
      </c>
      <c r="BD17">
        <v>35</v>
      </c>
      <c r="BE17">
        <v>547.55739962411803</v>
      </c>
      <c r="BF17">
        <v>8.9828657789304794E-2</v>
      </c>
      <c r="BG17">
        <v>3</v>
      </c>
      <c r="BH17">
        <v>33.396914457261097</v>
      </c>
      <c r="BI17">
        <v>2.9990004207683701E-2</v>
      </c>
      <c r="BJ17">
        <v>1</v>
      </c>
      <c r="BK17">
        <v>33.344443471061197</v>
      </c>
    </row>
    <row r="18" spans="1:63" hidden="1" x14ac:dyDescent="0.45">
      <c r="A18">
        <v>20</v>
      </c>
      <c r="B18" s="4" t="s">
        <v>70</v>
      </c>
      <c r="C18" s="10">
        <f>(Table1[[#This Row],[rWins]]*3+Table1[[#This Row],[rDraws]])*100</f>
        <v>382.84029024819836</v>
      </c>
      <c r="D18" s="1">
        <f>Table1[[#This Row],[Points]]/Table1[[#This Row],[xPoints]]</f>
        <v>0.96315419049655404</v>
      </c>
      <c r="E18">
        <v>71</v>
      </c>
      <c r="F18">
        <v>73.716130501800507</v>
      </c>
      <c r="G18">
        <f>Table1[[#This Row],[Wins]]+Table1[[#This Row],[Draws]]+Table1[[#This Row],[Losses]]</f>
        <v>68</v>
      </c>
      <c r="H18" s="1">
        <f>Table1[[#This Row],[Wins]]/Table1[[#This Row],[xWins]]</f>
        <v>1.0653924920000479</v>
      </c>
      <c r="I18">
        <v>20</v>
      </c>
      <c r="J18" s="1">
        <f>Table1[[#This Row],[Draws]]/Table1[[#This Row],[xDraws]]</f>
        <v>0.63222542648183977</v>
      </c>
      <c r="K18">
        <v>11</v>
      </c>
      <c r="L18" s="1">
        <f>Table1[[#This Row],[Losses]]/Table1[[#This Row],[xLosses]]</f>
        <v>1.1624721950914902</v>
      </c>
      <c r="M18">
        <v>37</v>
      </c>
      <c r="N18">
        <v>18.772424388362499</v>
      </c>
      <c r="O18">
        <v>17.398857336712901</v>
      </c>
      <c r="P18">
        <v>31.828718274924402</v>
      </c>
      <c r="Q18" s="5">
        <f>Table1[[#This Row],[GoalsF_Diff]]+Table1[[#This Row],[GoalsA_Diff]]</f>
        <v>-13.302491197835909</v>
      </c>
      <c r="R18">
        <v>-41</v>
      </c>
      <c r="S18">
        <v>-27.697508802163998</v>
      </c>
      <c r="T18">
        <v>7.2135779998697904</v>
      </c>
      <c r="U18">
        <v>-20.516069197705701</v>
      </c>
      <c r="V18" s="5">
        <f>Table1[[#This Row],[GPM]]*17</f>
        <v>20.5</v>
      </c>
      <c r="W18" s="8">
        <f>Table1[[#This Row],[GoalsF]]/Table1[[#This Row],[Matches]]</f>
        <v>1.2058823529411764</v>
      </c>
      <c r="X18" s="1">
        <f>Table1[[#This Row],[GoalsF]]/Table1[[#This Row],[xGoalsF]]</f>
        <v>1.0964557175881102</v>
      </c>
      <c r="Y18">
        <v>82</v>
      </c>
      <c r="Z18">
        <v>74.786422000130202</v>
      </c>
      <c r="AA18" s="1">
        <f>Table1[[#This Row],[GoalsA]]/Table1[[#This Row],[xGoalsA]]</f>
        <v>1.2001881566904806</v>
      </c>
      <c r="AB18">
        <v>123</v>
      </c>
      <c r="AC18">
        <v>102.483930802294</v>
      </c>
      <c r="AD18">
        <v>0</v>
      </c>
      <c r="AE18">
        <v>32.793470967261101</v>
      </c>
      <c r="AF18">
        <v>0</v>
      </c>
      <c r="AG18">
        <v>44.608443244867303</v>
      </c>
      <c r="AH18">
        <v>0</v>
      </c>
      <c r="AI18">
        <v>0</v>
      </c>
      <c r="AJ18">
        <v>705.52301828015902</v>
      </c>
      <c r="AK18">
        <v>0</v>
      </c>
      <c r="AL18">
        <v>0</v>
      </c>
      <c r="AM18">
        <v>838.15285496667298</v>
      </c>
      <c r="AN18">
        <v>0</v>
      </c>
      <c r="AO18">
        <v>0</v>
      </c>
      <c r="AP18">
        <v>294.97763194838899</v>
      </c>
      <c r="AQ18">
        <v>0</v>
      </c>
      <c r="AR18">
        <v>0</v>
      </c>
      <c r="AS18">
        <v>362.440935058013</v>
      </c>
      <c r="AT18">
        <v>0</v>
      </c>
      <c r="AU18">
        <v>0</v>
      </c>
      <c r="AV18">
        <v>899.36447885325401</v>
      </c>
      <c r="AW18">
        <v>0</v>
      </c>
      <c r="AX18">
        <v>0</v>
      </c>
      <c r="AY18">
        <v>876.64898150101499</v>
      </c>
      <c r="AZ18">
        <v>0</v>
      </c>
      <c r="BA18">
        <v>0</v>
      </c>
      <c r="BB18">
        <v>124.100833486521</v>
      </c>
      <c r="BC18">
        <v>0</v>
      </c>
      <c r="BD18">
        <v>0</v>
      </c>
      <c r="BE18">
        <v>111.99534928739401</v>
      </c>
      <c r="BF18">
        <v>0</v>
      </c>
      <c r="BG18">
        <v>0</v>
      </c>
      <c r="BH18">
        <v>7.6420991454951999</v>
      </c>
      <c r="BI18">
        <v>0</v>
      </c>
      <c r="BJ18">
        <v>0</v>
      </c>
      <c r="BK18">
        <v>6.5244938787908797</v>
      </c>
    </row>
    <row r="19" spans="1:63" hidden="1" x14ac:dyDescent="0.45">
      <c r="A19">
        <v>9</v>
      </c>
      <c r="B19" t="s">
        <v>59</v>
      </c>
      <c r="C19" s="9">
        <f>(Table1[[#This Row],[rWins]]*3+Table1[[#This Row],[rDraws]])*100</f>
        <v>381.65971263702556</v>
      </c>
      <c r="D19" s="1">
        <f>Table1[[#This Row],[Points]]/Table1[[#This Row],[xPoints]]</f>
        <v>0.94164408588774251</v>
      </c>
      <c r="E19">
        <v>489</v>
      </c>
      <c r="F19">
        <v>519.30448810602502</v>
      </c>
      <c r="G19">
        <f>Table1[[#This Row],[Wins]]+Table1[[#This Row],[Draws]]+Table1[[#This Row],[Losses]]</f>
        <v>317</v>
      </c>
      <c r="H19" s="1">
        <f>Table1[[#This Row],[Wins]]/Table1[[#This Row],[xWins]]</f>
        <v>0.91996615889225164</v>
      </c>
      <c r="I19">
        <v>134</v>
      </c>
      <c r="J19" s="1">
        <f>Table1[[#This Row],[Draws]]/Table1[[#This Row],[xDraws]]</f>
        <v>1.0566986496935011</v>
      </c>
      <c r="K19">
        <v>87</v>
      </c>
      <c r="L19" s="1">
        <f>Table1[[#This Row],[Losses]]/Table1[[#This Row],[xLosses]]</f>
        <v>1.0785235301521068</v>
      </c>
      <c r="M19">
        <v>96</v>
      </c>
      <c r="N19">
        <v>145.65753175242</v>
      </c>
      <c r="O19">
        <v>82.331892848764994</v>
      </c>
      <c r="P19">
        <v>89.010575398814794</v>
      </c>
      <c r="Q19" s="5">
        <f>Table1[[#This Row],[GoalsF_Diff]]+Table1[[#This Row],[GoalsA_Diff]]</f>
        <v>-31.565082482302543</v>
      </c>
      <c r="R19">
        <v>92</v>
      </c>
      <c r="S19">
        <v>123.565082482302</v>
      </c>
      <c r="T19">
        <v>3.5466804052757599</v>
      </c>
      <c r="U19">
        <v>-35.111762887578301</v>
      </c>
      <c r="V19" s="5">
        <f>Table1[[#This Row],[GPM]]*17</f>
        <v>25.794952681388011</v>
      </c>
      <c r="W19" s="8">
        <f>Table1[[#This Row],[GoalsF]]/Table1[[#This Row],[Matches]]</f>
        <v>1.5173501577287065</v>
      </c>
      <c r="X19" s="1">
        <f>Table1[[#This Row],[GoalsF]]/Table1[[#This Row],[xGoalsF]]</f>
        <v>1.0074283291365249</v>
      </c>
      <c r="Y19">
        <v>481</v>
      </c>
      <c r="Z19">
        <v>477.45331959472401</v>
      </c>
      <c r="AA19" s="1">
        <f>Table1[[#This Row],[GoalsA]]/Table1[[#This Row],[xGoalsA]]</f>
        <v>1.0992170951317179</v>
      </c>
      <c r="AB19">
        <v>389</v>
      </c>
      <c r="AC19">
        <v>353.888237112421</v>
      </c>
      <c r="AD19">
        <v>11</v>
      </c>
      <c r="AE19">
        <v>209.31051000875399</v>
      </c>
      <c r="AF19">
        <v>6</v>
      </c>
      <c r="AG19">
        <v>155.34700855620301</v>
      </c>
      <c r="AH19">
        <v>5.2399562122946698E-2</v>
      </c>
      <c r="AI19">
        <v>205</v>
      </c>
      <c r="AJ19">
        <v>3912.2464328805199</v>
      </c>
      <c r="AK19">
        <v>5.6770662224092397E-2</v>
      </c>
      <c r="AL19">
        <v>188</v>
      </c>
      <c r="AM19">
        <v>3311.5696142120401</v>
      </c>
      <c r="AN19">
        <v>4.0843388948081399E-2</v>
      </c>
      <c r="AO19">
        <v>69</v>
      </c>
      <c r="AP19">
        <v>1689.3798917545701</v>
      </c>
      <c r="AQ19">
        <v>4.3333408949756902E-2</v>
      </c>
      <c r="AR19">
        <v>60</v>
      </c>
      <c r="AS19">
        <v>1384.6129684735199</v>
      </c>
      <c r="AT19">
        <v>5.2639546103029899E-2</v>
      </c>
      <c r="AU19">
        <v>215</v>
      </c>
      <c r="AV19">
        <v>4084.38172280563</v>
      </c>
      <c r="AW19">
        <v>5.4003255183912503E-2</v>
      </c>
      <c r="AX19">
        <v>226</v>
      </c>
      <c r="AY19">
        <v>4184.9329124760698</v>
      </c>
      <c r="AZ19">
        <v>6.1142272600040799E-2</v>
      </c>
      <c r="BA19">
        <v>32</v>
      </c>
      <c r="BB19">
        <v>523.36948954001798</v>
      </c>
      <c r="BC19">
        <v>6.9476580504065494E-2</v>
      </c>
      <c r="BD19">
        <v>40</v>
      </c>
      <c r="BE19">
        <v>575.73357395819596</v>
      </c>
      <c r="BF19">
        <v>0.19507823049522999</v>
      </c>
      <c r="BG19">
        <v>6</v>
      </c>
      <c r="BH19">
        <v>30.756891657096901</v>
      </c>
      <c r="BI19">
        <v>0.113280352813197</v>
      </c>
      <c r="BJ19">
        <v>4</v>
      </c>
      <c r="BK19">
        <v>35.310624487514502</v>
      </c>
    </row>
    <row r="20" spans="1:63" hidden="1" x14ac:dyDescent="0.45">
      <c r="A20">
        <v>3</v>
      </c>
      <c r="B20" t="s">
        <v>53</v>
      </c>
      <c r="C20" s="9">
        <f>(Table1[[#This Row],[rWins]]*3+Table1[[#This Row],[rDraws]])*100</f>
        <v>380.74210863371627</v>
      </c>
      <c r="D20" s="1">
        <f>Table1[[#This Row],[Points]]/Table1[[#This Row],[xPoints]]</f>
        <v>0.94464248611521606</v>
      </c>
      <c r="E20">
        <v>437</v>
      </c>
      <c r="F20">
        <v>462.60887735119297</v>
      </c>
      <c r="G20">
        <f>Table1[[#This Row],[Wins]]+Table1[[#This Row],[Draws]]+Table1[[#This Row],[Losses]]</f>
        <v>317</v>
      </c>
      <c r="H20" s="1">
        <f>Table1[[#This Row],[Wins]]/Table1[[#This Row],[xWins]]</f>
        <v>0.92381021669884122</v>
      </c>
      <c r="I20">
        <v>116</v>
      </c>
      <c r="J20" s="1">
        <f>Table1[[#This Row],[Draws]]/Table1[[#This Row],[xDraws]]</f>
        <v>1.0359904362406394</v>
      </c>
      <c r="K20">
        <v>89</v>
      </c>
      <c r="L20" s="1">
        <f>Table1[[#This Row],[Losses]]/Table1[[#This Row],[xLosses]]</f>
        <v>1.0613603208585902</v>
      </c>
      <c r="M20">
        <v>112</v>
      </c>
      <c r="N20">
        <v>125.566916129718</v>
      </c>
      <c r="O20">
        <v>85.9081289620391</v>
      </c>
      <c r="P20">
        <v>105.52495490824199</v>
      </c>
      <c r="Q20" s="5">
        <f>Table1[[#This Row],[GoalsF_Diff]]+Table1[[#This Row],[GoalsA_Diff]]</f>
        <v>-3.7816612479916998</v>
      </c>
      <c r="R20">
        <v>39</v>
      </c>
      <c r="S20">
        <v>42.7816612479917</v>
      </c>
      <c r="T20">
        <v>8.0091551901457994</v>
      </c>
      <c r="U20">
        <v>-11.790816438137499</v>
      </c>
      <c r="V20" s="5">
        <f>Table1[[#This Row],[GPM]]*17</f>
        <v>23.381703470031546</v>
      </c>
      <c r="W20" s="8">
        <f>Table1[[#This Row],[GoalsF]]/Table1[[#This Row],[Matches]]</f>
        <v>1.3753943217665616</v>
      </c>
      <c r="X20" s="1">
        <f>Table1[[#This Row],[GoalsF]]/Table1[[#This Row],[xGoalsF]]</f>
        <v>1.0187133797072323</v>
      </c>
      <c r="Y20">
        <v>436</v>
      </c>
      <c r="Z20">
        <v>427.99084480985402</v>
      </c>
      <c r="AA20" s="1">
        <f>Table1[[#This Row],[GoalsA]]/Table1[[#This Row],[xGoalsA]]</f>
        <v>1.030608866406334</v>
      </c>
      <c r="AB20">
        <v>397</v>
      </c>
      <c r="AC20">
        <v>385.20918356186201</v>
      </c>
      <c r="AD20">
        <v>8</v>
      </c>
      <c r="AE20">
        <v>187.64325198153301</v>
      </c>
      <c r="AF20">
        <v>11</v>
      </c>
      <c r="AG20">
        <v>168.98960124649901</v>
      </c>
      <c r="AH20">
        <v>7.3733093338324202E-2</v>
      </c>
      <c r="AI20">
        <v>271</v>
      </c>
      <c r="AJ20">
        <v>3675.41883474923</v>
      </c>
      <c r="AK20">
        <v>6.4887566969814806E-2</v>
      </c>
      <c r="AL20">
        <v>225</v>
      </c>
      <c r="AM20">
        <v>3467.5363942166</v>
      </c>
      <c r="AN20">
        <v>4.6186211740073098E-2</v>
      </c>
      <c r="AO20">
        <v>73</v>
      </c>
      <c r="AP20">
        <v>1580.5582932592399</v>
      </c>
      <c r="AQ20">
        <v>4.4753824858398399E-2</v>
      </c>
      <c r="AR20">
        <v>66</v>
      </c>
      <c r="AS20">
        <v>1474.7342871547701</v>
      </c>
      <c r="AT20">
        <v>4.4135824285875397E-2</v>
      </c>
      <c r="AU20">
        <v>182</v>
      </c>
      <c r="AV20">
        <v>4123.6343252853703</v>
      </c>
      <c r="AW20">
        <v>4.73557408729832E-2</v>
      </c>
      <c r="AX20">
        <v>197</v>
      </c>
      <c r="AY20">
        <v>4160.0024911106302</v>
      </c>
      <c r="AZ20">
        <v>6.1175890568687698E-2</v>
      </c>
      <c r="BA20">
        <v>33</v>
      </c>
      <c r="BB20">
        <v>539.42819128963697</v>
      </c>
      <c r="BC20">
        <v>4.4693663612555203E-2</v>
      </c>
      <c r="BD20">
        <v>25</v>
      </c>
      <c r="BE20">
        <v>559.36340812698597</v>
      </c>
      <c r="BF20">
        <v>9.2171789709640503E-2</v>
      </c>
      <c r="BG20">
        <v>3</v>
      </c>
      <c r="BH20">
        <v>32.5479195906968</v>
      </c>
      <c r="BI20">
        <v>2.91363814853134E-2</v>
      </c>
      <c r="BJ20">
        <v>1</v>
      </c>
      <c r="BK20">
        <v>34.321351829638203</v>
      </c>
    </row>
    <row r="21" spans="1:63" x14ac:dyDescent="0.45">
      <c r="A21">
        <v>12</v>
      </c>
      <c r="B21" t="s">
        <v>62</v>
      </c>
      <c r="C21" s="9">
        <f>(Table1[[#This Row],[rWins]]*3+Table1[[#This Row],[rDraws]])*100</f>
        <v>380.72101120114547</v>
      </c>
      <c r="D21" s="1">
        <f>Table1[[#This Row],[Points]]/Table1[[#This Row],[xPoints]]</f>
        <v>0.9405049816845078</v>
      </c>
      <c r="E21">
        <v>401</v>
      </c>
      <c r="F21">
        <v>426.36669428563999</v>
      </c>
      <c r="G21">
        <f>Table1[[#This Row],[Wins]]+Table1[[#This Row],[Draws]]+Table1[[#This Row],[Losses]]</f>
        <v>317</v>
      </c>
      <c r="H21" s="1">
        <f>Table1[[#This Row],[Wins]]/Table1[[#This Row],[xWins]]</f>
        <v>0.88153434370952499</v>
      </c>
      <c r="I21">
        <v>99</v>
      </c>
      <c r="J21" s="1">
        <f>Table1[[#This Row],[Draws]]/Table1[[#This Row],[xDraws]]</f>
        <v>1.1626070808828797</v>
      </c>
      <c r="K21">
        <v>104</v>
      </c>
      <c r="L21" s="1">
        <f>Table1[[#This Row],[Losses]]/Table1[[#This Row],[xLosses]]</f>
        <v>0.98922538535202043</v>
      </c>
      <c r="M21">
        <v>114</v>
      </c>
      <c r="N21">
        <v>112.30418951507301</v>
      </c>
      <c r="O21">
        <v>89.454125740420196</v>
      </c>
      <c r="P21">
        <v>115.241684744506</v>
      </c>
      <c r="Q21" s="5">
        <f>Table1[[#This Row],[GoalsF_Diff]]+Table1[[#This Row],[GoalsA_Diff]]</f>
        <v>-24.847317339244704</v>
      </c>
      <c r="R21">
        <v>-30</v>
      </c>
      <c r="S21">
        <v>-5.1526826607552598</v>
      </c>
      <c r="T21">
        <v>-49.795235445278003</v>
      </c>
      <c r="U21">
        <v>24.947918106033299</v>
      </c>
      <c r="V21" s="5">
        <f>Table1[[#This Row],[GPM]]*17</f>
        <v>18.876971608832807</v>
      </c>
      <c r="W21" s="8">
        <f>Table1[[#This Row],[GoalsF]]/Table1[[#This Row],[Matches]]</f>
        <v>1.110410094637224</v>
      </c>
      <c r="X21" s="1">
        <f>Table1[[#This Row],[GoalsF]]/Table1[[#This Row],[xGoalsF]]</f>
        <v>0.87606812860761307</v>
      </c>
      <c r="Y21">
        <v>352</v>
      </c>
      <c r="Z21">
        <v>401.79523544527802</v>
      </c>
      <c r="AA21" s="1">
        <f>Table1[[#This Row],[GoalsA]]/Table1[[#This Row],[xGoalsA]]</f>
        <v>0.93869505900867478</v>
      </c>
      <c r="AB21">
        <v>382</v>
      </c>
      <c r="AC21">
        <v>406.947918106033</v>
      </c>
      <c r="AD21">
        <v>3</v>
      </c>
      <c r="AE21">
        <v>176.05058489163801</v>
      </c>
      <c r="AF21">
        <v>6</v>
      </c>
      <c r="AG21">
        <v>178.157733059484</v>
      </c>
      <c r="AH21">
        <v>5.8045939252482102E-2</v>
      </c>
      <c r="AI21">
        <v>206</v>
      </c>
      <c r="AJ21">
        <v>3548.9131996635001</v>
      </c>
      <c r="AK21">
        <v>5.2078455703424897E-2</v>
      </c>
      <c r="AL21">
        <v>186</v>
      </c>
      <c r="AM21">
        <v>3571.5344759688701</v>
      </c>
      <c r="AN21">
        <v>4.6793087722887698E-2</v>
      </c>
      <c r="AO21">
        <v>71</v>
      </c>
      <c r="AP21">
        <v>1517.3181222933399</v>
      </c>
      <c r="AQ21">
        <v>3.4663314884530297E-2</v>
      </c>
      <c r="AR21">
        <v>53</v>
      </c>
      <c r="AS21">
        <v>1528.99398619412</v>
      </c>
      <c r="AT21">
        <v>5.6670978916145302E-2</v>
      </c>
      <c r="AU21">
        <v>235</v>
      </c>
      <c r="AV21">
        <v>4146.7432625034298</v>
      </c>
      <c r="AW21">
        <v>5.4545173822958898E-2</v>
      </c>
      <c r="AX21">
        <v>226</v>
      </c>
      <c r="AY21">
        <v>4143.3546574357597</v>
      </c>
      <c r="AZ21">
        <v>7.0713226012705493E-2</v>
      </c>
      <c r="BA21">
        <v>39</v>
      </c>
      <c r="BB21">
        <v>551.52341646798197</v>
      </c>
      <c r="BC21">
        <v>6.3861134501588201E-2</v>
      </c>
      <c r="BD21">
        <v>35</v>
      </c>
      <c r="BE21">
        <v>548.06417507552305</v>
      </c>
      <c r="BF21">
        <v>5.94503549552481E-2</v>
      </c>
      <c r="BG21">
        <v>2</v>
      </c>
      <c r="BH21">
        <v>33.641514865731502</v>
      </c>
      <c r="BI21">
        <v>5.9859216316109298E-2</v>
      </c>
      <c r="BJ21">
        <v>2</v>
      </c>
      <c r="BK21">
        <v>33.4117304416121</v>
      </c>
    </row>
    <row r="22" spans="1:63" hidden="1" x14ac:dyDescent="0.45">
      <c r="A22">
        <v>11</v>
      </c>
      <c r="B22" s="4" t="s">
        <v>61</v>
      </c>
      <c r="C22" s="10">
        <f>(Table1[[#This Row],[rWins]]*3+Table1[[#This Row],[rDraws]])*100</f>
        <v>376.80148424974004</v>
      </c>
      <c r="D22" s="1">
        <f>Table1[[#This Row],[Points]]/Table1[[#This Row],[xPoints]]</f>
        <v>0.94498066034242068</v>
      </c>
      <c r="E22">
        <v>35</v>
      </c>
      <c r="F22">
        <v>37.037795024627798</v>
      </c>
      <c r="G22">
        <f>Table1[[#This Row],[Wins]]+Table1[[#This Row],[Draws]]+Table1[[#This Row],[Losses]]</f>
        <v>34</v>
      </c>
      <c r="H22" s="1">
        <f>Table1[[#This Row],[Wins]]/Table1[[#This Row],[xWins]]</f>
        <v>0.877476351136526</v>
      </c>
      <c r="I22">
        <v>8</v>
      </c>
      <c r="J22" s="1">
        <f>Table1[[#This Row],[Draws]]/Table1[[#This Row],[xDraws]]</f>
        <v>1.1355857890878225</v>
      </c>
      <c r="K22">
        <v>11</v>
      </c>
      <c r="L22" s="1">
        <f>Table1[[#This Row],[Losses]]/Table1[[#This Row],[xLosses]]</f>
        <v>0.9870814320400435</v>
      </c>
      <c r="M22">
        <v>15</v>
      </c>
      <c r="N22">
        <v>9.1170548239143194</v>
      </c>
      <c r="O22">
        <v>9.6866305528848908</v>
      </c>
      <c r="P22">
        <v>15.196314623200699</v>
      </c>
      <c r="Q22" s="5">
        <f>Table1[[#This Row],[GoalsF_Diff]]+Table1[[#This Row],[GoalsA_Diff]]</f>
        <v>0.89439728219620029</v>
      </c>
      <c r="R22">
        <v>-12</v>
      </c>
      <c r="S22">
        <v>-12.894397282196101</v>
      </c>
      <c r="T22">
        <v>-14.593500256374799</v>
      </c>
      <c r="U22">
        <v>15.487897538571</v>
      </c>
      <c r="V22" s="5">
        <f>Table1[[#This Row],[GPM]]*17</f>
        <v>11.5</v>
      </c>
      <c r="W22" s="8">
        <f>Table1[[#This Row],[GoalsF]]/Table1[[#This Row],[Matches]]</f>
        <v>0.67647058823529416</v>
      </c>
      <c r="X22" s="1">
        <f>Table1[[#This Row],[GoalsF]]/Table1[[#This Row],[xGoalsF]]</f>
        <v>0.61180788814949061</v>
      </c>
      <c r="Y22">
        <v>23</v>
      </c>
      <c r="Z22">
        <v>37.593500256374803</v>
      </c>
      <c r="AA22" s="1">
        <f>Table1[[#This Row],[GoalsA]]/Table1[[#This Row],[xGoalsA]]</f>
        <v>0.69323544267735093</v>
      </c>
      <c r="AB22">
        <v>35</v>
      </c>
      <c r="AC22">
        <v>50.487897538570998</v>
      </c>
      <c r="AD22">
        <v>0</v>
      </c>
      <c r="AE22">
        <v>16.527947092209999</v>
      </c>
      <c r="AF22">
        <v>0</v>
      </c>
      <c r="AG22">
        <v>22.081767030758801</v>
      </c>
      <c r="AH22">
        <v>0</v>
      </c>
      <c r="AI22">
        <v>0</v>
      </c>
      <c r="AJ22">
        <v>352.11795386980202</v>
      </c>
      <c r="AK22">
        <v>0</v>
      </c>
      <c r="AL22">
        <v>0</v>
      </c>
      <c r="AM22">
        <v>414.24215800484399</v>
      </c>
      <c r="AN22">
        <v>0</v>
      </c>
      <c r="AO22">
        <v>0</v>
      </c>
      <c r="AP22">
        <v>148.464292793585</v>
      </c>
      <c r="AQ22">
        <v>0</v>
      </c>
      <c r="AR22">
        <v>0</v>
      </c>
      <c r="AS22">
        <v>180.29858281490499</v>
      </c>
      <c r="AT22">
        <v>0</v>
      </c>
      <c r="AU22">
        <v>0</v>
      </c>
      <c r="AV22">
        <v>448.36460580852099</v>
      </c>
      <c r="AW22">
        <v>0</v>
      </c>
      <c r="AX22">
        <v>0</v>
      </c>
      <c r="AY22">
        <v>437.11319161670701</v>
      </c>
      <c r="AZ22">
        <v>0</v>
      </c>
      <c r="BA22">
        <v>0</v>
      </c>
      <c r="BB22">
        <v>61.642575784607402</v>
      </c>
      <c r="BC22">
        <v>0</v>
      </c>
      <c r="BD22">
        <v>0</v>
      </c>
      <c r="BE22">
        <v>55.821761359676401</v>
      </c>
      <c r="BF22">
        <v>0</v>
      </c>
      <c r="BG22">
        <v>0</v>
      </c>
      <c r="BH22">
        <v>3.8159230121442</v>
      </c>
      <c r="BI22">
        <v>0</v>
      </c>
      <c r="BJ22">
        <v>0</v>
      </c>
      <c r="BK22">
        <v>3.2649999486230801</v>
      </c>
    </row>
    <row r="23" spans="1:63" hidden="1" x14ac:dyDescent="0.45">
      <c r="A23">
        <v>18</v>
      </c>
      <c r="B23" s="4" t="s">
        <v>68</v>
      </c>
      <c r="C23" s="10">
        <f>(Table1[[#This Row],[rWins]]*3+Table1[[#This Row],[rDraws]])*100</f>
        <v>371.13805966050063</v>
      </c>
      <c r="D23" s="1">
        <f>Table1[[#This Row],[Points]]/Table1[[#This Row],[xPoints]]</f>
        <v>0.9291160618490496</v>
      </c>
      <c r="E23">
        <v>207</v>
      </c>
      <c r="F23">
        <v>222.79240290825001</v>
      </c>
      <c r="G23">
        <f>Table1[[#This Row],[Wins]]+Table1[[#This Row],[Draws]]+Table1[[#This Row],[Losses]]</f>
        <v>222</v>
      </c>
      <c r="H23" s="1">
        <f>Table1[[#This Row],[Wins]]/Table1[[#This Row],[xWins]]</f>
        <v>0.88959555838636672</v>
      </c>
      <c r="I23">
        <v>49</v>
      </c>
      <c r="J23" s="1">
        <f>Table1[[#This Row],[Draws]]/Table1[[#This Row],[xDraws]]</f>
        <v>1.0425939214459063</v>
      </c>
      <c r="K23">
        <v>60</v>
      </c>
      <c r="L23" s="1">
        <f>Table1[[#This Row],[Losses]]/Table1[[#This Row],[xLosses]]</f>
        <v>1.0331899222703149</v>
      </c>
      <c r="M23">
        <v>113</v>
      </c>
      <c r="N23">
        <v>55.081210262426303</v>
      </c>
      <c r="O23">
        <v>57.548772120971002</v>
      </c>
      <c r="P23">
        <v>109.370017616602</v>
      </c>
      <c r="Q23" s="5">
        <f>Table1[[#This Row],[GoalsF_Diff]]+Table1[[#This Row],[GoalsA_Diff]]</f>
        <v>-43.741460718140104</v>
      </c>
      <c r="R23">
        <v>-165</v>
      </c>
      <c r="S23">
        <v>-121.258539281859</v>
      </c>
      <c r="T23">
        <v>-26.110953800653</v>
      </c>
      <c r="U23">
        <v>-17.6305069174871</v>
      </c>
      <c r="V23" s="5">
        <f>Table1[[#This Row],[GPM]]*17</f>
        <v>15.927927927927927</v>
      </c>
      <c r="W23" s="8">
        <f>Table1[[#This Row],[GoalsF]]/Table1[[#This Row],[Matches]]</f>
        <v>0.93693693693693691</v>
      </c>
      <c r="X23" s="1">
        <f>Table1[[#This Row],[GoalsF]]/Table1[[#This Row],[xGoalsF]]</f>
        <v>0.88846761171676469</v>
      </c>
      <c r="Y23">
        <v>208</v>
      </c>
      <c r="Z23">
        <v>234.11095380065299</v>
      </c>
      <c r="AA23" s="1">
        <f>Table1[[#This Row],[GoalsA]]/Table1[[#This Row],[xGoalsA]]</f>
        <v>1.0496117625757888</v>
      </c>
      <c r="AB23">
        <v>373</v>
      </c>
      <c r="AC23">
        <v>355.36949308251201</v>
      </c>
      <c r="AD23">
        <v>0</v>
      </c>
      <c r="AE23">
        <v>102.950739897109</v>
      </c>
      <c r="AF23">
        <v>0</v>
      </c>
      <c r="AG23">
        <v>156.11274531808201</v>
      </c>
      <c r="AH23">
        <v>0</v>
      </c>
      <c r="AI23">
        <v>0</v>
      </c>
      <c r="AJ23">
        <v>2253.3090656111999</v>
      </c>
      <c r="AK23">
        <v>0</v>
      </c>
      <c r="AL23">
        <v>0</v>
      </c>
      <c r="AM23">
        <v>2842.5120090672899</v>
      </c>
      <c r="AN23">
        <v>0</v>
      </c>
      <c r="AO23">
        <v>0</v>
      </c>
      <c r="AP23">
        <v>930.32151460638295</v>
      </c>
      <c r="AQ23">
        <v>0</v>
      </c>
      <c r="AR23">
        <v>0</v>
      </c>
      <c r="AS23">
        <v>1229.89987339646</v>
      </c>
      <c r="AT23">
        <v>0</v>
      </c>
      <c r="AU23">
        <v>0</v>
      </c>
      <c r="AV23">
        <v>2937.9267371199498</v>
      </c>
      <c r="AW23">
        <v>0</v>
      </c>
      <c r="AX23">
        <v>0</v>
      </c>
      <c r="AY23">
        <v>2834.49916085819</v>
      </c>
      <c r="AZ23">
        <v>0</v>
      </c>
      <c r="BA23">
        <v>0</v>
      </c>
      <c r="BB23">
        <v>409.86769162695902</v>
      </c>
      <c r="BC23">
        <v>0</v>
      </c>
      <c r="BD23">
        <v>0</v>
      </c>
      <c r="BE23">
        <v>359.99565973189698</v>
      </c>
      <c r="BF23">
        <v>0</v>
      </c>
      <c r="BG23">
        <v>0</v>
      </c>
      <c r="BH23">
        <v>25.137002571123698</v>
      </c>
      <c r="BI23">
        <v>0</v>
      </c>
      <c r="BJ23">
        <v>0</v>
      </c>
      <c r="BK23">
        <v>20.524584494948801</v>
      </c>
    </row>
    <row r="24" spans="1:63" hidden="1" x14ac:dyDescent="0.45">
      <c r="A24">
        <v>16</v>
      </c>
      <c r="B24" s="4" t="s">
        <v>66</v>
      </c>
      <c r="C24" s="10">
        <f>(Table1[[#This Row],[rWins]]*3+Table1[[#This Row],[rDraws]])*100</f>
        <v>344.04563667817894</v>
      </c>
      <c r="D24" s="1">
        <f>Table1[[#This Row],[Points]]/Table1[[#This Row],[xPoints]]</f>
        <v>0.86084564156634835</v>
      </c>
      <c r="E24">
        <v>29</v>
      </c>
      <c r="F24">
        <v>33.687804874324698</v>
      </c>
      <c r="G24">
        <f>Table1[[#This Row],[Wins]]+Table1[[#This Row],[Draws]]+Table1[[#This Row],[Losses]]</f>
        <v>34</v>
      </c>
      <c r="H24" s="1">
        <f>Table1[[#This Row],[Wins]]/Table1[[#This Row],[xWins]]</f>
        <v>0.84367946012005302</v>
      </c>
      <c r="I24">
        <v>7</v>
      </c>
      <c r="J24" s="1">
        <f>Table1[[#This Row],[Draws]]/Table1[[#This Row],[xDraws]]</f>
        <v>0.90941798642163019</v>
      </c>
      <c r="K24">
        <v>8</v>
      </c>
      <c r="L24" s="1">
        <f>Table1[[#This Row],[Losses]]/Table1[[#This Row],[xLosses]]</f>
        <v>1.1238497161840271</v>
      </c>
      <c r="M24">
        <v>19</v>
      </c>
      <c r="N24">
        <v>8.2969899480590907</v>
      </c>
      <c r="O24">
        <v>8.7968350301475002</v>
      </c>
      <c r="P24">
        <v>16.906175021793398</v>
      </c>
      <c r="Q24" s="5">
        <f>Table1[[#This Row],[GoalsF_Diff]]+Table1[[#This Row],[GoalsA_Diff]]</f>
        <v>-11.38389739075313</v>
      </c>
      <c r="R24">
        <v>-30</v>
      </c>
      <c r="S24">
        <v>-18.616102609246798</v>
      </c>
      <c r="T24">
        <v>-4.7099804848099502</v>
      </c>
      <c r="U24">
        <v>-6.6739169059431802</v>
      </c>
      <c r="V24" s="5">
        <f>Table1[[#This Row],[GPM]]*17</f>
        <v>15.5</v>
      </c>
      <c r="W24" s="8">
        <f>Table1[[#This Row],[GoalsF]]/Table1[[#This Row],[Matches]]</f>
        <v>0.91176470588235292</v>
      </c>
      <c r="X24" s="1">
        <f>Table1[[#This Row],[GoalsF]]/Table1[[#This Row],[xGoalsF]]</f>
        <v>0.86810464691199141</v>
      </c>
      <c r="Y24">
        <v>31</v>
      </c>
      <c r="Z24">
        <v>35.709980484809897</v>
      </c>
      <c r="AA24" s="1">
        <f>Table1[[#This Row],[GoalsA]]/Table1[[#This Row],[xGoalsA]]</f>
        <v>1.1228492194879649</v>
      </c>
      <c r="AB24">
        <v>61</v>
      </c>
      <c r="AC24">
        <v>54.326083094056798</v>
      </c>
      <c r="AD24">
        <v>0</v>
      </c>
      <c r="AE24">
        <v>15.7668821827416</v>
      </c>
      <c r="AF24">
        <v>0</v>
      </c>
      <c r="AG24">
        <v>23.719873379970998</v>
      </c>
      <c r="AH24">
        <v>0</v>
      </c>
      <c r="AI24">
        <v>0</v>
      </c>
      <c r="AJ24">
        <v>343.629656945016</v>
      </c>
      <c r="AK24">
        <v>0</v>
      </c>
      <c r="AL24">
        <v>0</v>
      </c>
      <c r="AM24">
        <v>434.30234038724598</v>
      </c>
      <c r="AN24">
        <v>0</v>
      </c>
      <c r="AO24">
        <v>0</v>
      </c>
      <c r="AP24">
        <v>142.492705191146</v>
      </c>
      <c r="AQ24">
        <v>0</v>
      </c>
      <c r="AR24">
        <v>0</v>
      </c>
      <c r="AS24">
        <v>188.37821321243999</v>
      </c>
      <c r="AT24">
        <v>0</v>
      </c>
      <c r="AU24">
        <v>0</v>
      </c>
      <c r="AV24">
        <v>449.973002541136</v>
      </c>
      <c r="AW24">
        <v>0</v>
      </c>
      <c r="AX24">
        <v>0</v>
      </c>
      <c r="AY24">
        <v>435.08731269592198</v>
      </c>
      <c r="AZ24">
        <v>0</v>
      </c>
      <c r="BA24">
        <v>0</v>
      </c>
      <c r="BB24">
        <v>62.926590500157303</v>
      </c>
      <c r="BC24">
        <v>0</v>
      </c>
      <c r="BD24">
        <v>0</v>
      </c>
      <c r="BE24">
        <v>54.775255850378898</v>
      </c>
      <c r="BF24">
        <v>0</v>
      </c>
      <c r="BG24">
        <v>0</v>
      </c>
      <c r="BH24">
        <v>3.8557588106446499</v>
      </c>
      <c r="BI24">
        <v>0</v>
      </c>
      <c r="BJ24">
        <v>0</v>
      </c>
      <c r="BK24">
        <v>3.08061424951639</v>
      </c>
    </row>
    <row r="25" spans="1:63" hidden="1" x14ac:dyDescent="0.45">
      <c r="A25">
        <v>24</v>
      </c>
      <c r="B25" t="s">
        <v>74</v>
      </c>
      <c r="C25" s="9">
        <f>(Table1[[#This Row],[rWins]]*3+Table1[[#This Row],[rDraws]])*100</f>
        <v>340.22612200584905</v>
      </c>
      <c r="D25" s="1">
        <f>Table1[[#This Row],[Points]]/Table1[[#This Row],[xPoints]]</f>
        <v>0.84943635928453265</v>
      </c>
      <c r="E25">
        <v>107</v>
      </c>
      <c r="F25">
        <v>125.96588176437901</v>
      </c>
      <c r="G25">
        <f>Table1[[#This Row],[Wins]]+Table1[[#This Row],[Draws]]+Table1[[#This Row],[Losses]]</f>
        <v>112</v>
      </c>
      <c r="H25" s="1">
        <f>Table1[[#This Row],[Wins]]/Table1[[#This Row],[xWins]]</f>
        <v>0.81657882023480588</v>
      </c>
      <c r="I25">
        <v>26</v>
      </c>
      <c r="J25" s="1">
        <f>Table1[[#This Row],[Draws]]/Table1[[#This Row],[xDraws]]</f>
        <v>0.95252475935407321</v>
      </c>
      <c r="K25">
        <v>29</v>
      </c>
      <c r="L25" s="1">
        <f>Table1[[#This Row],[Losses]]/Table1[[#This Row],[xLosses]]</f>
        <v>1.1465482228944552</v>
      </c>
      <c r="M25">
        <v>57</v>
      </c>
      <c r="N25">
        <v>31.840159646222201</v>
      </c>
      <c r="O25">
        <v>30.4454028257129</v>
      </c>
      <c r="P25">
        <v>49.7144375280647</v>
      </c>
      <c r="Q25" s="5">
        <f>Table1[[#This Row],[GoalsF_Diff]]+Table1[[#This Row],[GoalsA_Diff]]</f>
        <v>-25.54124684482953</v>
      </c>
      <c r="R25">
        <v>-63</v>
      </c>
      <c r="S25">
        <v>-37.458753155170399</v>
      </c>
      <c r="T25">
        <v>-5.1573132765680301</v>
      </c>
      <c r="U25">
        <v>-20.383933568261501</v>
      </c>
      <c r="V25" s="5">
        <f>Table1[[#This Row],[GPM]]*17</f>
        <v>18.366071428571427</v>
      </c>
      <c r="W25" s="8">
        <f>Table1[[#This Row],[GoalsF]]/Table1[[#This Row],[Matches]]</f>
        <v>1.0803571428571428</v>
      </c>
      <c r="X25" s="1">
        <f>Table1[[#This Row],[GoalsF]]/Table1[[#This Row],[xGoalsF]]</f>
        <v>0.95911998169093937</v>
      </c>
      <c r="Y25">
        <v>121</v>
      </c>
      <c r="Z25">
        <v>126.157313276568</v>
      </c>
      <c r="AA25" s="1">
        <f>Table1[[#This Row],[GoalsA]]/Table1[[#This Row],[xGoalsA]]</f>
        <v>1.1245839361183172</v>
      </c>
      <c r="AB25">
        <v>184</v>
      </c>
      <c r="AC25">
        <v>163.61606643173801</v>
      </c>
      <c r="AD25">
        <v>11</v>
      </c>
      <c r="AE25">
        <v>55.330680254515002</v>
      </c>
      <c r="AF25">
        <v>12</v>
      </c>
      <c r="AG25">
        <v>71.672990205080197</v>
      </c>
      <c r="AH25">
        <v>0.166985056559117</v>
      </c>
      <c r="AI25">
        <v>196</v>
      </c>
      <c r="AJ25">
        <v>1173.7577244261399</v>
      </c>
      <c r="AK25">
        <v>0.16030526568636499</v>
      </c>
      <c r="AL25">
        <v>218</v>
      </c>
      <c r="AM25">
        <v>1359.90542211204</v>
      </c>
      <c r="AN25">
        <v>0.13415968827324501</v>
      </c>
      <c r="AO25">
        <v>66</v>
      </c>
      <c r="AP25">
        <v>491.95105362481701</v>
      </c>
      <c r="AQ25">
        <v>0.11620401517545099</v>
      </c>
      <c r="AR25">
        <v>68</v>
      </c>
      <c r="AS25">
        <v>585.17771436150394</v>
      </c>
      <c r="AT25">
        <v>0.15822002258121001</v>
      </c>
      <c r="AU25">
        <v>234</v>
      </c>
      <c r="AV25">
        <v>1478.95314500977</v>
      </c>
      <c r="AW25">
        <v>0.13606390355022299</v>
      </c>
      <c r="AX25">
        <v>197</v>
      </c>
      <c r="AY25">
        <v>1447.8490978122099</v>
      </c>
      <c r="AZ25">
        <v>0.14241471925422899</v>
      </c>
      <c r="BA25">
        <v>29</v>
      </c>
      <c r="BB25">
        <v>203.63063700059601</v>
      </c>
      <c r="BC25">
        <v>0.150479163767511</v>
      </c>
      <c r="BD25">
        <v>28</v>
      </c>
      <c r="BE25">
        <v>186.07227272514399</v>
      </c>
      <c r="BF25">
        <v>0.15740285305253801</v>
      </c>
      <c r="BG25">
        <v>2</v>
      </c>
      <c r="BH25">
        <v>12.706249989842499</v>
      </c>
      <c r="BI25">
        <v>0.46158011423163697</v>
      </c>
      <c r="BJ25">
        <v>5</v>
      </c>
      <c r="BK25">
        <v>10.8323557402882</v>
      </c>
    </row>
    <row r="26" spans="1:63" hidden="1" x14ac:dyDescent="0.45">
      <c r="A26">
        <v>4</v>
      </c>
      <c r="B26" s="4" t="s">
        <v>54</v>
      </c>
      <c r="C26" s="10">
        <f>(Table1[[#This Row],[rWins]]*3+Table1[[#This Row],[rDraws]])*100</f>
        <v>331.85401605007058</v>
      </c>
      <c r="D26" s="1">
        <f>Table1[[#This Row],[Points]]/Table1[[#This Row],[xPoints]]</f>
        <v>0.8313867350874119</v>
      </c>
      <c r="E26">
        <v>63</v>
      </c>
      <c r="F26">
        <v>75.777008871059493</v>
      </c>
      <c r="G26">
        <f>Table1[[#This Row],[Wins]]+Table1[[#This Row],[Draws]]+Table1[[#This Row],[Losses]]</f>
        <v>68</v>
      </c>
      <c r="H26" s="1">
        <f>Table1[[#This Row],[Wins]]/Table1[[#This Row],[xWins]]</f>
        <v>0.88856569902580285</v>
      </c>
      <c r="I26">
        <v>17</v>
      </c>
      <c r="J26" s="1">
        <f>Table1[[#This Row],[Draws]]/Table1[[#This Row],[xDraws]]</f>
        <v>0.65284306342329745</v>
      </c>
      <c r="K26">
        <v>12</v>
      </c>
      <c r="L26" s="1">
        <f>Table1[[#This Row],[Losses]]/Table1[[#This Row],[xLosses]]</f>
        <v>1.2792378229739585</v>
      </c>
      <c r="M26">
        <v>39</v>
      </c>
      <c r="N26">
        <v>19.131956161078801</v>
      </c>
      <c r="O26">
        <v>18.381140387822899</v>
      </c>
      <c r="P26">
        <v>30.486903451098101</v>
      </c>
      <c r="Q26" s="5">
        <f>Table1[[#This Row],[GoalsF_Diff]]+Table1[[#This Row],[GoalsA_Diff]]</f>
        <v>-27.95237464653642</v>
      </c>
      <c r="R26">
        <v>-52</v>
      </c>
      <c r="S26">
        <v>-24.047625353463498</v>
      </c>
      <c r="T26">
        <v>1.87421923479358</v>
      </c>
      <c r="U26">
        <v>-29.826593881329998</v>
      </c>
      <c r="V26" s="5">
        <f>Table1[[#This Row],[GPM]]*17</f>
        <v>19.5</v>
      </c>
      <c r="W26" s="8">
        <f>Table1[[#This Row],[GoalsF]]/Table1[[#This Row],[Matches]]</f>
        <v>1.1470588235294117</v>
      </c>
      <c r="X26" s="1">
        <f>Table1[[#This Row],[GoalsF]]/Table1[[#This Row],[xGoalsF]]</f>
        <v>1.0246200330026727</v>
      </c>
      <c r="Y26">
        <v>78</v>
      </c>
      <c r="Z26">
        <v>76.1257807652064</v>
      </c>
      <c r="AA26" s="1">
        <f>Table1[[#This Row],[GoalsA]]/Table1[[#This Row],[xGoalsA]]</f>
        <v>1.297749622749149</v>
      </c>
      <c r="AB26">
        <v>130</v>
      </c>
      <c r="AC26">
        <v>100.17340611866901</v>
      </c>
      <c r="AD26">
        <v>0</v>
      </c>
      <c r="AE26">
        <v>33.442223523330803</v>
      </c>
      <c r="AF26">
        <v>0</v>
      </c>
      <c r="AG26">
        <v>43.842404287392597</v>
      </c>
      <c r="AH26">
        <v>0</v>
      </c>
      <c r="AI26">
        <v>0</v>
      </c>
      <c r="AJ26">
        <v>711.80155092786197</v>
      </c>
      <c r="AK26">
        <v>0</v>
      </c>
      <c r="AL26">
        <v>0</v>
      </c>
      <c r="AM26">
        <v>828.08673653251606</v>
      </c>
      <c r="AN26">
        <v>0</v>
      </c>
      <c r="AO26">
        <v>0</v>
      </c>
      <c r="AP26">
        <v>298.491383392665</v>
      </c>
      <c r="AQ26">
        <v>0</v>
      </c>
      <c r="AR26">
        <v>0</v>
      </c>
      <c r="AS26">
        <v>357.79134286426603</v>
      </c>
      <c r="AT26">
        <v>0</v>
      </c>
      <c r="AU26">
        <v>0</v>
      </c>
      <c r="AV26">
        <v>897.67860128869802</v>
      </c>
      <c r="AW26">
        <v>0</v>
      </c>
      <c r="AX26">
        <v>0</v>
      </c>
      <c r="AY26">
        <v>877.83598659263998</v>
      </c>
      <c r="AZ26">
        <v>0</v>
      </c>
      <c r="BA26">
        <v>0</v>
      </c>
      <c r="BB26">
        <v>123.22885157025701</v>
      </c>
      <c r="BC26">
        <v>0</v>
      </c>
      <c r="BD26">
        <v>0</v>
      </c>
      <c r="BE26">
        <v>112.416617569716</v>
      </c>
      <c r="BF26">
        <v>0</v>
      </c>
      <c r="BG26">
        <v>0</v>
      </c>
      <c r="BH26">
        <v>7.5872406276391198</v>
      </c>
      <c r="BI26">
        <v>0</v>
      </c>
      <c r="BJ26">
        <v>0</v>
      </c>
      <c r="BK26">
        <v>6.63696417798218</v>
      </c>
    </row>
    <row r="27" spans="1:63" x14ac:dyDescent="0.45">
      <c r="D27" s="1"/>
      <c r="E27">
        <f>SUM(Table1[Points])</f>
        <v>7784</v>
      </c>
      <c r="F27">
        <f>SUBTOTAL(109,Table1[xPoints])</f>
        <v>426.36669428563999</v>
      </c>
      <c r="G27">
        <f>SUBTOTAL(109,Table1[Matches])</f>
        <v>317</v>
      </c>
      <c r="H27" s="1"/>
      <c r="I27">
        <f>SUBTOTAL(109,Table1[Wins])</f>
        <v>99</v>
      </c>
      <c r="J27" s="1"/>
      <c r="K27">
        <f>SUBTOTAL(109,Table1[Draws])</f>
        <v>104</v>
      </c>
      <c r="L27" s="1"/>
      <c r="M27">
        <f>SUBTOTAL(109,Table1[Losses])</f>
        <v>114</v>
      </c>
      <c r="N27">
        <f>SUBTOTAL(109,Table1[xWins])</f>
        <v>112.30418951507301</v>
      </c>
      <c r="O27">
        <f>SUBTOTAL(109,Table1[xDraws])</f>
        <v>89.454125740420196</v>
      </c>
      <c r="P27">
        <f>SUBTOTAL(109,Table1[xLosses])</f>
        <v>115.241684744506</v>
      </c>
      <c r="Y27">
        <f>SUBTOTAL(109,Table1[GoalsF])</f>
        <v>352</v>
      </c>
      <c r="Z27">
        <f>SUBTOTAL(109,Table1[xGoalsF])</f>
        <v>401.79523544527802</v>
      </c>
      <c r="AD27">
        <f>SUBTOTAL(109,Table1[HTGoalsF])</f>
        <v>3</v>
      </c>
      <c r="AE27">
        <f>SUBTOTAL(109,Table1[xHTGoalsF])</f>
        <v>176.05058489163801</v>
      </c>
      <c r="BH27">
        <f>SUBTOTAL(109,Table1[xRCard])</f>
        <v>33.641514865731502</v>
      </c>
    </row>
    <row r="29" spans="1:63" x14ac:dyDescent="0.45">
      <c r="E29">
        <v>7784</v>
      </c>
      <c r="F29">
        <v>7810.7743785847179</v>
      </c>
      <c r="I29">
        <v>2062</v>
      </c>
      <c r="K29">
        <v>1598</v>
      </c>
      <c r="N29">
        <v>2088.7743785847179</v>
      </c>
      <c r="O29">
        <v>1544.4512428305497</v>
      </c>
      <c r="Y29">
        <v>7425</v>
      </c>
      <c r="Z29">
        <v>7394.7242256684767</v>
      </c>
    </row>
    <row r="31" spans="1:63" x14ac:dyDescent="0.45">
      <c r="E31" s="1">
        <f>E29/F29</f>
        <v>0.99657212239312321</v>
      </c>
      <c r="F31" s="1"/>
      <c r="G31" s="1"/>
      <c r="H31" s="1"/>
      <c r="I31" s="1">
        <f>I29/N29</f>
        <v>0.98718177565790555</v>
      </c>
      <c r="J31" s="1"/>
      <c r="K31" s="1">
        <f>K29/O29</f>
        <v>1.0346717045410319</v>
      </c>
      <c r="M31" s="1">
        <f>Table1[[#Totals],[Losses]]/Table1[[#Totals],[xLosses]]</f>
        <v>0.98922538535202043</v>
      </c>
      <c r="Y31" s="6">
        <f>Y29/Z29</f>
        <v>1.0040942398130859</v>
      </c>
    </row>
    <row r="33" spans="7:26" x14ac:dyDescent="0.45">
      <c r="M33">
        <f>(2062+1598+2062)/2</f>
        <v>2861</v>
      </c>
      <c r="Y33">
        <f>Y29/2861</f>
        <v>2.5952464173365954</v>
      </c>
      <c r="Z33">
        <f>Z29/2861</f>
        <v>2.5846641823378107</v>
      </c>
    </row>
    <row r="34" spans="7:26" x14ac:dyDescent="0.45">
      <c r="G34">
        <f>Table1[[#Totals],[Matches]]/2</f>
        <v>158.5</v>
      </c>
      <c r="M34">
        <f>M33/19</f>
        <v>150.57894736842104</v>
      </c>
    </row>
  </sheetData>
  <conditionalFormatting sqref="X2:X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topLeftCell="A34" workbookViewId="0">
      <selection activeCell="A18" sqref="A18"/>
    </sheetView>
  </sheetViews>
  <sheetFormatPr defaultRowHeight="14.25" x14ac:dyDescent="0.45"/>
  <sheetData>
    <row r="1" spans="1:4" x14ac:dyDescent="0.45">
      <c r="A1" t="s">
        <v>84</v>
      </c>
      <c r="B1" t="s">
        <v>1</v>
      </c>
      <c r="C1" t="s">
        <v>12</v>
      </c>
      <c r="D1" t="s">
        <v>14</v>
      </c>
    </row>
    <row r="2" spans="1:4" x14ac:dyDescent="0.45">
      <c r="A2" t="s">
        <v>73</v>
      </c>
      <c r="B2" s="1">
        <v>1.0848621602451654</v>
      </c>
      <c r="C2" s="1">
        <v>1.0456266455290597</v>
      </c>
      <c r="D2" s="1">
        <v>0.94136086526498453</v>
      </c>
    </row>
    <row r="3" spans="1:4" x14ac:dyDescent="0.45">
      <c r="A3" t="s">
        <v>65</v>
      </c>
      <c r="B3" s="1">
        <v>1.0776838422370145</v>
      </c>
      <c r="C3" s="1">
        <v>1.0769420891210815</v>
      </c>
      <c r="D3" s="1">
        <v>0.97474187444163307</v>
      </c>
    </row>
    <row r="4" spans="1:4" x14ac:dyDescent="0.45">
      <c r="A4" t="s">
        <v>56</v>
      </c>
      <c r="B4" s="1">
        <v>1.0549525579222696</v>
      </c>
      <c r="C4" s="1">
        <v>1.0554424905207886</v>
      </c>
      <c r="D4" s="1">
        <v>0.95736128880056814</v>
      </c>
    </row>
    <row r="5" spans="1:4" x14ac:dyDescent="0.45">
      <c r="A5" t="s">
        <v>60</v>
      </c>
      <c r="B5" s="1">
        <v>1.0444642154604626</v>
      </c>
      <c r="C5" s="1">
        <v>1.0003444499883951</v>
      </c>
      <c r="D5" s="1">
        <v>0.92061196851014238</v>
      </c>
    </row>
    <row r="6" spans="1:4" x14ac:dyDescent="0.45">
      <c r="A6" t="s">
        <v>72</v>
      </c>
      <c r="B6" s="1">
        <v>1.0413504049916738</v>
      </c>
      <c r="C6" s="1">
        <v>1.1259537999309863</v>
      </c>
      <c r="D6" s="1">
        <v>1.0560424529838464</v>
      </c>
    </row>
    <row r="7" spans="1:4" x14ac:dyDescent="0.45">
      <c r="A7" t="s">
        <v>64</v>
      </c>
      <c r="B7" s="1">
        <v>1.0383860592811527</v>
      </c>
      <c r="C7" s="1">
        <v>1.094594260967424</v>
      </c>
      <c r="D7" s="1">
        <v>1.0440237403578103</v>
      </c>
    </row>
    <row r="8" spans="1:4" x14ac:dyDescent="0.45">
      <c r="A8" t="s">
        <v>67</v>
      </c>
      <c r="B8" s="1">
        <v>1.0303988361308265</v>
      </c>
      <c r="C8" s="1">
        <v>1.0417933009414093</v>
      </c>
      <c r="D8" s="1">
        <v>0.9411083477376444</v>
      </c>
    </row>
    <row r="9" spans="1:4" x14ac:dyDescent="0.45">
      <c r="A9" t="s">
        <v>58</v>
      </c>
      <c r="B9" s="1">
        <v>1.0270720800099371</v>
      </c>
      <c r="C9" s="1">
        <v>1.1177134083969256</v>
      </c>
      <c r="D9" s="1">
        <v>1.088475100160107</v>
      </c>
    </row>
    <row r="10" spans="1:4" x14ac:dyDescent="0.45">
      <c r="A10" t="s">
        <v>52</v>
      </c>
      <c r="B10" s="1">
        <v>1.0161473621971349</v>
      </c>
      <c r="C10" s="1">
        <v>1.066011706830043</v>
      </c>
      <c r="D10" s="1">
        <v>1.0363522457348024</v>
      </c>
    </row>
    <row r="11" spans="1:4" x14ac:dyDescent="0.45">
      <c r="A11" t="s">
        <v>51</v>
      </c>
      <c r="B11" s="1">
        <v>1.0140737421733428</v>
      </c>
      <c r="C11" s="1">
        <v>1.0741819330671405</v>
      </c>
      <c r="D11" s="1">
        <v>1.1234332289837226</v>
      </c>
    </row>
    <row r="12" spans="1:4" x14ac:dyDescent="0.45">
      <c r="A12" t="s">
        <v>55</v>
      </c>
      <c r="B12" s="1">
        <v>0.9994263312722742</v>
      </c>
      <c r="C12" s="1">
        <v>0.93939072780639288</v>
      </c>
      <c r="D12" s="1">
        <v>0.95742789737992562</v>
      </c>
    </row>
    <row r="13" spans="1:4" x14ac:dyDescent="0.45">
      <c r="A13" t="s">
        <v>63</v>
      </c>
      <c r="B13" s="1">
        <v>0.98762414686477262</v>
      </c>
      <c r="C13" s="1">
        <v>0.9472007797873816</v>
      </c>
      <c r="D13" s="1">
        <v>0.96100030988661855</v>
      </c>
    </row>
    <row r="14" spans="1:4" x14ac:dyDescent="0.45">
      <c r="A14" t="s">
        <v>71</v>
      </c>
      <c r="B14" s="1">
        <v>0.98726711708231119</v>
      </c>
      <c r="C14" s="1">
        <v>0.98197384169419333</v>
      </c>
      <c r="D14" s="1">
        <v>0.97698611029172178</v>
      </c>
    </row>
    <row r="15" spans="1:4" x14ac:dyDescent="0.45">
      <c r="A15" t="s">
        <v>57</v>
      </c>
      <c r="B15" s="1">
        <v>0.97373572492666749</v>
      </c>
      <c r="C15" s="1">
        <v>0.90782359107787769</v>
      </c>
      <c r="D15" s="1">
        <v>0.9479170860231565</v>
      </c>
    </row>
    <row r="16" spans="1:4" x14ac:dyDescent="0.45">
      <c r="A16" t="s">
        <v>69</v>
      </c>
      <c r="B16" s="1">
        <v>0.96867126718021157</v>
      </c>
      <c r="C16" s="1">
        <v>0.9523196804577726</v>
      </c>
      <c r="D16" s="1">
        <v>0.88397993957085064</v>
      </c>
    </row>
    <row r="17" spans="1:4" x14ac:dyDescent="0.45">
      <c r="A17" t="s">
        <v>50</v>
      </c>
      <c r="B17" s="1">
        <v>0.96621643033856575</v>
      </c>
      <c r="C17" s="1">
        <v>0.94563388089917444</v>
      </c>
      <c r="D17" s="1">
        <v>1.0490092249703107</v>
      </c>
    </row>
    <row r="18" spans="1:4" x14ac:dyDescent="0.45">
      <c r="A18" t="s">
        <v>70</v>
      </c>
      <c r="B18" s="1">
        <v>0.96315419049655404</v>
      </c>
      <c r="C18" s="1">
        <v>1.0964557175881102</v>
      </c>
      <c r="D18" s="1">
        <v>1.2001881566904806</v>
      </c>
    </row>
    <row r="19" spans="1:4" x14ac:dyDescent="0.45">
      <c r="A19" t="s">
        <v>61</v>
      </c>
      <c r="B19" s="1">
        <v>0.94498066034242068</v>
      </c>
      <c r="C19" s="1">
        <v>0.61180788814949061</v>
      </c>
      <c r="D19" s="1">
        <v>0.69323544267735093</v>
      </c>
    </row>
    <row r="20" spans="1:4" x14ac:dyDescent="0.45">
      <c r="A20" t="s">
        <v>53</v>
      </c>
      <c r="B20" s="1">
        <v>0.94464248611521606</v>
      </c>
      <c r="C20" s="1">
        <v>1.0187133797072323</v>
      </c>
      <c r="D20" s="1">
        <v>1.030608866406334</v>
      </c>
    </row>
    <row r="21" spans="1:4" x14ac:dyDescent="0.45">
      <c r="A21" t="s">
        <v>59</v>
      </c>
      <c r="B21" s="1">
        <v>0.94164408588774251</v>
      </c>
      <c r="C21" s="1">
        <v>1.0074283291365249</v>
      </c>
      <c r="D21" s="1">
        <v>1.0992170951317179</v>
      </c>
    </row>
    <row r="22" spans="1:4" x14ac:dyDescent="0.45">
      <c r="A22" t="s">
        <v>62</v>
      </c>
      <c r="B22" s="1">
        <v>0.9405049816845078</v>
      </c>
      <c r="C22" s="1">
        <v>0.87606812860761307</v>
      </c>
      <c r="D22" s="1">
        <v>0.93869505900867478</v>
      </c>
    </row>
    <row r="23" spans="1:4" x14ac:dyDescent="0.45">
      <c r="A23" t="s">
        <v>68</v>
      </c>
      <c r="B23" s="1">
        <v>0.9291160618490496</v>
      </c>
      <c r="C23" s="1">
        <v>0.88846761171676469</v>
      </c>
      <c r="D23" s="1">
        <v>1.0496117625757888</v>
      </c>
    </row>
    <row r="24" spans="1:4" x14ac:dyDescent="0.45">
      <c r="A24" t="s">
        <v>66</v>
      </c>
      <c r="B24" s="1">
        <v>0.86084564156634835</v>
      </c>
      <c r="C24" s="1">
        <v>0.86810464691199141</v>
      </c>
      <c r="D24" s="1">
        <v>1.1228492194879649</v>
      </c>
    </row>
    <row r="25" spans="1:4" x14ac:dyDescent="0.45">
      <c r="A25" t="s">
        <v>74</v>
      </c>
      <c r="B25" s="1">
        <v>0.84943635928453265</v>
      </c>
      <c r="C25" s="1">
        <v>0.95911998169093937</v>
      </c>
      <c r="D25" s="1">
        <v>1.1245839361183172</v>
      </c>
    </row>
    <row r="26" spans="1:4" x14ac:dyDescent="0.45">
      <c r="A26" t="s">
        <v>54</v>
      </c>
      <c r="B26" s="1">
        <v>0.8313867350874119</v>
      </c>
      <c r="C26" s="1">
        <v>1.0246200330026727</v>
      </c>
      <c r="D26" s="1">
        <v>1.297749622749149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Apertura2012-Apertura2021_LigaM</vt:lpstr>
      <vt:lpstr>Goals%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2021-11-30T15:30:41Z</dcterms:created>
  <dcterms:modified xsi:type="dcterms:W3CDTF">2021-12-25T02:08:03Z</dcterms:modified>
</cp:coreProperties>
</file>