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tables/table7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Liga MX Apertura 2021 V and xV\"/>
    </mc:Choice>
  </mc:AlternateContent>
  <xr:revisionPtr revIDLastSave="0" documentId="13_ncr:1_{740245A1-B6E3-4F7D-B931-CD3552B7B7D9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Apertura2021_LigaMX_26-11-2021" sheetId="1" r:id="rId1"/>
    <sheet name="LigaMX" sheetId="10" r:id="rId2"/>
    <sheet name="Sh&amp;ShT" sheetId="9" r:id="rId3"/>
    <sheet name="PtsVSxPts" sheetId="3" r:id="rId4"/>
    <sheet name="GVSxG" sheetId="5" r:id="rId5"/>
    <sheet name="GAVSxGA" sheetId="6" r:id="rId6"/>
    <sheet name="Scatter GDiff" sheetId="2" r:id="rId7"/>
    <sheet name="ShVSxSh" sheetId="7" r:id="rId8"/>
    <sheet name="ShAVSxShA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0" i="1" l="1"/>
  <c r="BD20" i="1"/>
  <c r="CD35" i="1"/>
  <c r="CD34" i="1"/>
  <c r="CD33" i="1"/>
  <c r="CD32" i="1"/>
  <c r="CD31" i="1"/>
  <c r="CD30" i="1"/>
  <c r="CD29" i="1"/>
  <c r="CD28" i="1"/>
  <c r="CD27" i="1"/>
  <c r="CD26" i="1"/>
  <c r="CD25" i="1"/>
  <c r="BX25" i="1"/>
  <c r="BX24" i="1"/>
  <c r="CD24" i="1"/>
  <c r="CD23" i="1"/>
  <c r="BQ69" i="1" l="1"/>
  <c r="BQ70" i="1"/>
  <c r="BQ72" i="1"/>
  <c r="BQ71" i="1"/>
  <c r="BX56" i="1"/>
  <c r="BX67" i="1"/>
  <c r="BX66" i="1"/>
  <c r="BX64" i="1"/>
  <c r="BX63" i="1"/>
  <c r="BX62" i="1"/>
  <c r="BX61" i="1"/>
  <c r="BX60" i="1"/>
  <c r="BX59" i="1"/>
  <c r="BX58" i="1"/>
  <c r="BX57" i="1"/>
  <c r="BX55" i="1"/>
  <c r="BX54" i="1"/>
  <c r="BX53" i="1"/>
  <c r="BX52" i="1"/>
  <c r="BX38" i="1"/>
  <c r="BX37" i="1"/>
  <c r="BX35" i="1"/>
  <c r="BX34" i="1"/>
  <c r="BX33" i="1"/>
  <c r="BX32" i="1"/>
  <c r="BX31" i="1"/>
  <c r="BX30" i="1"/>
  <c r="BX29" i="1"/>
  <c r="BX28" i="1"/>
  <c r="BX27" i="1"/>
  <c r="BX26" i="1"/>
  <c r="BX23" i="1"/>
  <c r="BM55" i="1"/>
  <c r="BM53" i="1"/>
  <c r="BP32" i="1"/>
  <c r="BP26" i="1"/>
  <c r="BP48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BQ44" i="1"/>
  <c r="BO43" i="1"/>
  <c r="BO44" i="1"/>
  <c r="BL43" i="1"/>
  <c r="BP43" i="1"/>
  <c r="BN43" i="1"/>
  <c r="BQ43" i="1"/>
  <c r="P34" i="10"/>
  <c r="AO24" i="1"/>
  <c r="AP24" i="1"/>
  <c r="AQ24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N20" i="1"/>
  <c r="AO20" i="1"/>
  <c r="AH20" i="1"/>
  <c r="AG20" i="1"/>
  <c r="C21" i="5"/>
  <c r="N22" i="1"/>
  <c r="N24" i="1"/>
  <c r="K24" i="1"/>
  <c r="D13" i="1"/>
  <c r="D14" i="1"/>
  <c r="D11" i="1"/>
  <c r="D10" i="1"/>
  <c r="D15" i="1"/>
  <c r="D9" i="1"/>
  <c r="D17" i="1"/>
  <c r="D3" i="1"/>
  <c r="D5" i="1"/>
  <c r="D2" i="1"/>
  <c r="D7" i="1"/>
  <c r="D18" i="1"/>
  <c r="D16" i="1"/>
  <c r="D4" i="1"/>
  <c r="D6" i="1"/>
  <c r="D12" i="1"/>
  <c r="D8" i="1"/>
  <c r="D19" i="1"/>
  <c r="AS22" i="1"/>
  <c r="AP20" i="1" l="1"/>
  <c r="AQ20" i="1"/>
  <c r="N25" i="1"/>
  <c r="O24" i="1"/>
  <c r="BJ24" i="1"/>
  <c r="BK20" i="1"/>
  <c r="BJ20" i="1"/>
  <c r="AZ20" i="1"/>
  <c r="AJ20" i="1"/>
  <c r="U20" i="1"/>
  <c r="I24" i="1"/>
  <c r="G29" i="10"/>
  <c r="D29" i="10"/>
  <c r="H10" i="10"/>
  <c r="H9" i="10"/>
  <c r="D24" i="10"/>
  <c r="F24" i="10"/>
  <c r="E24" i="10"/>
  <c r="D22" i="10"/>
  <c r="D12" i="10"/>
  <c r="D8" i="10"/>
  <c r="G24" i="1"/>
  <c r="D2" i="10"/>
  <c r="F4" i="6"/>
  <c r="E2" i="3"/>
  <c r="E3" i="3"/>
  <c r="E6" i="3"/>
  <c r="E4" i="3"/>
  <c r="E5" i="3"/>
  <c r="E7" i="3"/>
  <c r="E8" i="3"/>
  <c r="E9" i="3"/>
  <c r="E10" i="3"/>
  <c r="E11" i="3"/>
  <c r="E12" i="3"/>
  <c r="E13" i="3"/>
  <c r="E14" i="3"/>
  <c r="E16" i="3"/>
  <c r="E15" i="3"/>
  <c r="E18" i="3"/>
  <c r="E17" i="3"/>
  <c r="E19" i="3"/>
  <c r="AX20" i="1"/>
  <c r="AY20" i="1"/>
  <c r="AI5" i="1"/>
  <c r="AI18" i="1"/>
  <c r="AI10" i="1"/>
  <c r="AI3" i="1"/>
  <c r="AI2" i="1"/>
  <c r="AI15" i="1"/>
  <c r="AI7" i="1"/>
  <c r="AI14" i="1"/>
  <c r="AI6" i="1"/>
  <c r="AI12" i="1"/>
  <c r="AI16" i="1"/>
  <c r="AI11" i="1"/>
  <c r="AI19" i="1"/>
  <c r="AI13" i="1"/>
  <c r="AI4" i="1"/>
  <c r="AI9" i="1"/>
  <c r="AI17" i="1"/>
  <c r="AI8" i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C20" i="9"/>
  <c r="B20" i="9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S28" i="1"/>
  <c r="S26" i="1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AO33" i="1"/>
  <c r="AO30" i="1"/>
  <c r="AO27" i="1"/>
  <c r="AH27" i="1"/>
  <c r="AH30" i="1"/>
  <c r="AH33" i="1"/>
  <c r="AL20" i="1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" i="5"/>
  <c r="E4" i="5"/>
  <c r="E12" i="5"/>
  <c r="E3" i="5"/>
  <c r="E9" i="5"/>
  <c r="E13" i="5"/>
  <c r="E5" i="5"/>
  <c r="E6" i="5"/>
  <c r="E8" i="5"/>
  <c r="E7" i="5"/>
  <c r="E14" i="5"/>
  <c r="E10" i="5"/>
  <c r="E17" i="5"/>
  <c r="E15" i="5"/>
  <c r="E16" i="5"/>
  <c r="E11" i="5"/>
  <c r="E18" i="5"/>
  <c r="E19" i="5"/>
  <c r="R26" i="1"/>
  <c r="F2" i="6"/>
  <c r="F3" i="6"/>
  <c r="F7" i="6"/>
  <c r="F5" i="6"/>
  <c r="F6" i="6"/>
  <c r="F11" i="6"/>
  <c r="F8" i="6"/>
  <c r="F9" i="6"/>
  <c r="F17" i="6"/>
  <c r="F15" i="6"/>
  <c r="F10" i="6"/>
  <c r="F18" i="6"/>
  <c r="F13" i="6"/>
  <c r="F14" i="6"/>
  <c r="F16" i="6"/>
  <c r="F12" i="6"/>
  <c r="F19" i="6"/>
  <c r="E2" i="6"/>
  <c r="E3" i="6"/>
  <c r="E4" i="6"/>
  <c r="E7" i="6"/>
  <c r="E5" i="6"/>
  <c r="E6" i="6"/>
  <c r="E11" i="6"/>
  <c r="E8" i="6"/>
  <c r="E9" i="6"/>
  <c r="E17" i="6"/>
  <c r="E15" i="6"/>
  <c r="E10" i="6"/>
  <c r="E18" i="6"/>
  <c r="E13" i="6"/>
  <c r="E14" i="6"/>
  <c r="E16" i="6"/>
  <c r="E12" i="6"/>
  <c r="E19" i="6"/>
  <c r="T7" i="1"/>
  <c r="T12" i="1"/>
  <c r="T18" i="1"/>
  <c r="T9" i="1"/>
  <c r="T15" i="1"/>
  <c r="T16" i="1"/>
  <c r="T5" i="1"/>
  <c r="T4" i="1"/>
  <c r="T6" i="1"/>
  <c r="T2" i="1"/>
  <c r="T14" i="1"/>
  <c r="T8" i="1"/>
  <c r="T19" i="1"/>
  <c r="T13" i="1"/>
  <c r="T11" i="1"/>
  <c r="T3" i="1"/>
  <c r="T10" i="1"/>
  <c r="T17" i="1"/>
  <c r="Q2" i="1"/>
  <c r="Q18" i="1"/>
  <c r="Q16" i="1"/>
  <c r="Q13" i="1"/>
  <c r="Q12" i="1"/>
  <c r="Q6" i="1"/>
  <c r="Q7" i="1"/>
  <c r="Q4" i="1"/>
  <c r="Q15" i="1"/>
  <c r="Q10" i="1"/>
  <c r="Q19" i="1"/>
  <c r="Q9" i="1"/>
  <c r="Q11" i="1"/>
  <c r="Q5" i="1"/>
  <c r="Q17" i="1"/>
  <c r="Q3" i="1"/>
  <c r="Q14" i="1"/>
  <c r="Q8" i="1"/>
  <c r="C3" i="1"/>
  <c r="C18" i="1"/>
  <c r="C16" i="1"/>
  <c r="C19" i="1"/>
  <c r="C13" i="1"/>
  <c r="C6" i="1"/>
  <c r="C4" i="1"/>
  <c r="C7" i="1"/>
  <c r="C2" i="1"/>
  <c r="C10" i="1"/>
  <c r="C15" i="1"/>
  <c r="C8" i="1"/>
  <c r="C5" i="1"/>
  <c r="C14" i="1"/>
  <c r="C17" i="1"/>
  <c r="C11" i="1"/>
  <c r="C12" i="1"/>
  <c r="C9" i="1"/>
  <c r="AX27" i="1"/>
  <c r="BK27" i="1"/>
  <c r="BJ27" i="1"/>
  <c r="BE27" i="1"/>
  <c r="BD27" i="1"/>
  <c r="BM20" i="1"/>
  <c r="W24" i="1"/>
  <c r="Z3" i="1"/>
  <c r="Z18" i="1"/>
  <c r="Z16" i="1"/>
  <c r="Z19" i="1"/>
  <c r="Z13" i="1"/>
  <c r="Z6" i="1"/>
  <c r="Z4" i="1"/>
  <c r="Z7" i="1"/>
  <c r="Z2" i="1"/>
  <c r="Z10" i="1"/>
  <c r="Z15" i="1"/>
  <c r="Z8" i="1"/>
  <c r="Z5" i="1"/>
  <c r="Z14" i="1"/>
  <c r="Z17" i="1"/>
  <c r="Z11" i="1"/>
  <c r="Z12" i="1"/>
  <c r="Z9" i="1"/>
  <c r="Y3" i="1"/>
  <c r="Y18" i="1"/>
  <c r="Y16" i="1"/>
  <c r="Y19" i="1"/>
  <c r="Y13" i="1"/>
  <c r="Y6" i="1"/>
  <c r="Y4" i="1"/>
  <c r="Y7" i="1"/>
  <c r="Y2" i="1"/>
  <c r="Y10" i="1"/>
  <c r="Y15" i="1"/>
  <c r="Y8" i="1"/>
  <c r="Y5" i="1"/>
  <c r="Y14" i="1"/>
  <c r="Y17" i="1"/>
  <c r="Y11" i="1"/>
  <c r="Y12" i="1"/>
  <c r="Y9" i="1"/>
  <c r="X3" i="1"/>
  <c r="X18" i="1"/>
  <c r="X16" i="1"/>
  <c r="X19" i="1"/>
  <c r="X13" i="1"/>
  <c r="X6" i="1"/>
  <c r="X4" i="1"/>
  <c r="X7" i="1"/>
  <c r="X2" i="1"/>
  <c r="X10" i="1"/>
  <c r="X15" i="1"/>
  <c r="X8" i="1"/>
  <c r="X5" i="1"/>
  <c r="X14" i="1"/>
  <c r="X17" i="1"/>
  <c r="X11" i="1"/>
  <c r="X12" i="1"/>
  <c r="X9" i="1"/>
  <c r="W3" i="1"/>
  <c r="W18" i="1"/>
  <c r="W16" i="1"/>
  <c r="W19" i="1"/>
  <c r="W13" i="1"/>
  <c r="W6" i="1"/>
  <c r="W4" i="1"/>
  <c r="W7" i="1"/>
  <c r="W2" i="1"/>
  <c r="W10" i="1"/>
  <c r="W15" i="1"/>
  <c r="W8" i="1"/>
  <c r="W5" i="1"/>
  <c r="W14" i="1"/>
  <c r="W17" i="1"/>
  <c r="W11" i="1"/>
  <c r="W12" i="1"/>
  <c r="W9" i="1"/>
  <c r="E24" i="1"/>
  <c r="E20" i="1"/>
  <c r="F20" i="1"/>
  <c r="BI20" i="1"/>
  <c r="BD24" i="1"/>
  <c r="AX24" i="1"/>
  <c r="BC20" i="1"/>
  <c r="AW20" i="1"/>
  <c r="AN24" i="1"/>
  <c r="AM20" i="1"/>
  <c r="AG24" i="1"/>
  <c r="AA24" i="1"/>
  <c r="AB20" i="1"/>
  <c r="AA20" i="1"/>
  <c r="AF20" i="1"/>
  <c r="Q20" i="1" l="1"/>
  <c r="C20" i="1"/>
  <c r="Q26" i="1"/>
  <c r="W20" i="1"/>
  <c r="X20" i="1"/>
  <c r="H24" i="1" l="1"/>
  <c r="L20" i="1"/>
  <c r="J20" i="1"/>
  <c r="I20" i="1"/>
  <c r="G20" i="1"/>
  <c r="H20" i="1"/>
  <c r="K20" i="1"/>
  <c r="R24" i="1"/>
  <c r="R20" i="1"/>
  <c r="S20" i="1"/>
</calcChain>
</file>

<file path=xl/sharedStrings.xml><?xml version="1.0" encoding="utf-8"?>
<sst xmlns="http://schemas.openxmlformats.org/spreadsheetml/2006/main" count="453" uniqueCount="197">
  <si>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</si>
  <si>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</si>
  <si>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</si>
  <si>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</si>
  <si>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</si>
  <si>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</si>
  <si>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</si>
  <si>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</si>
  <si>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</si>
  <si>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</si>
  <si>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</si>
  <si>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</si>
  <si>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</si>
  <si>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</si>
  <si>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</si>
  <si>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</si>
  <si>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</si>
  <si>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</si>
  <si>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</si>
  <si>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</si>
  <si>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</si>
  <si>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</si>
  <si>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</si>
  <si>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</si>
  <si>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</si>
  <si>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</si>
  <si>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</si>
  <si>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</si>
  <si>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</si>
  <si>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</si>
  <si>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</si>
  <si>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</si>
  <si>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</si>
  <si>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</si>
  <si>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</si>
  <si>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</si>
  <si>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</si>
  <si>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</si>
  <si>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</si>
  <si>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</si>
  <si>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</si>
  <si>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</si>
  <si>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</si>
  <si>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</si>
  <si>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</si>
  <si>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</si>
  <si>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</si>
  <si>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</si>
  <si>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</si>
  <si>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</si>
  <si>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</si>
  <si>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Monterrey</t>
  </si>
  <si>
    <t>Mazatlan FC</t>
  </si>
  <si>
    <t>U.N.A.M.- Pumas</t>
  </si>
  <si>
    <t>Juarez</t>
  </si>
  <si>
    <t>Puebla</t>
  </si>
  <si>
    <t>Club Leon</t>
  </si>
  <si>
    <t>Atlas</t>
  </si>
  <si>
    <t>U.A.N.L.- Tigres</t>
  </si>
  <si>
    <t>Club America</t>
  </si>
  <si>
    <t>Guadalajara Chivas</t>
  </si>
  <si>
    <t>Atl. San Luis</t>
  </si>
  <si>
    <t>Pachuca</t>
  </si>
  <si>
    <t>Cruz Azul</t>
  </si>
  <si>
    <t>Club Tijuana</t>
  </si>
  <si>
    <t>Queretaro</t>
  </si>
  <si>
    <t>Necaxa</t>
  </si>
  <si>
    <t>Toluca</t>
  </si>
  <si>
    <t>Santos Laguna</t>
  </si>
  <si>
    <t>Rank</t>
  </si>
  <si>
    <t>Team</t>
  </si>
  <si>
    <t>2HTGoalsF</t>
  </si>
  <si>
    <t>x2HTGoalsF</t>
  </si>
  <si>
    <t>2HTGoalsA</t>
  </si>
  <si>
    <t>x2HTGoalsA</t>
  </si>
  <si>
    <t>RCPM</t>
  </si>
  <si>
    <t>YCPM</t>
  </si>
  <si>
    <t>YCPS</t>
  </si>
  <si>
    <t>RCPS</t>
  </si>
  <si>
    <t>Faltas totales por partido</t>
  </si>
  <si>
    <t>Ratio</t>
  </si>
  <si>
    <t>AME</t>
  </si>
  <si>
    <t>MFC</t>
  </si>
  <si>
    <t>PUM</t>
  </si>
  <si>
    <t>PUE</t>
  </si>
  <si>
    <t>TOL</t>
  </si>
  <si>
    <t>LEO</t>
  </si>
  <si>
    <t>TIG</t>
  </si>
  <si>
    <t>SNL</t>
  </si>
  <si>
    <t>CHI</t>
  </si>
  <si>
    <t>JUA</t>
  </si>
  <si>
    <t>SAN</t>
  </si>
  <si>
    <t>NEC</t>
  </si>
  <si>
    <t>CAZ</t>
  </si>
  <si>
    <t>QRO</t>
  </si>
  <si>
    <t>MON</t>
  </si>
  <si>
    <t>TIJ</t>
  </si>
  <si>
    <t>PAC</t>
  </si>
  <si>
    <t>Ratio Pts</t>
  </si>
  <si>
    <t>ATL</t>
  </si>
  <si>
    <t>RGoalsF</t>
  </si>
  <si>
    <t>RGoalsA</t>
  </si>
  <si>
    <t>Shots</t>
  </si>
  <si>
    <t>Expected Shots</t>
  </si>
  <si>
    <t>Min</t>
  </si>
  <si>
    <t>MinxM</t>
  </si>
  <si>
    <t>Max</t>
  </si>
  <si>
    <t>MaxxM</t>
  </si>
  <si>
    <t>AVG</t>
  </si>
  <si>
    <t>AvgxM</t>
  </si>
  <si>
    <t>MAZ</t>
  </si>
  <si>
    <t>Shots_Diff</t>
  </si>
  <si>
    <t>Gap</t>
  </si>
  <si>
    <t>ShotsA_Diff</t>
  </si>
  <si>
    <t>StdDev</t>
  </si>
  <si>
    <t>Difference</t>
  </si>
  <si>
    <t>2HTGoals</t>
  </si>
  <si>
    <t>x2HTGoals</t>
  </si>
  <si>
    <t>1HTGoals</t>
  </si>
  <si>
    <t>x1HTGoals</t>
  </si>
  <si>
    <t>Media</t>
  </si>
  <si>
    <t>RC</t>
  </si>
  <si>
    <t>YC</t>
  </si>
  <si>
    <t>RCA</t>
  </si>
  <si>
    <t>Red Card</t>
  </si>
  <si>
    <t>rPts</t>
  </si>
  <si>
    <t>Pts</t>
  </si>
  <si>
    <t>xPts</t>
  </si>
  <si>
    <t>Stats</t>
  </si>
  <si>
    <t>Apertura2021</t>
  </si>
  <si>
    <t>2013-2021</t>
  </si>
  <si>
    <t>rWins</t>
  </si>
  <si>
    <t>rDraws</t>
  </si>
  <si>
    <t>rGoals</t>
  </si>
  <si>
    <t>Goals</t>
  </si>
  <si>
    <t>xGoals</t>
  </si>
  <si>
    <t>GpM</t>
  </si>
  <si>
    <t>xGpM</t>
  </si>
  <si>
    <t>r2HGoals</t>
  </si>
  <si>
    <t>2HGoals</t>
  </si>
  <si>
    <t>x2HGoals</t>
  </si>
  <si>
    <t>r1HGoals</t>
  </si>
  <si>
    <t>1HGoals</t>
  </si>
  <si>
    <t>x1HGoals</t>
  </si>
  <si>
    <t>rShots</t>
  </si>
  <si>
    <t>xShots</t>
  </si>
  <si>
    <t>rShotsT</t>
  </si>
  <si>
    <t>ShotsT</t>
  </si>
  <si>
    <t>rFouls</t>
  </si>
  <si>
    <t>rYC</t>
  </si>
  <si>
    <t>xYC</t>
  </si>
  <si>
    <t>rRC</t>
  </si>
  <si>
    <t>xRC</t>
  </si>
  <si>
    <t>Cards</t>
  </si>
  <si>
    <t>rCards</t>
  </si>
  <si>
    <t>xCards</t>
  </si>
  <si>
    <t>xPPM</t>
  </si>
  <si>
    <t>Disparos</t>
  </si>
  <si>
    <t>Disparos a puerta</t>
  </si>
  <si>
    <t>Puntos</t>
  </si>
  <si>
    <t>Victorias</t>
  </si>
  <si>
    <t>Empates</t>
  </si>
  <si>
    <t>Goles</t>
  </si>
  <si>
    <t>Goles 1T</t>
  </si>
  <si>
    <t>Goles 2T</t>
  </si>
  <si>
    <t>Faltas</t>
  </si>
  <si>
    <t>Tarjetas A+R</t>
  </si>
  <si>
    <t>Tarjetas Amarillas</t>
  </si>
  <si>
    <t>Tarjetas Rojas</t>
  </si>
  <si>
    <t>ShotsMT</t>
  </si>
  <si>
    <t>xShotsMT</t>
  </si>
  <si>
    <t>Disparos desviados</t>
  </si>
  <si>
    <t>Goles anotados</t>
  </si>
  <si>
    <t>Goles en contra</t>
  </si>
  <si>
    <t>Disparos en contra</t>
  </si>
  <si>
    <t>Disparos a favor</t>
  </si>
  <si>
    <t>Disparos a puerta a favor</t>
  </si>
  <si>
    <t>Disparos a puerta en contra</t>
  </si>
  <si>
    <t>Faltas cometidas</t>
  </si>
  <si>
    <t>Faltas recibidas</t>
  </si>
  <si>
    <t>Tarjetas Amarillas (rivales)</t>
  </si>
  <si>
    <t>Tarjetas Amarillas (propias)</t>
  </si>
  <si>
    <t>Disparos desviados (propios)</t>
  </si>
  <si>
    <t>Disparos desviados (rivales)</t>
  </si>
  <si>
    <t>ShotsMTA</t>
  </si>
  <si>
    <t>xShotsMTA</t>
  </si>
  <si>
    <t>Goles a favor</t>
  </si>
  <si>
    <t>Goles esperados</t>
  </si>
  <si>
    <t>América</t>
  </si>
  <si>
    <t>Puntos Obtenidos</t>
  </si>
  <si>
    <t>Puntos Esperados</t>
  </si>
  <si>
    <t>Disparos en contra esperados</t>
  </si>
  <si>
    <t>Tigres</t>
  </si>
  <si>
    <t>Mazatlan</t>
  </si>
  <si>
    <t>Pumas</t>
  </si>
  <si>
    <t>Chivas</t>
  </si>
  <si>
    <t>Goles en contra esperados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</si>
</sst>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" fontId="0" fillId="0" borderId="10" xfId="0" applyNumberFormat="1" applyFont="1" applyBorder="1"/>
    <xf numFmtId="0" fontId="0" fillId="33" borderId="10" xfId="0" applyFont="1" applyFill="1" applyBorder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4" borderId="0" xfId="0" applyFill="1"/>
    <xf numFmtId="9" fontId="0" fillId="0" borderId="0" xfId="1" applyFont="1"/>
    <xf numFmtId="0" fontId="0" fillId="35" borderId="0" xfId="0" applyFill="1"/>
    <xf numFmtId="0" fontId="0" fillId="0" borderId="11" xfId="0" applyFont="1" applyBorder="1"/>
    <xf numFmtId="0" fontId="0" fillId="0" borderId="12" xfId="0" applyFont="1" applyBorder="1"/>
    <xf numFmtId="0" fontId="0" fillId="36" borderId="0" xfId="0" applyFill="1"/>
    <xf numFmtId="165" fontId="0" fillId="0" borderId="0" xfId="1" applyNumberFormat="1" applyFont="1"/>
    <xf numFmtId="0" fontId="0" fillId="0" borderId="0" xfId="0" applyAlignment="1">
      <alignment wrapText="1"/>
    </xf>
    <xf numFmtId="9" fontId="0" fillId="0" borderId="0" xfId="0" applyNumberFormat="1"/>
    <xf numFmtId="9" fontId="1" fillId="0" borderId="0" xfId="1" applyNumberFormat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6">
    <dxf>
      <numFmt numFmtId="165" formatCode="0.0"/>
    </dxf>
    <dxf>
      <numFmt numFmtId="165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4" formatCode="0.00000"/>
    </dxf>
    <dxf>
      <numFmt numFmtId="13" formatCode="0%"/>
    </dxf>
    <dxf>
      <numFmt numFmtId="166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0"/>
    </dxf>
    <dxf>
      <numFmt numFmtId="13" formatCode="0%"/>
    </dxf>
  </dxfs>
  <tableStyles count="0" defaultTableStyle="TableStyleMedium2" defaultPivotStyle="PivotStyleLight16"/>
  <colors>
    <mruColors>
      <color rgb="FF379966"/>
      <color rgb="FFCC3300"/>
      <color rgb="FFFFCCCC"/>
      <color rgb="FFFF3300"/>
      <color rgb="FFFF7C8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/>
              <a:t>Liga</a:t>
            </a:r>
            <a:r>
              <a:rPr lang="es-MX" sz="2000" b="1" baseline="0"/>
              <a:t> MX Apertura 2021</a:t>
            </a:r>
          </a:p>
          <a:p>
            <a:pPr>
              <a:defRPr sz="2000" b="1"/>
            </a:pPr>
            <a:r>
              <a:rPr lang="es-MX" sz="2000" b="1" baseline="0"/>
              <a:t>C. F. Monterrey</a:t>
            </a:r>
            <a:endParaRPr lang="es-MX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'Apertura2021_LigaMX_26-11-2021'!$BM$23:$BM$35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'Apertura2021_LigaMX_26-11-2021'!$BN$23:$BN$35</c:f>
              <c:numCache>
                <c:formatCode>0%</c:formatCode>
                <c:ptCount val="13"/>
                <c:pt idx="0">
                  <c:v>0.76423204821912893</c:v>
                </c:pt>
                <c:pt idx="1">
                  <c:v>0.71693845621286123</c:v>
                </c:pt>
                <c:pt idx="2">
                  <c:v>0.87553537387053348</c:v>
                </c:pt>
                <c:pt idx="3">
                  <c:v>0.96128359474101099</c:v>
                </c:pt>
                <c:pt idx="4">
                  <c:v>1.07859873624223</c:v>
                </c:pt>
                <c:pt idx="5">
                  <c:v>0.75185830324532898</c:v>
                </c:pt>
                <c:pt idx="6">
                  <c:v>0.83335186684056906</c:v>
                </c:pt>
                <c:pt idx="7">
                  <c:v>1.1194897736915834</c:v>
                </c:pt>
                <c:pt idx="8">
                  <c:v>1.2511995873181674</c:v>
                </c:pt>
                <c:pt idx="9">
                  <c:v>0.98221637692366104</c:v>
                </c:pt>
                <c:pt idx="10">
                  <c:v>1.0044619681009599</c:v>
                </c:pt>
                <c:pt idx="11">
                  <c:v>1.1446817298001699</c:v>
                </c:pt>
                <c:pt idx="12">
                  <c:v>1.2769723722303301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90F-BF3B-9AF3B6F9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54152"/>
        <c:axId val="990152840"/>
      </c:radarChart>
      <c:catAx>
        <c:axId val="9901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0152840"/>
        <c:crosses val="autoZero"/>
        <c:auto val="1"/>
        <c:lblAlgn val="ctr"/>
        <c:lblOffset val="100"/>
        <c:noMultiLvlLbl val="0"/>
      </c:catAx>
      <c:valAx>
        <c:axId val="990152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901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</a:t>
            </a:r>
          </a:p>
          <a:p>
            <a:pPr>
              <a:defRPr sz="2000"/>
            </a:pPr>
            <a:r>
              <a:rPr lang="es-MX" sz="2000"/>
              <a:t>Desempeño</a:t>
            </a:r>
            <a:r>
              <a:rPr lang="es-MX" sz="2000" baseline="0"/>
              <a:t> en Puntos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PtsVSxPts!$C$1</c:f>
              <c:strCache>
                <c:ptCount val="1"/>
                <c:pt idx="0">
                  <c:v>Puntos Obtenidos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PtsVSxPts!$B$2:$B$19</c:f>
              <c:strCache>
                <c:ptCount val="18"/>
                <c:pt idx="0">
                  <c:v>AME</c:v>
                </c:pt>
                <c:pt idx="1">
                  <c:v>MFC</c:v>
                </c:pt>
                <c:pt idx="2">
                  <c:v>PUE</c:v>
                </c:pt>
                <c:pt idx="3">
                  <c:v>TOL</c:v>
                </c:pt>
                <c:pt idx="4">
                  <c:v>PUM</c:v>
                </c:pt>
                <c:pt idx="5">
                  <c:v>LEO</c:v>
                </c:pt>
                <c:pt idx="6">
                  <c:v>TIG</c:v>
                </c:pt>
                <c:pt idx="7">
                  <c:v>ATL</c:v>
                </c:pt>
                <c:pt idx="8">
                  <c:v>SNL</c:v>
                </c:pt>
                <c:pt idx="9">
                  <c:v>CHI</c:v>
                </c:pt>
                <c:pt idx="10">
                  <c:v>JUA</c:v>
                </c:pt>
                <c:pt idx="11">
                  <c:v>SAN</c:v>
                </c:pt>
                <c:pt idx="12">
                  <c:v>NEC</c:v>
                </c:pt>
                <c:pt idx="13">
                  <c:v>QRO</c:v>
                </c:pt>
                <c:pt idx="14">
                  <c:v>CAZ</c:v>
                </c:pt>
                <c:pt idx="15">
                  <c:v>TIJ</c:v>
                </c:pt>
                <c:pt idx="16">
                  <c:v>MON</c:v>
                </c:pt>
                <c:pt idx="17">
                  <c:v>PAC</c:v>
                </c:pt>
              </c:strCache>
            </c:strRef>
          </c:cat>
          <c:val>
            <c:numRef>
              <c:f>PtsVSxPts!$C$2:$C$19</c:f>
              <c:numCache>
                <c:formatCode>General</c:formatCode>
                <c:ptCount val="18"/>
                <c:pt idx="0">
                  <c:v>35</c:v>
                </c:pt>
                <c:pt idx="1">
                  <c:v>20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20</c:v>
                </c:pt>
                <c:pt idx="9">
                  <c:v>22</c:v>
                </c:pt>
                <c:pt idx="10">
                  <c:v>16</c:v>
                </c:pt>
                <c:pt idx="11">
                  <c:v>24</c:v>
                </c:pt>
                <c:pt idx="12">
                  <c:v>20</c:v>
                </c:pt>
                <c:pt idx="13">
                  <c:v>15</c:v>
                </c:pt>
                <c:pt idx="14">
                  <c:v>23</c:v>
                </c:pt>
                <c:pt idx="15">
                  <c:v>15</c:v>
                </c:pt>
                <c:pt idx="16">
                  <c:v>22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D96-A38C-8F83999A4DE0}"/>
            </c:ext>
          </c:extLst>
        </c:ser>
        <c:ser>
          <c:idx val="1"/>
          <c:order val="1"/>
          <c:tx>
            <c:strRef>
              <c:f>PtsVSxPts!$D$1</c:f>
              <c:strCache>
                <c:ptCount val="1"/>
                <c:pt idx="0">
                  <c:v>Puntos Esperados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PtsVSxPts!$B$2:$B$19</c:f>
              <c:strCache>
                <c:ptCount val="18"/>
                <c:pt idx="0">
                  <c:v>AME</c:v>
                </c:pt>
                <c:pt idx="1">
                  <c:v>MFC</c:v>
                </c:pt>
                <c:pt idx="2">
                  <c:v>PUE</c:v>
                </c:pt>
                <c:pt idx="3">
                  <c:v>TOL</c:v>
                </c:pt>
                <c:pt idx="4">
                  <c:v>PUM</c:v>
                </c:pt>
                <c:pt idx="5">
                  <c:v>LEO</c:v>
                </c:pt>
                <c:pt idx="6">
                  <c:v>TIG</c:v>
                </c:pt>
                <c:pt idx="7">
                  <c:v>ATL</c:v>
                </c:pt>
                <c:pt idx="8">
                  <c:v>SNL</c:v>
                </c:pt>
                <c:pt idx="9">
                  <c:v>CHI</c:v>
                </c:pt>
                <c:pt idx="10">
                  <c:v>JUA</c:v>
                </c:pt>
                <c:pt idx="11">
                  <c:v>SAN</c:v>
                </c:pt>
                <c:pt idx="12">
                  <c:v>NEC</c:v>
                </c:pt>
                <c:pt idx="13">
                  <c:v>QRO</c:v>
                </c:pt>
                <c:pt idx="14">
                  <c:v>CAZ</c:v>
                </c:pt>
                <c:pt idx="15">
                  <c:v>TIJ</c:v>
                </c:pt>
                <c:pt idx="16">
                  <c:v>MON</c:v>
                </c:pt>
                <c:pt idx="17">
                  <c:v>PAC</c:v>
                </c:pt>
              </c:strCache>
            </c:strRef>
          </c:cat>
          <c:val>
            <c:numRef>
              <c:f>PtsVSxPts!$D$2:$D$19</c:f>
              <c:numCache>
                <c:formatCode>0</c:formatCode>
                <c:ptCount val="18"/>
                <c:pt idx="0">
                  <c:v>29.073682226030801</c:v>
                </c:pt>
                <c:pt idx="1">
                  <c:v>17.116159771796699</c:v>
                </c:pt>
                <c:pt idx="2">
                  <c:v>21.303947680580499</c:v>
                </c:pt>
                <c:pt idx="3">
                  <c:v>21.561799729024202</c:v>
                </c:pt>
                <c:pt idx="4">
                  <c:v>18.6292950090773</c:v>
                </c:pt>
                <c:pt idx="5">
                  <c:v>26.882335982926602</c:v>
                </c:pt>
                <c:pt idx="6">
                  <c:v>26.120935038702399</c:v>
                </c:pt>
                <c:pt idx="7">
                  <c:v>27.793260248366298</c:v>
                </c:pt>
                <c:pt idx="8">
                  <c:v>20.258139707634399</c:v>
                </c:pt>
                <c:pt idx="9">
                  <c:v>22.466455707151798</c:v>
                </c:pt>
                <c:pt idx="10">
                  <c:v>16.885064814339</c:v>
                </c:pt>
                <c:pt idx="11">
                  <c:v>25.377944047419</c:v>
                </c:pt>
                <c:pt idx="12">
                  <c:v>21.923521473491501</c:v>
                </c:pt>
                <c:pt idx="13">
                  <c:v>18.3621436822569</c:v>
                </c:pt>
                <c:pt idx="14">
                  <c:v>26.9387551498154</c:v>
                </c:pt>
                <c:pt idx="15">
                  <c:v>20.7447115944505</c:v>
                </c:pt>
                <c:pt idx="16">
                  <c:v>28.787068078689</c:v>
                </c:pt>
                <c:pt idx="17">
                  <c:v>26.0690266949955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4D96-A38C-8F83999A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PtsVSxPts!$E$1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Pt>
                  <c:idx val="10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3E71-4D96-A38C-8F83999A4DE0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3E71-4D96-A38C-8F83999A4DE0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3E71-4D96-A38C-8F83999A4DE0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3E71-4D96-A38C-8F83999A4DE0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3E71-4D96-A38C-8F83999A4DE0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3E71-4D96-A38C-8F83999A4DE0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E71-4D96-A38C-8F83999A4DE0}"/>
                    </c:ext>
                  </c:extLst>
                </c:dPt>
                <c:dPt>
                  <c:idx val="17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3E71-4D96-A38C-8F83999A4DE0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PtsVSxPts!$B$2:$B$19</c15:sqref>
                        </c15:formulaRef>
                      </c:ext>
                    </c:extLst>
                    <c:strCache>
                      <c:ptCount val="18"/>
                      <c:pt idx="0">
                        <c:v>AME</c:v>
                      </c:pt>
                      <c:pt idx="1">
                        <c:v>MFC</c:v>
                      </c:pt>
                      <c:pt idx="2">
                        <c:v>PUE</c:v>
                      </c:pt>
                      <c:pt idx="3">
                        <c:v>TOL</c:v>
                      </c:pt>
                      <c:pt idx="4">
                        <c:v>PUM</c:v>
                      </c:pt>
                      <c:pt idx="5">
                        <c:v>LEO</c:v>
                      </c:pt>
                      <c:pt idx="6">
                        <c:v>TIG</c:v>
                      </c:pt>
                      <c:pt idx="7">
                        <c:v>ATL</c:v>
                      </c:pt>
                      <c:pt idx="8">
                        <c:v>SNL</c:v>
                      </c:pt>
                      <c:pt idx="9">
                        <c:v>CHI</c:v>
                      </c:pt>
                      <c:pt idx="10">
                        <c:v>JUA</c:v>
                      </c:pt>
                      <c:pt idx="11">
                        <c:v>SAN</c:v>
                      </c:pt>
                      <c:pt idx="12">
                        <c:v>NEC</c:v>
                      </c:pt>
                      <c:pt idx="13">
                        <c:v>QRO</c:v>
                      </c:pt>
                      <c:pt idx="14">
                        <c:v>CAZ</c:v>
                      </c:pt>
                      <c:pt idx="15">
                        <c:v>TIJ</c:v>
                      </c:pt>
                      <c:pt idx="16">
                        <c:v>MON</c:v>
                      </c:pt>
                      <c:pt idx="17">
                        <c:v>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PtsVSxPts!$E$2:$E$19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5.926317773969199</c:v>
                      </c:pt>
                      <c:pt idx="1">
                        <c:v>2.8838402282033009</c:v>
                      </c:pt>
                      <c:pt idx="2">
                        <c:v>2.6960523194195005</c:v>
                      </c:pt>
                      <c:pt idx="3">
                        <c:v>2.4382002709757984</c:v>
                      </c:pt>
                      <c:pt idx="4">
                        <c:v>2.3707049909227003</c:v>
                      </c:pt>
                      <c:pt idx="5">
                        <c:v>2.1176640170733982</c:v>
                      </c:pt>
                      <c:pt idx="6">
                        <c:v>1.8790649612976011</c:v>
                      </c:pt>
                      <c:pt idx="7">
                        <c:v>1.2067397516337017</c:v>
                      </c:pt>
                      <c:pt idx="8">
                        <c:v>-0.25813970763439897</c:v>
                      </c:pt>
                      <c:pt idx="9">
                        <c:v>-0.46645570715179829</c:v>
                      </c:pt>
                      <c:pt idx="10">
                        <c:v>-0.88506481433899964</c:v>
                      </c:pt>
                      <c:pt idx="11">
                        <c:v>-1.3779440474189997</c:v>
                      </c:pt>
                      <c:pt idx="12">
                        <c:v>-1.9235214734915012</c:v>
                      </c:pt>
                      <c:pt idx="13">
                        <c:v>-3.3621436822568995</c:v>
                      </c:pt>
                      <c:pt idx="14">
                        <c:v>-3.9387551498153996</c:v>
                      </c:pt>
                      <c:pt idx="15">
                        <c:v>-5.7447115944505001</c:v>
                      </c:pt>
                      <c:pt idx="16">
                        <c:v>-6.7870680786889999</c:v>
                      </c:pt>
                      <c:pt idx="17">
                        <c:v>-8.0690266949955003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E71-4D96-A38C-8F83999A4DE0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</a:t>
            </a:r>
          </a:p>
          <a:p>
            <a:pPr>
              <a:defRPr sz="2000"/>
            </a:pPr>
            <a:r>
              <a:rPr lang="es-MX" sz="2000"/>
              <a:t>Desempeño</a:t>
            </a:r>
            <a:r>
              <a:rPr lang="es-MX" sz="2000" baseline="0"/>
              <a:t> en Goles a Favor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GVSxG!$C$1</c:f>
              <c:strCache>
                <c:ptCount val="1"/>
                <c:pt idx="0">
                  <c:v>Goles anotados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GVSxG!$B$2:$B$19</c:f>
              <c:strCache>
                <c:ptCount val="18"/>
                <c:pt idx="0">
                  <c:v>Tigres</c:v>
                </c:pt>
                <c:pt idx="1">
                  <c:v>Santos Laguna</c:v>
                </c:pt>
                <c:pt idx="2">
                  <c:v>Toluca</c:v>
                </c:pt>
                <c:pt idx="3">
                  <c:v>Cruz Azul</c:v>
                </c:pt>
                <c:pt idx="4">
                  <c:v>Atlas</c:v>
                </c:pt>
                <c:pt idx="5">
                  <c:v>Club America</c:v>
                </c:pt>
                <c:pt idx="6">
                  <c:v>Club Leon</c:v>
                </c:pt>
                <c:pt idx="7">
                  <c:v>Atl. San Luis</c:v>
                </c:pt>
                <c:pt idx="8">
                  <c:v>Pachuca</c:v>
                </c:pt>
                <c:pt idx="9">
                  <c:v>Monterrey</c:v>
                </c:pt>
                <c:pt idx="10">
                  <c:v>Mazatlan</c:v>
                </c:pt>
                <c:pt idx="11">
                  <c:v>Pumas</c:v>
                </c:pt>
                <c:pt idx="12">
                  <c:v>Club Tijuana</c:v>
                </c:pt>
                <c:pt idx="13">
                  <c:v>Puebla</c:v>
                </c:pt>
                <c:pt idx="14">
                  <c:v>Necaxa</c:v>
                </c:pt>
                <c:pt idx="15">
                  <c:v>Juarez</c:v>
                </c:pt>
                <c:pt idx="16">
                  <c:v>Chivas</c:v>
                </c:pt>
                <c:pt idx="17">
                  <c:v>Queretaro</c:v>
                </c:pt>
              </c:strCache>
            </c:strRef>
          </c:cat>
          <c:val>
            <c:numRef>
              <c:f>GVSxG!$C$2:$C$19</c:f>
              <c:numCache>
                <c:formatCode>General</c:formatCode>
                <c:ptCount val="18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13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2-425F-9693-B4D5CFBAFC3D}"/>
            </c:ext>
          </c:extLst>
        </c:ser>
        <c:ser>
          <c:idx val="1"/>
          <c:order val="1"/>
          <c:tx>
            <c:strRef>
              <c:f>GVSxG!$D$1</c:f>
              <c:strCache>
                <c:ptCount val="1"/>
                <c:pt idx="0">
                  <c:v>Goles esperados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GVSxG!$B$2:$B$19</c:f>
              <c:strCache>
                <c:ptCount val="18"/>
                <c:pt idx="0">
                  <c:v>Tigres</c:v>
                </c:pt>
                <c:pt idx="1">
                  <c:v>Santos Laguna</c:v>
                </c:pt>
                <c:pt idx="2">
                  <c:v>Toluca</c:v>
                </c:pt>
                <c:pt idx="3">
                  <c:v>Cruz Azul</c:v>
                </c:pt>
                <c:pt idx="4">
                  <c:v>Atlas</c:v>
                </c:pt>
                <c:pt idx="5">
                  <c:v>Club America</c:v>
                </c:pt>
                <c:pt idx="6">
                  <c:v>Club Leon</c:v>
                </c:pt>
                <c:pt idx="7">
                  <c:v>Atl. San Luis</c:v>
                </c:pt>
                <c:pt idx="8">
                  <c:v>Pachuca</c:v>
                </c:pt>
                <c:pt idx="9">
                  <c:v>Monterrey</c:v>
                </c:pt>
                <c:pt idx="10">
                  <c:v>Mazatlan</c:v>
                </c:pt>
                <c:pt idx="11">
                  <c:v>Pumas</c:v>
                </c:pt>
                <c:pt idx="12">
                  <c:v>Club Tijuana</c:v>
                </c:pt>
                <c:pt idx="13">
                  <c:v>Puebla</c:v>
                </c:pt>
                <c:pt idx="14">
                  <c:v>Necaxa</c:v>
                </c:pt>
                <c:pt idx="15">
                  <c:v>Juarez</c:v>
                </c:pt>
                <c:pt idx="16">
                  <c:v>Chivas</c:v>
                </c:pt>
                <c:pt idx="17">
                  <c:v>Queretaro</c:v>
                </c:pt>
              </c:strCache>
            </c:strRef>
          </c:cat>
          <c:val>
            <c:numRef>
              <c:f>GVSxG!$D$2:$D$19</c:f>
              <c:numCache>
                <c:formatCode>0.0</c:formatCode>
                <c:ptCount val="18"/>
                <c:pt idx="0">
                  <c:v>24.127361897796799</c:v>
                </c:pt>
                <c:pt idx="1">
                  <c:v>23.784712367637599</c:v>
                </c:pt>
                <c:pt idx="2">
                  <c:v>20.789568298393899</c:v>
                </c:pt>
                <c:pt idx="3">
                  <c:v>24.734209165761001</c:v>
                </c:pt>
                <c:pt idx="4">
                  <c:v>25.716761964900002</c:v>
                </c:pt>
                <c:pt idx="5">
                  <c:v>26.542587710476202</c:v>
                </c:pt>
                <c:pt idx="6">
                  <c:v>24.540321288438399</c:v>
                </c:pt>
                <c:pt idx="7">
                  <c:v>19.686638696358401</c:v>
                </c:pt>
                <c:pt idx="8">
                  <c:v>24.119704980274101</c:v>
                </c:pt>
                <c:pt idx="9">
                  <c:v>26.501577416233399</c:v>
                </c:pt>
                <c:pt idx="10">
                  <c:v>18.000370296524402</c:v>
                </c:pt>
                <c:pt idx="11">
                  <c:v>18.8647188786592</c:v>
                </c:pt>
                <c:pt idx="12">
                  <c:v>20.231901684878501</c:v>
                </c:pt>
                <c:pt idx="13">
                  <c:v>20.608522494308598</c:v>
                </c:pt>
                <c:pt idx="14">
                  <c:v>21.122403122054799</c:v>
                </c:pt>
                <c:pt idx="15">
                  <c:v>17.918116999320901</c:v>
                </c:pt>
                <c:pt idx="16">
                  <c:v>21.477231232411</c:v>
                </c:pt>
                <c:pt idx="17">
                  <c:v>18.6018190850838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25F-9693-B4D5CFBA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GVSxG!$E$1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Pt>
                  <c:idx val="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7BA2-425F-9693-B4D5CFBAFC3D}"/>
                    </c:ext>
                  </c:extLst>
                </c:dPt>
                <c:dPt>
                  <c:idx val="4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7BA2-425F-9693-B4D5CFBAFC3D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7BA2-425F-9693-B4D5CFBAFC3D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7BA2-425F-9693-B4D5CFBAFC3D}"/>
                    </c:ext>
                  </c:extLst>
                </c:dPt>
                <c:dPt>
                  <c:idx val="7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7BA2-425F-9693-B4D5CFBAFC3D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BA2-425F-9693-B4D5CFBAFC3D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BA2-425F-9693-B4D5CFBAFC3D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BA2-425F-9693-B4D5CFBAFC3D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BA2-425F-9693-B4D5CFBAFC3D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BA2-425F-9693-B4D5CFBAFC3D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BA2-425F-9693-B4D5CFBAFC3D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BA2-425F-9693-B4D5CFBAFC3D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BA2-425F-9693-B4D5CFBAFC3D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7BA2-425F-9693-B4D5CFBAFC3D}"/>
                    </c:ext>
                  </c:extLst>
                </c:dPt>
                <c:dPt>
                  <c:idx val="17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BA2-425F-9693-B4D5CFBAFC3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GVSxG!$B$2:$B$19</c15:sqref>
                        </c15:formulaRef>
                      </c:ext>
                    </c:extLst>
                    <c:strCache>
                      <c:ptCount val="18"/>
                      <c:pt idx="0">
                        <c:v>Tigres</c:v>
                      </c:pt>
                      <c:pt idx="1">
                        <c:v>Santos Laguna</c:v>
                      </c:pt>
                      <c:pt idx="2">
                        <c:v>Toluca</c:v>
                      </c:pt>
                      <c:pt idx="3">
                        <c:v>Cruz Azul</c:v>
                      </c:pt>
                      <c:pt idx="4">
                        <c:v>Atlas</c:v>
                      </c:pt>
                      <c:pt idx="5">
                        <c:v>Club America</c:v>
                      </c:pt>
                      <c:pt idx="6">
                        <c:v>Club Leon</c:v>
                      </c:pt>
                      <c:pt idx="7">
                        <c:v>Atl. San Luis</c:v>
                      </c:pt>
                      <c:pt idx="8">
                        <c:v>Pachuca</c:v>
                      </c:pt>
                      <c:pt idx="9">
                        <c:v>Monterrey</c:v>
                      </c:pt>
                      <c:pt idx="10">
                        <c:v>Mazatlan</c:v>
                      </c:pt>
                      <c:pt idx="11">
                        <c:v>Pumas</c:v>
                      </c:pt>
                      <c:pt idx="12">
                        <c:v>Club Tijuana</c:v>
                      </c:pt>
                      <c:pt idx="13">
                        <c:v>Puebla</c:v>
                      </c:pt>
                      <c:pt idx="14">
                        <c:v>Necaxa</c:v>
                      </c:pt>
                      <c:pt idx="15">
                        <c:v>Juarez</c:v>
                      </c:pt>
                      <c:pt idx="16">
                        <c:v>Chivas</c:v>
                      </c:pt>
                      <c:pt idx="17">
                        <c:v>Queretaro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GVSxG!$E$2:$E$19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1.8726381022032008</c:v>
                      </c:pt>
                      <c:pt idx="1">
                        <c:v>-0.78471236763759933</c:v>
                      </c:pt>
                      <c:pt idx="2">
                        <c:v>1.210431701606101</c:v>
                      </c:pt>
                      <c:pt idx="3">
                        <c:v>-3.7342091657610013</c:v>
                      </c:pt>
                      <c:pt idx="4">
                        <c:v>-4.7167619649000017</c:v>
                      </c:pt>
                      <c:pt idx="5">
                        <c:v>-5.5425877104762016</c:v>
                      </c:pt>
                      <c:pt idx="6">
                        <c:v>-4.540321288438399</c:v>
                      </c:pt>
                      <c:pt idx="7">
                        <c:v>-0.68663869635840058</c:v>
                      </c:pt>
                      <c:pt idx="8">
                        <c:v>-5.1197049802741006</c:v>
                      </c:pt>
                      <c:pt idx="9">
                        <c:v>-7.501577416233399</c:v>
                      </c:pt>
                      <c:pt idx="10">
                        <c:v>-3.7029652440168093E-4</c:v>
                      </c:pt>
                      <c:pt idx="11">
                        <c:v>-1.8647188786592004</c:v>
                      </c:pt>
                      <c:pt idx="12">
                        <c:v>-4.2319016848785012</c:v>
                      </c:pt>
                      <c:pt idx="13">
                        <c:v>-4.6085224943085983</c:v>
                      </c:pt>
                      <c:pt idx="14">
                        <c:v>-5.1224031220547985</c:v>
                      </c:pt>
                      <c:pt idx="15">
                        <c:v>-3.9181169993209011</c:v>
                      </c:pt>
                      <c:pt idx="16">
                        <c:v>-8.4772312324110004</c:v>
                      </c:pt>
                      <c:pt idx="17">
                        <c:v>-7.6018190850838003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BA2-425F-9693-B4D5CFBAFC3D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</a:t>
            </a:r>
          </a:p>
          <a:p>
            <a:pPr>
              <a:defRPr sz="2000"/>
            </a:pPr>
            <a:r>
              <a:rPr lang="es-MX" sz="2000"/>
              <a:t>Desempeño en Goles</a:t>
            </a:r>
            <a:r>
              <a:rPr lang="es-MX" sz="2000" baseline="0"/>
              <a:t> en Contra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GAVSxGA!$C$1</c:f>
              <c:strCache>
                <c:ptCount val="1"/>
                <c:pt idx="0">
                  <c:v>Goles en contra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GAVSxGA!$B$2:$B$19</c:f>
              <c:strCache>
                <c:ptCount val="18"/>
                <c:pt idx="0">
                  <c:v>Atlas</c:v>
                </c:pt>
                <c:pt idx="1">
                  <c:v>Club America</c:v>
                </c:pt>
                <c:pt idx="2">
                  <c:v>Chivas</c:v>
                </c:pt>
                <c:pt idx="3">
                  <c:v>Tigres</c:v>
                </c:pt>
                <c:pt idx="4">
                  <c:v>Club Leon</c:v>
                </c:pt>
                <c:pt idx="5">
                  <c:v>Puebla</c:v>
                </c:pt>
                <c:pt idx="6">
                  <c:v>Santos Laguna</c:v>
                </c:pt>
                <c:pt idx="7">
                  <c:v>Monterrey</c:v>
                </c:pt>
                <c:pt idx="8">
                  <c:v>Cruz Azul</c:v>
                </c:pt>
                <c:pt idx="9">
                  <c:v>Queretaro</c:v>
                </c:pt>
                <c:pt idx="10">
                  <c:v>Pachuca</c:v>
                </c:pt>
                <c:pt idx="11">
                  <c:v>Toluca</c:v>
                </c:pt>
                <c:pt idx="12">
                  <c:v>Necaxa</c:v>
                </c:pt>
                <c:pt idx="13">
                  <c:v>Pumas</c:v>
                </c:pt>
                <c:pt idx="14">
                  <c:v>Atl. San Luis</c:v>
                </c:pt>
                <c:pt idx="15">
                  <c:v>Mazatlan FC</c:v>
                </c:pt>
                <c:pt idx="16">
                  <c:v>Juarez</c:v>
                </c:pt>
                <c:pt idx="17">
                  <c:v>Club Tijuana</c:v>
                </c:pt>
              </c:strCache>
            </c:strRef>
          </c:cat>
          <c:val>
            <c:numRef>
              <c:f>GAVSxGA!$C$2:$C$19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4-4C1E-B9CE-8F26DF4A37BF}"/>
            </c:ext>
          </c:extLst>
        </c:ser>
        <c:ser>
          <c:idx val="1"/>
          <c:order val="1"/>
          <c:tx>
            <c:strRef>
              <c:f>GAVSxGA!$D$1</c:f>
              <c:strCache>
                <c:ptCount val="1"/>
                <c:pt idx="0">
                  <c:v>Goles en contra esperados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GAVSxGA!$B$2:$B$19</c:f>
              <c:strCache>
                <c:ptCount val="18"/>
                <c:pt idx="0">
                  <c:v>Atlas</c:v>
                </c:pt>
                <c:pt idx="1">
                  <c:v>Club America</c:v>
                </c:pt>
                <c:pt idx="2">
                  <c:v>Chivas</c:v>
                </c:pt>
                <c:pt idx="3">
                  <c:v>Tigres</c:v>
                </c:pt>
                <c:pt idx="4">
                  <c:v>Club Leon</c:v>
                </c:pt>
                <c:pt idx="5">
                  <c:v>Puebla</c:v>
                </c:pt>
                <c:pt idx="6">
                  <c:v>Santos Laguna</c:v>
                </c:pt>
                <c:pt idx="7">
                  <c:v>Monterrey</c:v>
                </c:pt>
                <c:pt idx="8">
                  <c:v>Cruz Azul</c:v>
                </c:pt>
                <c:pt idx="9">
                  <c:v>Queretaro</c:v>
                </c:pt>
                <c:pt idx="10">
                  <c:v>Pachuca</c:v>
                </c:pt>
                <c:pt idx="11">
                  <c:v>Toluca</c:v>
                </c:pt>
                <c:pt idx="12">
                  <c:v>Necaxa</c:v>
                </c:pt>
                <c:pt idx="13">
                  <c:v>Pumas</c:v>
                </c:pt>
                <c:pt idx="14">
                  <c:v>Atl. San Luis</c:v>
                </c:pt>
                <c:pt idx="15">
                  <c:v>Mazatlan FC</c:v>
                </c:pt>
                <c:pt idx="16">
                  <c:v>Juarez</c:v>
                </c:pt>
                <c:pt idx="17">
                  <c:v>Club Tijuana</c:v>
                </c:pt>
              </c:strCache>
            </c:strRef>
          </c:cat>
          <c:val>
            <c:numRef>
              <c:f>GAVSxGA!$D$2:$D$19</c:f>
              <c:numCache>
                <c:formatCode>0.0</c:formatCode>
                <c:ptCount val="18"/>
                <c:pt idx="0">
                  <c:v>18.644088968336501</c:v>
                </c:pt>
                <c:pt idx="1">
                  <c:v>18.070019052237299</c:v>
                </c:pt>
                <c:pt idx="2">
                  <c:v>22.132442328788301</c:v>
                </c:pt>
                <c:pt idx="3">
                  <c:v>19.6678321659852</c:v>
                </c:pt>
                <c:pt idx="4">
                  <c:v>19.404852562402901</c:v>
                </c:pt>
                <c:pt idx="5">
                  <c:v>23.079289161801402</c:v>
                </c:pt>
                <c:pt idx="6">
                  <c:v>20.4514608701223</c:v>
                </c:pt>
                <c:pt idx="7">
                  <c:v>18.274532905812599</c:v>
                </c:pt>
                <c:pt idx="8">
                  <c:v>18.8013694865278</c:v>
                </c:pt>
                <c:pt idx="9">
                  <c:v>25.2178179830122</c:v>
                </c:pt>
                <c:pt idx="10">
                  <c:v>19.8362015513035</c:v>
                </c:pt>
                <c:pt idx="11">
                  <c:v>23.120367405505402</c:v>
                </c:pt>
                <c:pt idx="12">
                  <c:v>22.867887436160999</c:v>
                </c:pt>
                <c:pt idx="13">
                  <c:v>25.6795749458208</c:v>
                </c:pt>
                <c:pt idx="14">
                  <c:v>23.672120975000698</c:v>
                </c:pt>
                <c:pt idx="15">
                  <c:v>27.130579425468898</c:v>
                </c:pt>
                <c:pt idx="16">
                  <c:v>27.375872722266401</c:v>
                </c:pt>
                <c:pt idx="17">
                  <c:v>23.942217632957998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4-4C1E-B9CE-8F26DF4A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GAVSxGA!$E$1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GAVSxGA!$B$2:$B$19</c15:sqref>
                        </c15:formulaRef>
                      </c:ext>
                    </c:extLst>
                    <c:strCache>
                      <c:ptCount val="18"/>
                      <c:pt idx="0">
                        <c:v>Atlas</c:v>
                      </c:pt>
                      <c:pt idx="1">
                        <c:v>Club America</c:v>
                      </c:pt>
                      <c:pt idx="2">
                        <c:v>Chivas</c:v>
                      </c:pt>
                      <c:pt idx="3">
                        <c:v>Tigres</c:v>
                      </c:pt>
                      <c:pt idx="4">
                        <c:v>Club Leon</c:v>
                      </c:pt>
                      <c:pt idx="5">
                        <c:v>Puebla</c:v>
                      </c:pt>
                      <c:pt idx="6">
                        <c:v>Santos Laguna</c:v>
                      </c:pt>
                      <c:pt idx="7">
                        <c:v>Monterrey</c:v>
                      </c:pt>
                      <c:pt idx="8">
                        <c:v>Cruz Azul</c:v>
                      </c:pt>
                      <c:pt idx="9">
                        <c:v>Queretaro</c:v>
                      </c:pt>
                      <c:pt idx="10">
                        <c:v>Pachuca</c:v>
                      </c:pt>
                      <c:pt idx="11">
                        <c:v>Toluca</c:v>
                      </c:pt>
                      <c:pt idx="12">
                        <c:v>Necaxa</c:v>
                      </c:pt>
                      <c:pt idx="13">
                        <c:v>Pumas</c:v>
                      </c:pt>
                      <c:pt idx="14">
                        <c:v>Atl. San Luis</c:v>
                      </c:pt>
                      <c:pt idx="15">
                        <c:v>Mazatlan FC</c:v>
                      </c:pt>
                      <c:pt idx="16">
                        <c:v>Juarez</c:v>
                      </c:pt>
                      <c:pt idx="17">
                        <c:v>Club Tijuana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GAVSxGA!$E$2:$E$19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0.53636302728350682</c:v>
                      </c:pt>
                      <c:pt idx="1">
                        <c:v>0.55340284761691338</c:v>
                      </c:pt>
                      <c:pt idx="2">
                        <c:v>0.58737304301435045</c:v>
                      </c:pt>
                      <c:pt idx="3">
                        <c:v>0.71182222228906811</c:v>
                      </c:pt>
                      <c:pt idx="4">
                        <c:v>0.72146902198706431</c:v>
                      </c:pt>
                      <c:pt idx="5">
                        <c:v>0.69326225291555543</c:v>
                      </c:pt>
                      <c:pt idx="6">
                        <c:v>0.78234020061493625</c:v>
                      </c:pt>
                      <c:pt idx="7">
                        <c:v>0.87553537387053348</c:v>
                      </c:pt>
                      <c:pt idx="8">
                        <c:v>0.90418945344281543</c:v>
                      </c:pt>
                      <c:pt idx="9">
                        <c:v>0.75343552772088418</c:v>
                      </c:pt>
                      <c:pt idx="10">
                        <c:v>1.0586704286950555</c:v>
                      </c:pt>
                      <c:pt idx="11">
                        <c:v>0.95154197224224812</c:v>
                      </c:pt>
                      <c:pt idx="12">
                        <c:v>0.96204776507738932</c:v>
                      </c:pt>
                      <c:pt idx="13">
                        <c:v>0.89565345409827801</c:v>
                      </c:pt>
                      <c:pt idx="14">
                        <c:v>0.97160706572467659</c:v>
                      </c:pt>
                      <c:pt idx="15">
                        <c:v>0.88461066841314639</c:v>
                      </c:pt>
                      <c:pt idx="16">
                        <c:v>0.91321289566290376</c:v>
                      </c:pt>
                      <c:pt idx="17">
                        <c:v>1.1277150852907112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24-4C1E-B9CE-8F26DF4A37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GAVSxGA!$F$1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Pt>
                  <c:idx val="16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6-A824-4C1E-B9CE-8F26DF4A37BF}"/>
                    </c:ext>
                  </c:extLst>
                </c:dPt>
                <c:dPt>
                  <c:idx val="17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A824-4C1E-B9CE-8F26DF4A37B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GAVSxGA!$B$2:$B$19</c15:sqref>
                        </c15:formulaRef>
                      </c:ext>
                    </c:extLst>
                    <c:strCache>
                      <c:ptCount val="18"/>
                      <c:pt idx="0">
                        <c:v>Atlas</c:v>
                      </c:pt>
                      <c:pt idx="1">
                        <c:v>Club America</c:v>
                      </c:pt>
                      <c:pt idx="2">
                        <c:v>Chivas</c:v>
                      </c:pt>
                      <c:pt idx="3">
                        <c:v>Tigres</c:v>
                      </c:pt>
                      <c:pt idx="4">
                        <c:v>Club Leon</c:v>
                      </c:pt>
                      <c:pt idx="5">
                        <c:v>Puebla</c:v>
                      </c:pt>
                      <c:pt idx="6">
                        <c:v>Santos Laguna</c:v>
                      </c:pt>
                      <c:pt idx="7">
                        <c:v>Monterrey</c:v>
                      </c:pt>
                      <c:pt idx="8">
                        <c:v>Cruz Azul</c:v>
                      </c:pt>
                      <c:pt idx="9">
                        <c:v>Queretaro</c:v>
                      </c:pt>
                      <c:pt idx="10">
                        <c:v>Pachuca</c:v>
                      </c:pt>
                      <c:pt idx="11">
                        <c:v>Toluca</c:v>
                      </c:pt>
                      <c:pt idx="12">
                        <c:v>Necaxa</c:v>
                      </c:pt>
                      <c:pt idx="13">
                        <c:v>Pumas</c:v>
                      </c:pt>
                      <c:pt idx="14">
                        <c:v>Atl. San Luis</c:v>
                      </c:pt>
                      <c:pt idx="15">
                        <c:v>Mazatlan FC</c:v>
                      </c:pt>
                      <c:pt idx="16">
                        <c:v>Juarez</c:v>
                      </c:pt>
                      <c:pt idx="17">
                        <c:v>Club Tijuana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GAVSxGA!$F$2:$F$19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-8.6440889683365008</c:v>
                      </c:pt>
                      <c:pt idx="1">
                        <c:v>-8.0700190522372992</c:v>
                      </c:pt>
                      <c:pt idx="2">
                        <c:v>-9.1324423287883008</c:v>
                      </c:pt>
                      <c:pt idx="3">
                        <c:v>-5.6678321659851996</c:v>
                      </c:pt>
                      <c:pt idx="4">
                        <c:v>-5.4048525624029011</c:v>
                      </c:pt>
                      <c:pt idx="5">
                        <c:v>-7.0792891618014018</c:v>
                      </c:pt>
                      <c:pt idx="6">
                        <c:v>-4.4514608701223004</c:v>
                      </c:pt>
                      <c:pt idx="7">
                        <c:v>-2.2745329058125989</c:v>
                      </c:pt>
                      <c:pt idx="8">
                        <c:v>-1.8013694865278005</c:v>
                      </c:pt>
                      <c:pt idx="9">
                        <c:v>-6.2178179830121998</c:v>
                      </c:pt>
                      <c:pt idx="10">
                        <c:v>1.1637984486965003</c:v>
                      </c:pt>
                      <c:pt idx="11">
                        <c:v>-1.1203674055054016</c:v>
                      </c:pt>
                      <c:pt idx="12">
                        <c:v>-0.8678874361609985</c:v>
                      </c:pt>
                      <c:pt idx="13">
                        <c:v>-2.6795749458208</c:v>
                      </c:pt>
                      <c:pt idx="14">
                        <c:v>-0.67212097500069845</c:v>
                      </c:pt>
                      <c:pt idx="15">
                        <c:v>-3.1305794254688983</c:v>
                      </c:pt>
                      <c:pt idx="16">
                        <c:v>-2.3758727222664007</c:v>
                      </c:pt>
                      <c:pt idx="17">
                        <c:v>3.0577823670420017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24-4C1E-B9CE-8F26DF4A37BF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Liga MX Apertura 2021 Temporada regular 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Desempeño en Goles</a:t>
            </a:r>
            <a:endParaRPr lang="es-MX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GDiff'!$C$1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GDiff'!$B$2:$B$19</c:f>
              <c:numCache>
                <c:formatCode>0</c:formatCode>
                <c:ptCount val="18"/>
                <c:pt idx="0">
                  <c:v>-7.5015774162334896</c:v>
                </c:pt>
                <c:pt idx="1">
                  <c:v>-3.7029652446562901E-4</c:v>
                </c:pt>
                <c:pt idx="2">
                  <c:v>-1.8647188786592499</c:v>
                </c:pt>
                <c:pt idx="3">
                  <c:v>-3.9181169993209801</c:v>
                </c:pt>
                <c:pt idx="4">
                  <c:v>-4.60852249430864</c:v>
                </c:pt>
                <c:pt idx="5">
                  <c:v>-4.5403212884384896</c:v>
                </c:pt>
                <c:pt idx="6">
                  <c:v>-4.7167619649000398</c:v>
                </c:pt>
                <c:pt idx="7">
                  <c:v>1.87263810220315</c:v>
                </c:pt>
                <c:pt idx="8">
                  <c:v>-5.5425877104761998</c:v>
                </c:pt>
                <c:pt idx="9">
                  <c:v>-8.4772312324110697</c:v>
                </c:pt>
                <c:pt idx="10">
                  <c:v>-0.68663869635844998</c:v>
                </c:pt>
                <c:pt idx="11">
                  <c:v>-5.1197049802741503</c:v>
                </c:pt>
                <c:pt idx="12">
                  <c:v>-3.7342091657610399</c:v>
                </c:pt>
                <c:pt idx="13">
                  <c:v>-4.23190168487855</c:v>
                </c:pt>
                <c:pt idx="14">
                  <c:v>-7.6018190850838803</c:v>
                </c:pt>
                <c:pt idx="15">
                  <c:v>-5.1224031220548101</c:v>
                </c:pt>
                <c:pt idx="16">
                  <c:v>1.21043170160604</c:v>
                </c:pt>
                <c:pt idx="17">
                  <c:v>-0.78471236763768804</c:v>
                </c:pt>
              </c:numCache>
            </c:numRef>
          </c:xVal>
          <c:yVal>
            <c:numRef>
              <c:f>'Scatter GDiff'!$C$2:$C$19</c:f>
              <c:numCache>
                <c:formatCode>0</c:formatCode>
                <c:ptCount val="18"/>
                <c:pt idx="0">
                  <c:v>2.27453290581261</c:v>
                </c:pt>
                <c:pt idx="1">
                  <c:v>3.13057942546898</c:v>
                </c:pt>
                <c:pt idx="2">
                  <c:v>2.67957494582084</c:v>
                </c:pt>
                <c:pt idx="3">
                  <c:v>2.3758727222664699</c:v>
                </c:pt>
                <c:pt idx="4">
                  <c:v>7.0792891618014897</c:v>
                </c:pt>
                <c:pt idx="5">
                  <c:v>5.40485256240291</c:v>
                </c:pt>
                <c:pt idx="6">
                  <c:v>8.6440889683365807</c:v>
                </c:pt>
                <c:pt idx="7">
                  <c:v>5.6678321659852697</c:v>
                </c:pt>
                <c:pt idx="8">
                  <c:v>8.0700190522373703</c:v>
                </c:pt>
                <c:pt idx="9">
                  <c:v>9.1324423287883008</c:v>
                </c:pt>
                <c:pt idx="10">
                  <c:v>0.67212097500075096</c:v>
                </c:pt>
                <c:pt idx="11">
                  <c:v>-1.1637984486964701</c:v>
                </c:pt>
                <c:pt idx="12">
                  <c:v>1.8013694865278</c:v>
                </c:pt>
                <c:pt idx="13">
                  <c:v>-3.0577823670419599</c:v>
                </c:pt>
                <c:pt idx="14">
                  <c:v>6.21781798301223</c:v>
                </c:pt>
                <c:pt idx="15">
                  <c:v>0.867887436161076</c:v>
                </c:pt>
                <c:pt idx="16">
                  <c:v>1.12036740550541</c:v>
                </c:pt>
                <c:pt idx="17">
                  <c:v>4.4514608701223102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2-42BE-ACB8-049E1914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1184"/>
        <c:axId val="697337088"/>
      </c:scatterChart>
      <c:valAx>
        <c:axId val="69733118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 flip="none" rotWithShape="1">
              <a:gsLst>
                <a:gs pos="100000">
                  <a:srgbClr val="FF0000"/>
                </a:gs>
                <a:gs pos="3000">
                  <a:srgbClr val="0070C0"/>
                </a:gs>
                <a:gs pos="77000">
                  <a:srgbClr val="FF0000"/>
                </a:gs>
                <a:gs pos="38000">
                  <a:srgbClr val="0070C0"/>
                </a:gs>
              </a:gsLst>
              <a:lin ang="10800000" scaled="1"/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7088"/>
        <c:crosses val="autoZero"/>
        <c:crossBetween val="midCat"/>
        <c:majorUnit val="1"/>
      </c:valAx>
      <c:valAx>
        <c:axId val="69733708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>
              <a:gsLst>
                <a:gs pos="33350">
                  <a:srgbClr val="D21422"/>
                </a:gs>
                <a:gs pos="0">
                  <a:srgbClr val="FF0000"/>
                </a:gs>
                <a:gs pos="26000">
                  <a:srgbClr val="FF0000"/>
                </a:gs>
                <a:gs pos="68000">
                  <a:srgbClr val="0070C0"/>
                </a:gs>
                <a:gs pos="100000">
                  <a:srgbClr val="0070C0"/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1184"/>
        <c:crosses val="autoZero"/>
        <c:crossBetween val="midCat"/>
        <c:majorUnit val="1"/>
      </c:valAx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2021 - Regular</a:t>
            </a:r>
            <a:r>
              <a:rPr lang="es-MX" sz="2000" baseline="0"/>
              <a:t> Season</a:t>
            </a:r>
            <a:endParaRPr lang="es-MX" sz="2000"/>
          </a:p>
          <a:p>
            <a:pPr>
              <a:defRPr sz="2000"/>
            </a:pPr>
            <a:r>
              <a:rPr lang="es-MX" sz="2000"/>
              <a:t>Shots'</a:t>
            </a:r>
            <a:r>
              <a:rPr lang="es-MX" sz="2000" baseline="0"/>
              <a:t> Performance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ShVSxSh!$C$1</c:f>
              <c:strCache>
                <c:ptCount val="1"/>
                <c:pt idx="0">
                  <c:v>Shots</c:v>
                </c:pt>
              </c:strCache>
            </c:strRef>
          </c:tx>
          <c:spPr>
            <a:gradFill flip="none" rotWithShape="1">
              <a:gsLst>
                <a:gs pos="0">
                  <a:srgbClr val="CC9900">
                    <a:tint val="66000"/>
                    <a:satMod val="160000"/>
                  </a:srgbClr>
                </a:gs>
                <a:gs pos="50000">
                  <a:srgbClr val="CC9900">
                    <a:tint val="44500"/>
                    <a:satMod val="160000"/>
                  </a:srgbClr>
                </a:gs>
                <a:gs pos="100000">
                  <a:srgbClr val="CC9900">
                    <a:tint val="23500"/>
                    <a:satMod val="160000"/>
                  </a:srgbClr>
                </a:gs>
              </a:gsLst>
              <a:lin ang="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ShVSxSh!$B$2:$B$19</c:f>
              <c:strCache>
                <c:ptCount val="18"/>
                <c:pt idx="0">
                  <c:v>Pachuca</c:v>
                </c:pt>
                <c:pt idx="1">
                  <c:v>Necaxa</c:v>
                </c:pt>
                <c:pt idx="2">
                  <c:v>U.N.A.M.- Pumas</c:v>
                </c:pt>
                <c:pt idx="3">
                  <c:v>Santos Laguna</c:v>
                </c:pt>
                <c:pt idx="4">
                  <c:v>Toluca</c:v>
                </c:pt>
                <c:pt idx="5">
                  <c:v>Puebla</c:v>
                </c:pt>
                <c:pt idx="6">
                  <c:v>Atlas</c:v>
                </c:pt>
                <c:pt idx="7">
                  <c:v>U.A.N.L.- Tigres</c:v>
                </c:pt>
                <c:pt idx="8">
                  <c:v>Club Tijuana</c:v>
                </c:pt>
                <c:pt idx="9">
                  <c:v>Guadalajara Chivas</c:v>
                </c:pt>
                <c:pt idx="10">
                  <c:v>Atl. San Luis</c:v>
                </c:pt>
                <c:pt idx="11">
                  <c:v>Queretaro</c:v>
                </c:pt>
                <c:pt idx="12">
                  <c:v>Club America</c:v>
                </c:pt>
                <c:pt idx="13">
                  <c:v>Monterrey</c:v>
                </c:pt>
                <c:pt idx="14">
                  <c:v>Club Leon</c:v>
                </c:pt>
                <c:pt idx="15">
                  <c:v>Juarez</c:v>
                </c:pt>
                <c:pt idx="16">
                  <c:v>Cruz Azul</c:v>
                </c:pt>
                <c:pt idx="17">
                  <c:v>Mazatlan FC</c:v>
                </c:pt>
              </c:strCache>
            </c:strRef>
          </c:cat>
          <c:val>
            <c:numRef>
              <c:f>ShVSxSh!$C$2:$C$19</c:f>
              <c:numCache>
                <c:formatCode>General</c:formatCode>
                <c:ptCount val="18"/>
                <c:pt idx="0">
                  <c:v>271</c:v>
                </c:pt>
                <c:pt idx="1">
                  <c:v>248</c:v>
                </c:pt>
                <c:pt idx="2">
                  <c:v>225</c:v>
                </c:pt>
                <c:pt idx="3">
                  <c:v>250</c:v>
                </c:pt>
                <c:pt idx="4">
                  <c:v>226</c:v>
                </c:pt>
                <c:pt idx="5">
                  <c:v>221</c:v>
                </c:pt>
                <c:pt idx="6">
                  <c:v>237</c:v>
                </c:pt>
                <c:pt idx="7">
                  <c:v>227</c:v>
                </c:pt>
                <c:pt idx="8">
                  <c:v>201</c:v>
                </c:pt>
                <c:pt idx="9">
                  <c:v>206</c:v>
                </c:pt>
                <c:pt idx="10">
                  <c:v>196</c:v>
                </c:pt>
                <c:pt idx="11">
                  <c:v>188</c:v>
                </c:pt>
                <c:pt idx="12">
                  <c:v>224</c:v>
                </c:pt>
                <c:pt idx="13">
                  <c:v>205</c:v>
                </c:pt>
                <c:pt idx="14">
                  <c:v>189</c:v>
                </c:pt>
                <c:pt idx="15">
                  <c:v>157</c:v>
                </c:pt>
                <c:pt idx="16">
                  <c:v>169</c:v>
                </c:pt>
                <c:pt idx="1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1-46C3-9DBD-2E047CC0982F}"/>
            </c:ext>
          </c:extLst>
        </c:ser>
        <c:ser>
          <c:idx val="1"/>
          <c:order val="1"/>
          <c:tx>
            <c:strRef>
              <c:f>ShVSxSh!$D$1</c:f>
              <c:strCache>
                <c:ptCount val="1"/>
                <c:pt idx="0">
                  <c:v>Expected Shots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ShVSxSh!$B$2:$B$19</c:f>
              <c:strCache>
                <c:ptCount val="18"/>
                <c:pt idx="0">
                  <c:v>Pachuca</c:v>
                </c:pt>
                <c:pt idx="1">
                  <c:v>Necaxa</c:v>
                </c:pt>
                <c:pt idx="2">
                  <c:v>U.N.A.M.- Pumas</c:v>
                </c:pt>
                <c:pt idx="3">
                  <c:v>Santos Laguna</c:v>
                </c:pt>
                <c:pt idx="4">
                  <c:v>Toluca</c:v>
                </c:pt>
                <c:pt idx="5">
                  <c:v>Puebla</c:v>
                </c:pt>
                <c:pt idx="6">
                  <c:v>Atlas</c:v>
                </c:pt>
                <c:pt idx="7">
                  <c:v>U.A.N.L.- Tigres</c:v>
                </c:pt>
                <c:pt idx="8">
                  <c:v>Club Tijuana</c:v>
                </c:pt>
                <c:pt idx="9">
                  <c:v>Guadalajara Chivas</c:v>
                </c:pt>
                <c:pt idx="10">
                  <c:v>Atl. San Luis</c:v>
                </c:pt>
                <c:pt idx="11">
                  <c:v>Queretaro</c:v>
                </c:pt>
                <c:pt idx="12">
                  <c:v>Club America</c:v>
                </c:pt>
                <c:pt idx="13">
                  <c:v>Monterrey</c:v>
                </c:pt>
                <c:pt idx="14">
                  <c:v>Club Leon</c:v>
                </c:pt>
                <c:pt idx="15">
                  <c:v>Juarez</c:v>
                </c:pt>
                <c:pt idx="16">
                  <c:v>Cruz Azul</c:v>
                </c:pt>
                <c:pt idx="17">
                  <c:v>Mazatlan FC</c:v>
                </c:pt>
              </c:strCache>
            </c:strRef>
          </c:cat>
          <c:val>
            <c:numRef>
              <c:f>ShVSxSh!$D$2:$D$19</c:f>
              <c:numCache>
                <c:formatCode>0.0</c:formatCode>
                <c:ptCount val="18"/>
                <c:pt idx="0">
                  <c:v>203.017433822036</c:v>
                </c:pt>
                <c:pt idx="1">
                  <c:v>187.10975955558601</c:v>
                </c:pt>
                <c:pt idx="2">
                  <c:v>178.27190133257201</c:v>
                </c:pt>
                <c:pt idx="3">
                  <c:v>200.69060430784899</c:v>
                </c:pt>
                <c:pt idx="4">
                  <c:v>186.014459710719</c:v>
                </c:pt>
                <c:pt idx="5">
                  <c:v>186.393995864228</c:v>
                </c:pt>
                <c:pt idx="6">
                  <c:v>210.509549046355</c:v>
                </c:pt>
                <c:pt idx="7">
                  <c:v>203.80590977918101</c:v>
                </c:pt>
                <c:pt idx="8">
                  <c:v>183.38923446394799</c:v>
                </c:pt>
                <c:pt idx="9">
                  <c:v>190.13646300812599</c:v>
                </c:pt>
                <c:pt idx="10">
                  <c:v>180.98293445373901</c:v>
                </c:pt>
                <c:pt idx="11">
                  <c:v>175.53505328465599</c:v>
                </c:pt>
                <c:pt idx="12">
                  <c:v>215.01604335803901</c:v>
                </c:pt>
                <c:pt idx="13">
                  <c:v>213.25652608815301</c:v>
                </c:pt>
                <c:pt idx="14">
                  <c:v>204.02331774761001</c:v>
                </c:pt>
                <c:pt idx="15">
                  <c:v>171.67790500918301</c:v>
                </c:pt>
                <c:pt idx="16">
                  <c:v>205.98402391950799</c:v>
                </c:pt>
                <c:pt idx="17">
                  <c:v>173.284144126515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1-46C3-9DBD-2E047CC0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ShVSxSh!$E$1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ShVSxSh!$B$2:$B$19</c15:sqref>
                        </c15:formulaRef>
                      </c:ext>
                    </c:extLst>
                    <c:strCache>
                      <c:ptCount val="18"/>
                      <c:pt idx="0">
                        <c:v>Pachuca</c:v>
                      </c:pt>
                      <c:pt idx="1">
                        <c:v>Necaxa</c:v>
                      </c:pt>
                      <c:pt idx="2">
                        <c:v>U.N.A.M.- Pumas</c:v>
                      </c:pt>
                      <c:pt idx="3">
                        <c:v>Santos Laguna</c:v>
                      </c:pt>
                      <c:pt idx="4">
                        <c:v>Toluca</c:v>
                      </c:pt>
                      <c:pt idx="5">
                        <c:v>Puebla</c:v>
                      </c:pt>
                      <c:pt idx="6">
                        <c:v>Atlas</c:v>
                      </c:pt>
                      <c:pt idx="7">
                        <c:v>U.A.N.L.- Tigres</c:v>
                      </c:pt>
                      <c:pt idx="8">
                        <c:v>Club Tijuana</c:v>
                      </c:pt>
                      <c:pt idx="9">
                        <c:v>Guadalajara Chivas</c:v>
                      </c:pt>
                      <c:pt idx="10">
                        <c:v>Atl. San Luis</c:v>
                      </c:pt>
                      <c:pt idx="11">
                        <c:v>Queretaro</c:v>
                      </c:pt>
                      <c:pt idx="12">
                        <c:v>Club America</c:v>
                      </c:pt>
                      <c:pt idx="13">
                        <c:v>Monterrey</c:v>
                      </c:pt>
                      <c:pt idx="14">
                        <c:v>Club Leon</c:v>
                      </c:pt>
                      <c:pt idx="15">
                        <c:v>Juarez</c:v>
                      </c:pt>
                      <c:pt idx="16">
                        <c:v>Cruz Azul</c:v>
                      </c:pt>
                      <c:pt idx="17">
                        <c:v>Mazatlan FC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ShVSxSh!$E$2:$E$19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1.3348607304215911</c:v>
                      </c:pt>
                      <c:pt idx="1">
                        <c:v>1.3254252508743398</c:v>
                      </c:pt>
                      <c:pt idx="2">
                        <c:v>1.2621170151781531</c:v>
                      </c:pt>
                      <c:pt idx="3">
                        <c:v>1.2456985759857147</c:v>
                      </c:pt>
                      <c:pt idx="4">
                        <c:v>1.2149593120420028</c:v>
                      </c:pt>
                      <c:pt idx="5">
                        <c:v>1.1856605089413905</c:v>
                      </c:pt>
                      <c:pt idx="6">
                        <c:v>1.1258396641560982</c:v>
                      </c:pt>
                      <c:pt idx="7">
                        <c:v>1.1138047971521006</c:v>
                      </c:pt>
                      <c:pt idx="8">
                        <c:v>1.0960294402641944</c:v>
                      </c:pt>
                      <c:pt idx="9">
                        <c:v>1.0834323766251823</c:v>
                      </c:pt>
                      <c:pt idx="10">
                        <c:v>1.0829750362463015</c:v>
                      </c:pt>
                      <c:pt idx="11">
                        <c:v>1.0710111540806055</c:v>
                      </c:pt>
                      <c:pt idx="12">
                        <c:v>1.0417827270079616</c:v>
                      </c:pt>
                      <c:pt idx="13">
                        <c:v>0.96128359474101144</c:v>
                      </c:pt>
                      <c:pt idx="14">
                        <c:v>0.9263647022631265</c:v>
                      </c:pt>
                      <c:pt idx="15">
                        <c:v>0.91450323786046961</c:v>
                      </c:pt>
                      <c:pt idx="16">
                        <c:v>0.82045197867403463</c:v>
                      </c:pt>
                      <c:pt idx="17">
                        <c:v>0.76175463522863707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5F1-46C3-9DBD-2E047CC0982F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2021 - Regular</a:t>
            </a:r>
            <a:r>
              <a:rPr lang="es-MX" sz="2000" baseline="0"/>
              <a:t> Season</a:t>
            </a:r>
            <a:endParaRPr lang="es-MX" sz="2000"/>
          </a:p>
          <a:p>
            <a:pPr>
              <a:defRPr sz="2000"/>
            </a:pPr>
            <a:r>
              <a:rPr lang="es-MX" sz="2000"/>
              <a:t>Shots Against</a:t>
            </a:r>
            <a:r>
              <a:rPr lang="es-MX" sz="2000" baseline="0"/>
              <a:t> Performance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ShAVSxShA!$C$1</c:f>
              <c:strCache>
                <c:ptCount val="1"/>
                <c:pt idx="0">
                  <c:v>Disparos en contra</c:v>
                </c:pt>
              </c:strCache>
            </c:strRef>
          </c:tx>
          <c:spPr>
            <a:gradFill flip="none" rotWithShape="1">
              <a:gsLst>
                <a:gs pos="0">
                  <a:srgbClr val="CC9900">
                    <a:tint val="66000"/>
                    <a:satMod val="160000"/>
                  </a:srgbClr>
                </a:gs>
                <a:gs pos="50000">
                  <a:srgbClr val="CC9900">
                    <a:tint val="44500"/>
                    <a:satMod val="160000"/>
                  </a:srgbClr>
                </a:gs>
                <a:gs pos="100000">
                  <a:srgbClr val="CC9900">
                    <a:tint val="23500"/>
                    <a:satMod val="160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ShAVSxShA!$B$2:$B$19</c:f>
              <c:strCache>
                <c:ptCount val="18"/>
                <c:pt idx="0">
                  <c:v>PAC</c:v>
                </c:pt>
                <c:pt idx="1">
                  <c:v>SAN</c:v>
                </c:pt>
                <c:pt idx="2">
                  <c:v>QRO</c:v>
                </c:pt>
                <c:pt idx="3">
                  <c:v>TIJ</c:v>
                </c:pt>
                <c:pt idx="4">
                  <c:v>MAZ</c:v>
                </c:pt>
                <c:pt idx="5">
                  <c:v>TOL</c:v>
                </c:pt>
                <c:pt idx="6">
                  <c:v>TIG</c:v>
                </c:pt>
                <c:pt idx="7">
                  <c:v>PUM</c:v>
                </c:pt>
                <c:pt idx="8">
                  <c:v>JUA</c:v>
                </c:pt>
                <c:pt idx="9">
                  <c:v>SNL</c:v>
                </c:pt>
                <c:pt idx="10">
                  <c:v>MON</c:v>
                </c:pt>
                <c:pt idx="11">
                  <c:v>CAZ</c:v>
                </c:pt>
                <c:pt idx="12">
                  <c:v>LEO</c:v>
                </c:pt>
                <c:pt idx="13">
                  <c:v>PUE</c:v>
                </c:pt>
                <c:pt idx="14">
                  <c:v>NEC</c:v>
                </c:pt>
                <c:pt idx="15">
                  <c:v>ATL</c:v>
                </c:pt>
                <c:pt idx="16">
                  <c:v>CHI</c:v>
                </c:pt>
                <c:pt idx="17">
                  <c:v>AME</c:v>
                </c:pt>
              </c:strCache>
            </c:strRef>
          </c:cat>
          <c:val>
            <c:numRef>
              <c:f>ShAVSxShA!$C$2:$C$19</c:f>
              <c:numCache>
                <c:formatCode>General</c:formatCode>
                <c:ptCount val="18"/>
                <c:pt idx="0">
                  <c:v>225</c:v>
                </c:pt>
                <c:pt idx="1">
                  <c:v>224</c:v>
                </c:pt>
                <c:pt idx="2">
                  <c:v>250</c:v>
                </c:pt>
                <c:pt idx="3">
                  <c:v>234</c:v>
                </c:pt>
                <c:pt idx="4">
                  <c:v>251</c:v>
                </c:pt>
                <c:pt idx="5">
                  <c:v>228</c:v>
                </c:pt>
                <c:pt idx="6">
                  <c:v>201</c:v>
                </c:pt>
                <c:pt idx="7">
                  <c:v>232</c:v>
                </c:pt>
                <c:pt idx="8">
                  <c:v>236</c:v>
                </c:pt>
                <c:pt idx="9">
                  <c:v>218</c:v>
                </c:pt>
                <c:pt idx="10">
                  <c:v>188</c:v>
                </c:pt>
                <c:pt idx="11">
                  <c:v>190</c:v>
                </c:pt>
                <c:pt idx="12">
                  <c:v>189</c:v>
                </c:pt>
                <c:pt idx="13">
                  <c:v>206</c:v>
                </c:pt>
                <c:pt idx="14">
                  <c:v>200</c:v>
                </c:pt>
                <c:pt idx="15">
                  <c:v>174</c:v>
                </c:pt>
                <c:pt idx="16">
                  <c:v>186</c:v>
                </c:pt>
                <c:pt idx="1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4050-B4A1-8163848601A1}"/>
            </c:ext>
          </c:extLst>
        </c:ser>
        <c:ser>
          <c:idx val="1"/>
          <c:order val="1"/>
          <c:tx>
            <c:strRef>
              <c:f>ShAVSxShA!$D$1</c:f>
              <c:strCache>
                <c:ptCount val="1"/>
                <c:pt idx="0">
                  <c:v>Disparos en contra esperados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ShAVSxShA!$B$2:$B$19</c:f>
              <c:strCache>
                <c:ptCount val="18"/>
                <c:pt idx="0">
                  <c:v>PAC</c:v>
                </c:pt>
                <c:pt idx="1">
                  <c:v>SAN</c:v>
                </c:pt>
                <c:pt idx="2">
                  <c:v>QRO</c:v>
                </c:pt>
                <c:pt idx="3">
                  <c:v>TIJ</c:v>
                </c:pt>
                <c:pt idx="4">
                  <c:v>MAZ</c:v>
                </c:pt>
                <c:pt idx="5">
                  <c:v>TOL</c:v>
                </c:pt>
                <c:pt idx="6">
                  <c:v>TIG</c:v>
                </c:pt>
                <c:pt idx="7">
                  <c:v>PUM</c:v>
                </c:pt>
                <c:pt idx="8">
                  <c:v>JUA</c:v>
                </c:pt>
                <c:pt idx="9">
                  <c:v>SNL</c:v>
                </c:pt>
                <c:pt idx="10">
                  <c:v>MON</c:v>
                </c:pt>
                <c:pt idx="11">
                  <c:v>CAZ</c:v>
                </c:pt>
                <c:pt idx="12">
                  <c:v>LEO</c:v>
                </c:pt>
                <c:pt idx="13">
                  <c:v>PUE</c:v>
                </c:pt>
                <c:pt idx="14">
                  <c:v>NEC</c:v>
                </c:pt>
                <c:pt idx="15">
                  <c:v>ATL</c:v>
                </c:pt>
                <c:pt idx="16">
                  <c:v>CHI</c:v>
                </c:pt>
                <c:pt idx="17">
                  <c:v>AME</c:v>
                </c:pt>
              </c:strCache>
            </c:strRef>
          </c:cat>
          <c:val>
            <c:numRef>
              <c:f>ShAVSxShA!$D$2:$D$19</c:f>
              <c:numCache>
                <c:formatCode>0</c:formatCode>
                <c:ptCount val="18"/>
                <c:pt idx="0">
                  <c:v>181.52682940305999</c:v>
                </c:pt>
                <c:pt idx="1">
                  <c:v>184.02264417843901</c:v>
                </c:pt>
                <c:pt idx="2">
                  <c:v>208.632679648845</c:v>
                </c:pt>
                <c:pt idx="3">
                  <c:v>201.26183029965401</c:v>
                </c:pt>
                <c:pt idx="4">
                  <c:v>216.764193177327</c:v>
                </c:pt>
                <c:pt idx="5">
                  <c:v>198.39687631271201</c:v>
                </c:pt>
                <c:pt idx="6">
                  <c:v>181.263933872297</c:v>
                </c:pt>
                <c:pt idx="7">
                  <c:v>209.79331312807599</c:v>
                </c:pt>
                <c:pt idx="8">
                  <c:v>217.42331319649099</c:v>
                </c:pt>
                <c:pt idx="9">
                  <c:v>201.62568410351301</c:v>
                </c:pt>
                <c:pt idx="10">
                  <c:v>174.300222764008</c:v>
                </c:pt>
                <c:pt idx="11">
                  <c:v>178.315244243807</c:v>
                </c:pt>
                <c:pt idx="12">
                  <c:v>180.73600650326901</c:v>
                </c:pt>
                <c:pt idx="13">
                  <c:v>197.192525763502</c:v>
                </c:pt>
                <c:pt idx="14">
                  <c:v>196.818431993209</c:v>
                </c:pt>
                <c:pt idx="15">
                  <c:v>174.432727899383</c:v>
                </c:pt>
                <c:pt idx="16">
                  <c:v>193.91124444484799</c:v>
                </c:pt>
                <c:pt idx="17">
                  <c:v>172.68155794556401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3-4050-B4A1-8163848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ShAVSxShA!$E$1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ShAVSxShA!$B$2:$B$19</c15:sqref>
                        </c15:formulaRef>
                      </c:ext>
                    </c:extLst>
                    <c:strCache>
                      <c:ptCount val="18"/>
                      <c:pt idx="0">
                        <c:v>PAC</c:v>
                      </c:pt>
                      <c:pt idx="1">
                        <c:v>SAN</c:v>
                      </c:pt>
                      <c:pt idx="2">
                        <c:v>QRO</c:v>
                      </c:pt>
                      <c:pt idx="3">
                        <c:v>TIJ</c:v>
                      </c:pt>
                      <c:pt idx="4">
                        <c:v>MAZ</c:v>
                      </c:pt>
                      <c:pt idx="5">
                        <c:v>TOL</c:v>
                      </c:pt>
                      <c:pt idx="6">
                        <c:v>TIG</c:v>
                      </c:pt>
                      <c:pt idx="7">
                        <c:v>PUM</c:v>
                      </c:pt>
                      <c:pt idx="8">
                        <c:v>JUA</c:v>
                      </c:pt>
                      <c:pt idx="9">
                        <c:v>SNL</c:v>
                      </c:pt>
                      <c:pt idx="10">
                        <c:v>MON</c:v>
                      </c:pt>
                      <c:pt idx="11">
                        <c:v>CAZ</c:v>
                      </c:pt>
                      <c:pt idx="12">
                        <c:v>LEO</c:v>
                      </c:pt>
                      <c:pt idx="13">
                        <c:v>PUE</c:v>
                      </c:pt>
                      <c:pt idx="14">
                        <c:v>NEC</c:v>
                      </c:pt>
                      <c:pt idx="15">
                        <c:v>ATL</c:v>
                      </c:pt>
                      <c:pt idx="16">
                        <c:v>CHI</c:v>
                      </c:pt>
                      <c:pt idx="17">
                        <c:v>AME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ShAVSxShA!$E$2:$E$19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1.2394862001385629</c:v>
                      </c:pt>
                      <c:pt idx="1">
                        <c:v>1.217241503077179</c:v>
                      </c:pt>
                      <c:pt idx="2">
                        <c:v>1.1982782391559241</c:v>
                      </c:pt>
                      <c:pt idx="3">
                        <c:v>1.1626645730668499</c:v>
                      </c:pt>
                      <c:pt idx="4">
                        <c:v>1.1579403236339219</c:v>
                      </c:pt>
                      <c:pt idx="5">
                        <c:v>1.1492116420251886</c:v>
                      </c:pt>
                      <c:pt idx="6">
                        <c:v>1.1088802703664555</c:v>
                      </c:pt>
                      <c:pt idx="7">
                        <c:v>1.1058503082906515</c:v>
                      </c:pt>
                      <c:pt idx="8">
                        <c:v>1.0854401790240442</c:v>
                      </c:pt>
                      <c:pt idx="9">
                        <c:v>1.0812114585961208</c:v>
                      </c:pt>
                      <c:pt idx="10">
                        <c:v>1.0785987362422405</c:v>
                      </c:pt>
                      <c:pt idx="11">
                        <c:v>1.0655286417364107</c:v>
                      </c:pt>
                      <c:pt idx="12">
                        <c:v>1.045724112514246</c:v>
                      </c:pt>
                      <c:pt idx="13">
                        <c:v>1.0446643411173759</c:v>
                      </c:pt>
                      <c:pt idx="14">
                        <c:v>1.0161649901107879</c:v>
                      </c:pt>
                      <c:pt idx="15">
                        <c:v>0.99751922758650768</c:v>
                      </c:pt>
                      <c:pt idx="16">
                        <c:v>0.95920172413158789</c:v>
                      </c:pt>
                      <c:pt idx="17">
                        <c:v>0.8107408901426143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43-4050-B4A1-8163848601A1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Liga MX Apertura 2021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1" i="0" baseline="0">
                <a:effectLst/>
              </a:rPr>
              <a:t>Club América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'Apertura2021_LigaMX_26-11-2021'!$BW$52:$BW$64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'Apertura2021_LigaMX_26-11-2021'!$BX$52:$BX$64</c:f>
              <c:numCache>
                <c:formatCode>0%</c:formatCode>
                <c:ptCount val="13"/>
                <c:pt idx="0">
                  <c:v>1.2038378808674994</c:v>
                </c:pt>
                <c:pt idx="1">
                  <c:v>0.79118133578631544</c:v>
                </c:pt>
                <c:pt idx="2">
                  <c:v>0.55340284761691338</c:v>
                </c:pt>
                <c:pt idx="3">
                  <c:v>1.0417827270079616</c:v>
                </c:pt>
                <c:pt idx="4">
                  <c:v>0.8107408901426143</c:v>
                </c:pt>
                <c:pt idx="5">
                  <c:v>0.83218380178389328</c:v>
                </c:pt>
                <c:pt idx="6">
                  <c:v>0.71096685628687428</c:v>
                </c:pt>
                <c:pt idx="7">
                  <c:v>1.200113572539901</c:v>
                </c:pt>
                <c:pt idx="8">
                  <c:v>0.88163979556615235</c:v>
                </c:pt>
                <c:pt idx="9">
                  <c:v>0.96995289042377486</c:v>
                </c:pt>
                <c:pt idx="10">
                  <c:v>1.0553145523094765</c:v>
                </c:pt>
                <c:pt idx="11">
                  <c:v>0.9811024871289421</c:v>
                </c:pt>
                <c:pt idx="12">
                  <c:v>1.0800622563741458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6E2-AD27-8F5EA029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16608"/>
        <c:axId val="809229504"/>
      </c:radarChart>
      <c:catAx>
        <c:axId val="8092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229504"/>
        <c:crosses val="autoZero"/>
        <c:auto val="1"/>
        <c:lblAlgn val="ctr"/>
        <c:lblOffset val="100"/>
        <c:noMultiLvlLbl val="0"/>
      </c:catAx>
      <c:valAx>
        <c:axId val="80922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92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/>
              <a:t>Liga</a:t>
            </a:r>
            <a:r>
              <a:rPr lang="es-MX" sz="2000" b="1" baseline="0"/>
              <a:t> MX Apertura 2021</a:t>
            </a:r>
          </a:p>
          <a:p>
            <a:pPr>
              <a:defRPr sz="2000" b="1"/>
            </a:pPr>
            <a:r>
              <a:rPr lang="es-MX" sz="2000" b="1" baseline="0"/>
              <a:t>C. F. Monterrey</a:t>
            </a:r>
            <a:endParaRPr lang="es-MX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'Apertura2021_LigaMX_26-11-2021'!$BM$23:$BM$35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'Apertura2021_LigaMX_26-11-2021'!$BN$23:$BN$35</c:f>
              <c:numCache>
                <c:formatCode>0%</c:formatCode>
                <c:ptCount val="13"/>
                <c:pt idx="0">
                  <c:v>0.76423204821912893</c:v>
                </c:pt>
                <c:pt idx="1">
                  <c:v>0.71693845621286123</c:v>
                </c:pt>
                <c:pt idx="2">
                  <c:v>0.87553537387053348</c:v>
                </c:pt>
                <c:pt idx="3">
                  <c:v>0.96128359474101099</c:v>
                </c:pt>
                <c:pt idx="4">
                  <c:v>1.07859873624223</c:v>
                </c:pt>
                <c:pt idx="5">
                  <c:v>0.75185830324532898</c:v>
                </c:pt>
                <c:pt idx="6">
                  <c:v>0.83335186684056906</c:v>
                </c:pt>
                <c:pt idx="7">
                  <c:v>1.1194897736915834</c:v>
                </c:pt>
                <c:pt idx="8">
                  <c:v>1.2511995873181674</c:v>
                </c:pt>
                <c:pt idx="9">
                  <c:v>0.98221637692366104</c:v>
                </c:pt>
                <c:pt idx="10">
                  <c:v>1.0044619681009599</c:v>
                </c:pt>
                <c:pt idx="11">
                  <c:v>1.1446817298001699</c:v>
                </c:pt>
                <c:pt idx="12">
                  <c:v>1.2769723722303301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1-4AC6-9E34-68E2E0DA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54152"/>
        <c:axId val="99015284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'Apertura2021_LigaMX_26-11-2021'!$BM$23:$BM$35</c15:sqref>
                        </c15:formulaRef>
                      </c:ext>
                    </c:extLst>
                    <c:strCache>
                      <c:ptCount val="13"/>
                      <c:pt idx="0">
                        <c:v>Puntos</c:v>
                      </c:pt>
                      <c:pt idx="1">
                        <c:v>Goles a favor</c:v>
                      </c:pt>
                      <c:pt idx="2">
                        <c:v>Goles en contra</c:v>
                      </c:pt>
                      <c:pt idx="3">
                        <c:v>Disparos a favor</c:v>
                      </c:pt>
                      <c:pt idx="4">
                        <c:v>Disparos en contra</c:v>
                      </c:pt>
                      <c:pt idx="5">
                        <c:v>Disparos a puerta a favor</c:v>
                      </c:pt>
                      <c:pt idx="6">
                        <c:v>Disparos a puerta en contra</c:v>
                      </c:pt>
                      <c:pt idx="7">
                        <c:v>Disparos desviados (propios)</c:v>
                      </c:pt>
                      <c:pt idx="8">
                        <c:v>Disparos desviados (rivales)</c:v>
                      </c:pt>
                      <c:pt idx="9">
                        <c:v>Faltas cometidas</c:v>
                      </c:pt>
                      <c:pt idx="10">
                        <c:v>Faltas recibidas</c:v>
                      </c:pt>
                      <c:pt idx="11">
                        <c:v>Tarjetas Amarillas (propias)</c:v>
                      </c:pt>
                      <c:pt idx="12">
                        <c:v>Tarjetas Amarillas (rivales)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'Apertura2021_LigaMX_26-11-2021'!$BO$23:$BO$35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51-4AC6-9E34-68E2E0DA9429}"/>
                  </c:ext>
                </c:extLst>
              </c15:ser>
            </c15:filteredRadarSeries>
          </c:ext>
        </c:extLst>
      </c:radarChart>
      <c:catAx>
        <c:axId val="9901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0152840"/>
        <c:crosses val="autoZero"/>
        <c:auto val="1"/>
        <c:lblAlgn val="ctr"/>
        <c:lblOffset val="100"/>
        <c:noMultiLvlLbl val="0"/>
      </c:catAx>
      <c:valAx>
        <c:axId val="990152840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01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Liga MX Apertura 2021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1" i="0" baseline="0">
                <a:effectLst/>
              </a:rPr>
              <a:t>Club América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'Apertura2021_LigaMX_26-11-2021'!$BW$52:$BW$64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'Apertura2021_LigaMX_26-11-2021'!$BX$52:$BX$64</c:f>
              <c:numCache>
                <c:formatCode>0%</c:formatCode>
                <c:ptCount val="13"/>
                <c:pt idx="0">
                  <c:v>1.2038378808674994</c:v>
                </c:pt>
                <c:pt idx="1">
                  <c:v>0.79118133578631544</c:v>
                </c:pt>
                <c:pt idx="2">
                  <c:v>0.55340284761691338</c:v>
                </c:pt>
                <c:pt idx="3">
                  <c:v>1.0417827270079616</c:v>
                </c:pt>
                <c:pt idx="4">
                  <c:v>0.8107408901426143</c:v>
                </c:pt>
                <c:pt idx="5">
                  <c:v>0.83218380178389328</c:v>
                </c:pt>
                <c:pt idx="6">
                  <c:v>0.71096685628687428</c:v>
                </c:pt>
                <c:pt idx="7">
                  <c:v>1.200113572539901</c:v>
                </c:pt>
                <c:pt idx="8">
                  <c:v>0.88163979556615235</c:v>
                </c:pt>
                <c:pt idx="9">
                  <c:v>0.96995289042377486</c:v>
                </c:pt>
                <c:pt idx="10">
                  <c:v>1.0553145523094765</c:v>
                </c:pt>
                <c:pt idx="11">
                  <c:v>0.9811024871289421</c:v>
                </c:pt>
                <c:pt idx="12">
                  <c:v>1.0800622563741458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4CC2-A02D-B09B4E068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16608"/>
        <c:axId val="80922950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spPr>
                  <a:ln w="285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'Apertura2021_LigaMX_26-11-2021'!$BW$52:$BW$64</c15:sqref>
                        </c15:formulaRef>
                      </c:ext>
                    </c:extLst>
                    <c:strCache>
                      <c:ptCount val="13"/>
                      <c:pt idx="0">
                        <c:v>Puntos</c:v>
                      </c:pt>
                      <c:pt idx="1">
                        <c:v>Goles a favor</c:v>
                      </c:pt>
                      <c:pt idx="2">
                        <c:v>Goles en contra</c:v>
                      </c:pt>
                      <c:pt idx="3">
                        <c:v>Disparos a favor</c:v>
                      </c:pt>
                      <c:pt idx="4">
                        <c:v>Disparos en contra</c:v>
                      </c:pt>
                      <c:pt idx="5">
                        <c:v>Disparos a puerta a favor</c:v>
                      </c:pt>
                      <c:pt idx="6">
                        <c:v>Disparos a puerta en contra</c:v>
                      </c:pt>
                      <c:pt idx="7">
                        <c:v>Disparos desviados (propios)</c:v>
                      </c:pt>
                      <c:pt idx="8">
                        <c:v>Disparos desviados (rivales)</c:v>
                      </c:pt>
                      <c:pt idx="9">
                        <c:v>Faltas cometidas</c:v>
                      </c:pt>
                      <c:pt idx="10">
                        <c:v>Faltas recibidas</c:v>
                      </c:pt>
                      <c:pt idx="11">
                        <c:v>Tarjetas Amarillas (propias)</c:v>
                      </c:pt>
                      <c:pt idx="12">
                        <c:v>Tarjetas Amarillas (rivales)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'Apertura2021_LigaMX_26-11-2021'!$BY$52:$BY$64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B2-4CC2-A02D-B09B4E068783}"/>
                  </c:ext>
                </c:extLst>
              </c15:ser>
            </c15:filteredRadarSeries>
          </c:ext>
        </c:extLst>
      </c:radarChart>
      <c:catAx>
        <c:axId val="8092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229504"/>
        <c:crosses val="autoZero"/>
        <c:auto val="1"/>
        <c:lblAlgn val="ctr"/>
        <c:lblOffset val="100"/>
        <c:noMultiLvlLbl val="0"/>
      </c:catAx>
      <c:valAx>
        <c:axId val="80922950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2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Liga MX Apertura 2021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1" i="0" baseline="0">
                <a:effectLst/>
              </a:rPr>
              <a:t>Puebla F. C.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'Apertura2021_LigaMX_26-11-2021'!$BW$23:$BW$35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'Apertura2021_LigaMX_26-11-2021'!$BX$23:$BX$35</c:f>
              <c:numCache>
                <c:formatCode>0%</c:formatCode>
                <c:ptCount val="13"/>
                <c:pt idx="0">
                  <c:v>1.1265517715234099</c:v>
                </c:pt>
                <c:pt idx="1">
                  <c:v>0.7763778312792039</c:v>
                </c:pt>
                <c:pt idx="2">
                  <c:v>0.69326225291555543</c:v>
                </c:pt>
                <c:pt idx="3">
                  <c:v>1.1856605089413905</c:v>
                </c:pt>
                <c:pt idx="4">
                  <c:v>1.0446643411173759</c:v>
                </c:pt>
                <c:pt idx="5">
                  <c:v>0.84184995595383239</c:v>
                </c:pt>
                <c:pt idx="6">
                  <c:v>0.67486575260170578</c:v>
                </c:pt>
                <c:pt idx="7">
                  <c:v>1.4352486133819968</c:v>
                </c:pt>
                <c:pt idx="8">
                  <c:v>1.3217271702677473</c:v>
                </c:pt>
                <c:pt idx="9">
                  <c:v>1.1384724220913418</c:v>
                </c:pt>
                <c:pt idx="10">
                  <c:v>0.96793621328683599</c:v>
                </c:pt>
                <c:pt idx="11">
                  <c:v>1.0955073445128318</c:v>
                </c:pt>
                <c:pt idx="12">
                  <c:v>0.99846129794568395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8-4ED4-9D28-1E4657E5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772479"/>
        <c:axId val="1801771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spPr>
                  <a:ln w="285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'Apertura2021_LigaMX_26-11-2021'!$BW$23:$BW$35</c15:sqref>
                        </c15:formulaRef>
                      </c:ext>
                    </c:extLst>
                    <c:strCache>
                      <c:ptCount val="13"/>
                      <c:pt idx="0">
                        <c:v>Puntos</c:v>
                      </c:pt>
                      <c:pt idx="1">
                        <c:v>Goles a favor</c:v>
                      </c:pt>
                      <c:pt idx="2">
                        <c:v>Goles en contra</c:v>
                      </c:pt>
                      <c:pt idx="3">
                        <c:v>Disparos a favor</c:v>
                      </c:pt>
                      <c:pt idx="4">
                        <c:v>Disparos en contra</c:v>
                      </c:pt>
                      <c:pt idx="5">
                        <c:v>Disparos a puerta a favor</c:v>
                      </c:pt>
                      <c:pt idx="6">
                        <c:v>Disparos a puerta en contra</c:v>
                      </c:pt>
                      <c:pt idx="7">
                        <c:v>Disparos desviados (propios)</c:v>
                      </c:pt>
                      <c:pt idx="8">
                        <c:v>Disparos desviados (rivales)</c:v>
                      </c:pt>
                      <c:pt idx="9">
                        <c:v>Faltas cometidas</c:v>
                      </c:pt>
                      <c:pt idx="10">
                        <c:v>Faltas recibidas</c:v>
                      </c:pt>
                      <c:pt idx="11">
                        <c:v>Tarjetas Amarillas (propias)</c:v>
                      </c:pt>
                      <c:pt idx="12">
                        <c:v>Tarjetas Amarillas (rivales)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'Apertura2021_LigaMX_26-11-2021'!$BY$23:$BY$35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478-4ED4-9D28-1E4657E5512F}"/>
                  </c:ext>
                </c:extLst>
              </c15:ser>
            </c15:filteredRadarSeries>
          </c:ext>
        </c:extLst>
      </c:radarChart>
      <c:catAx>
        <c:axId val="18017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771647"/>
        <c:crosses val="autoZero"/>
        <c:auto val="1"/>
        <c:lblAlgn val="ctr"/>
        <c:lblOffset val="100"/>
        <c:noMultiLvlLbl val="0"/>
      </c:catAx>
      <c:valAx>
        <c:axId val="1801771647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77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Liga MX Apertura 2021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1" i="0" baseline="0">
                <a:effectLst/>
              </a:rPr>
              <a:t>Pachuca C. F.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'Apertura2021_LigaMX_26-11-2021'!$CC$23:$CC$35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'Apertura2021_LigaMX_26-11-2021'!$CD$23:$CD$35</c:f>
              <c:numCache>
                <c:formatCode>0%</c:formatCode>
                <c:ptCount val="13"/>
                <c:pt idx="0">
                  <c:v>0.69047457009415236</c:v>
                </c:pt>
                <c:pt idx="1">
                  <c:v>0.78773766161480141</c:v>
                </c:pt>
                <c:pt idx="2">
                  <c:v>1.0586704286950555</c:v>
                </c:pt>
                <c:pt idx="3">
                  <c:v>1.3348607304215911</c:v>
                </c:pt>
                <c:pt idx="4">
                  <c:v>1.2394862001385629</c:v>
                </c:pt>
                <c:pt idx="5">
                  <c:v>0.83762799855084624</c:v>
                </c:pt>
                <c:pt idx="6">
                  <c:v>0.86298727788126317</c:v>
                </c:pt>
                <c:pt idx="7">
                  <c:v>1.708862121176917</c:v>
                </c:pt>
                <c:pt idx="8">
                  <c:v>1.5135894980957993</c:v>
                </c:pt>
                <c:pt idx="9">
                  <c:v>0.83136321395562762</c:v>
                </c:pt>
                <c:pt idx="10">
                  <c:v>0.88578342156004353</c:v>
                </c:pt>
                <c:pt idx="11">
                  <c:v>1.1627049349099352</c:v>
                </c:pt>
                <c:pt idx="12">
                  <c:v>0.81773211703015691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A-4932-AD76-14E3F974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9775"/>
        <c:axId val="36318561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spPr>
                  <a:ln w="285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'Apertura2021_LigaMX_26-11-2021'!$CC$23:$CC$35</c15:sqref>
                        </c15:formulaRef>
                      </c:ext>
                    </c:extLst>
                    <c:strCache>
                      <c:ptCount val="13"/>
                      <c:pt idx="0">
                        <c:v>Puntos</c:v>
                      </c:pt>
                      <c:pt idx="1">
                        <c:v>Goles a favor</c:v>
                      </c:pt>
                      <c:pt idx="2">
                        <c:v>Goles en contra</c:v>
                      </c:pt>
                      <c:pt idx="3">
                        <c:v>Disparos a favor</c:v>
                      </c:pt>
                      <c:pt idx="4">
                        <c:v>Disparos en contra</c:v>
                      </c:pt>
                      <c:pt idx="5">
                        <c:v>Disparos a puerta a favor</c:v>
                      </c:pt>
                      <c:pt idx="6">
                        <c:v>Disparos a puerta en contra</c:v>
                      </c:pt>
                      <c:pt idx="7">
                        <c:v>Disparos desviados (propios)</c:v>
                      </c:pt>
                      <c:pt idx="8">
                        <c:v>Disparos desviados (rivales)</c:v>
                      </c:pt>
                      <c:pt idx="9">
                        <c:v>Faltas cometidas</c:v>
                      </c:pt>
                      <c:pt idx="10">
                        <c:v>Faltas recibidas</c:v>
                      </c:pt>
                      <c:pt idx="11">
                        <c:v>Tarjetas Amarillas (propias)</c:v>
                      </c:pt>
                      <c:pt idx="12">
                        <c:v>Tarjetas Amarillas (rivales)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'Apertura2021_LigaMX_26-11-2021'!$CE$23:$CE$35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1AA-4932-AD76-14E3F974F275}"/>
                  </c:ext>
                </c:extLst>
              </c15:ser>
            </c15:filteredRadarSeries>
          </c:ext>
        </c:extLst>
      </c:radarChart>
      <c:catAx>
        <c:axId val="3631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185615"/>
        <c:crosses val="autoZero"/>
        <c:auto val="1"/>
        <c:lblAlgn val="ctr"/>
        <c:lblOffset val="100"/>
        <c:noMultiLvlLbl val="0"/>
      </c:catAx>
      <c:valAx>
        <c:axId val="3631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18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/>
              <a:t>Liga MX Apertura 2021</a:t>
            </a:r>
            <a:endParaRPr lang="es-MX" sz="2400" b="1" baseline="0"/>
          </a:p>
          <a:p>
            <a:pPr>
              <a:defRPr sz="2400" b="1"/>
            </a:pPr>
            <a:r>
              <a:rPr lang="es-MX" sz="2400" b="1" baseline="0"/>
              <a:t>Desempeño en Fase Regular</a:t>
            </a:r>
          </a:p>
          <a:p>
            <a:pPr>
              <a:defRPr sz="2400" b="1"/>
            </a:pPr>
            <a:endParaRPr lang="es-MX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304783188921654E-3"/>
                  <c:y val="6.6390047278077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E5-45B4-87EF-6075DA32DE8B}"/>
                </c:ext>
              </c:extLst>
            </c:dLbl>
            <c:dLbl>
              <c:idx val="1"/>
              <c:layout>
                <c:manualLayout>
                  <c:x val="-2.6575306204549294E-2"/>
                  <c:y val="5.0899036246526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E5-45B4-87EF-6075DA32DE8B}"/>
                </c:ext>
              </c:extLst>
            </c:dLbl>
            <c:dLbl>
              <c:idx val="2"/>
              <c:layout>
                <c:manualLayout>
                  <c:x val="-4.9828699133529927E-2"/>
                  <c:y val="1.9917014183423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E5-45B4-87EF-6075DA32DE8B}"/>
                </c:ext>
              </c:extLst>
            </c:dLbl>
            <c:dLbl>
              <c:idx val="3"/>
              <c:layout>
                <c:manualLayout>
                  <c:x val="-4.9828699133529927E-2"/>
                  <c:y val="-1.77040126074875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E5-45B4-87EF-6075DA32DE8B}"/>
                </c:ext>
              </c:extLst>
            </c:dLbl>
            <c:dLbl>
              <c:idx val="4"/>
              <c:layout>
                <c:manualLayout>
                  <c:x val="-2.989721948011808E-2"/>
                  <c:y val="-5.5325039398398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E5-45B4-87EF-6075DA32DE8B}"/>
                </c:ext>
              </c:extLst>
            </c:dLbl>
            <c:dLbl>
              <c:idx val="5"/>
              <c:layout>
                <c:manualLayout>
                  <c:x val="0"/>
                  <c:y val="-6.6390047278077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E5-45B4-87EF-6075DA32DE8B}"/>
                </c:ext>
              </c:extLst>
            </c:dLbl>
            <c:dLbl>
              <c:idx val="6"/>
              <c:layout>
                <c:manualLayout>
                  <c:x val="2.6575306204549294E-2"/>
                  <c:y val="-5.0899036246526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E5-45B4-87EF-6075DA32DE8B}"/>
                </c:ext>
              </c:extLst>
            </c:dLbl>
            <c:dLbl>
              <c:idx val="7"/>
              <c:layout>
                <c:manualLayout>
                  <c:x val="4.4845829220176874E-2"/>
                  <c:y val="-1.9917014183423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E5-45B4-87EF-6075DA32DE8B}"/>
                </c:ext>
              </c:extLst>
            </c:dLbl>
            <c:dLbl>
              <c:idx val="8"/>
              <c:layout>
                <c:manualLayout>
                  <c:x val="5.1489655771314258E-2"/>
                  <c:y val="-2.21300157593592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E5-45B4-87EF-6075DA32DE8B}"/>
                </c:ext>
              </c:extLst>
            </c:dLbl>
            <c:dLbl>
              <c:idx val="9"/>
              <c:layout>
                <c:manualLayout>
                  <c:x val="3.3219132755686616E-2"/>
                  <c:y val="5.3112037822462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E5-45B4-87EF-6075DA32DE8B}"/>
                </c:ext>
              </c:extLst>
            </c:dLbl>
            <c:dLbl>
              <c:idx val="10"/>
              <c:layout>
                <c:manualLayout>
                  <c:x val="2.159243629119624E-2"/>
                  <c:y val="4.647303309465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9A-41F7-B3BD-7D8F7C77C0D6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LigaMX!$A$5:$A$15</c:f>
              <c:strCache>
                <c:ptCount val="11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Goles</c:v>
                </c:pt>
                <c:pt idx="4">
                  <c:v>Goles 1T</c:v>
                </c:pt>
                <c:pt idx="5">
                  <c:v>Goles 2T</c:v>
                </c:pt>
                <c:pt idx="6">
                  <c:v>Disparos</c:v>
                </c:pt>
                <c:pt idx="7">
                  <c:v>Disparos a puerta</c:v>
                </c:pt>
                <c:pt idx="8">
                  <c:v>Disparos desviados</c:v>
                </c:pt>
                <c:pt idx="9">
                  <c:v>Faltas</c:v>
                </c:pt>
                <c:pt idx="10">
                  <c:v>Tarjetas A+R</c:v>
                </c:pt>
              </c:strCache>
            </c:strRef>
          </c:cat>
          <c:val>
            <c:numRef>
              <c:f>LigaMX!$B$5:$B$15</c:f>
              <c:numCache>
                <c:formatCode>0%</c:formatCode>
                <c:ptCount val="11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1.3089572491969623</c:v>
                </c:pt>
                <c:pt idx="9">
                  <c:v>0.98068342713586887</c:v>
                </c:pt>
                <c:pt idx="10">
                  <c:v>1.1616222062541608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5-45B4-87EF-6075DA32D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6992632"/>
        <c:axId val="736988696"/>
      </c:radarChart>
      <c:catAx>
        <c:axId val="7369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6988696"/>
        <c:crosses val="autoZero"/>
        <c:auto val="1"/>
        <c:lblAlgn val="ctr"/>
        <c:lblOffset val="100"/>
        <c:noMultiLvlLbl val="0"/>
      </c:catAx>
      <c:valAx>
        <c:axId val="736988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73699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/>
              <a:t>Liga MX Apertura 2021</a:t>
            </a:r>
            <a:endParaRPr lang="es-MX" sz="2400" b="1" baseline="0"/>
          </a:p>
          <a:p>
            <a:pPr>
              <a:defRPr sz="2400" b="1"/>
            </a:pPr>
            <a:r>
              <a:rPr lang="es-MX" sz="2400" b="1" baseline="0"/>
              <a:t>Desempeño en Fase Regular</a:t>
            </a:r>
          </a:p>
          <a:p>
            <a:pPr>
              <a:defRPr sz="2400" b="1"/>
            </a:pPr>
            <a:endParaRPr lang="es-MX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LigaMX!$A$5:$A$15</c:f>
              <c:strCache>
                <c:ptCount val="11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Goles</c:v>
                </c:pt>
                <c:pt idx="4">
                  <c:v>Goles 1T</c:v>
                </c:pt>
                <c:pt idx="5">
                  <c:v>Goles 2T</c:v>
                </c:pt>
                <c:pt idx="6">
                  <c:v>Disparos</c:v>
                </c:pt>
                <c:pt idx="7">
                  <c:v>Disparos a puerta</c:v>
                </c:pt>
                <c:pt idx="8">
                  <c:v>Disparos desviados</c:v>
                </c:pt>
                <c:pt idx="9">
                  <c:v>Faltas</c:v>
                </c:pt>
                <c:pt idx="10">
                  <c:v>Tarjetas A+R</c:v>
                </c:pt>
              </c:strCache>
            </c:strRef>
          </c:cat>
          <c:val>
            <c:numRef>
              <c:f>LigaMX!$B$5:$B$15</c:f>
              <c:numCache>
                <c:formatCode>0%</c:formatCode>
                <c:ptCount val="11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1.3089572491969623</c:v>
                </c:pt>
                <c:pt idx="9">
                  <c:v>0.98068342713586887</c:v>
                </c:pt>
                <c:pt idx="10">
                  <c:v>1.1616222062541608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5F-4D8B-8CFF-8425B5EC0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6992632"/>
        <c:axId val="736988696"/>
      </c:radarChart>
      <c:catAx>
        <c:axId val="7369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6988696"/>
        <c:crosses val="autoZero"/>
        <c:auto val="1"/>
        <c:lblAlgn val="ctr"/>
        <c:lblOffset val="100"/>
        <c:noMultiLvlLbl val="0"/>
      </c:catAx>
      <c:valAx>
        <c:axId val="7369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699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Liga MX Apertura 2021 - Regular Season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Shots and Shots on Target Performance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'Sh&amp;ShT'!$B$1</c:f>
              <c:strCache>
                <c:ptCount val="1"/>
                <c:pt idx="0">
                  <c:v>Disparos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'Sh&amp;ShT'!$A$2:$A$19</c:f>
              <c:strCache>
                <c:ptCount val="18"/>
                <c:pt idx="0">
                  <c:v>CAZ</c:v>
                </c:pt>
                <c:pt idx="1">
                  <c:v>MAZ</c:v>
                </c:pt>
                <c:pt idx="2">
                  <c:v>CHI</c:v>
                </c:pt>
                <c:pt idx="3">
                  <c:v>MON</c:v>
                </c:pt>
                <c:pt idx="4">
                  <c:v>AME</c:v>
                </c:pt>
                <c:pt idx="5">
                  <c:v>SNL</c:v>
                </c:pt>
                <c:pt idx="6">
                  <c:v>TIG</c:v>
                </c:pt>
                <c:pt idx="7">
                  <c:v>TIJ</c:v>
                </c:pt>
                <c:pt idx="8">
                  <c:v>LEO</c:v>
                </c:pt>
                <c:pt idx="9">
                  <c:v>TOL</c:v>
                </c:pt>
                <c:pt idx="10">
                  <c:v>PUM</c:v>
                </c:pt>
                <c:pt idx="11">
                  <c:v>NEC</c:v>
                </c:pt>
                <c:pt idx="12">
                  <c:v>JUA</c:v>
                </c:pt>
                <c:pt idx="13">
                  <c:v>PUE</c:v>
                </c:pt>
                <c:pt idx="14">
                  <c:v>ATL</c:v>
                </c:pt>
                <c:pt idx="15">
                  <c:v>SAN</c:v>
                </c:pt>
                <c:pt idx="16">
                  <c:v>QRO</c:v>
                </c:pt>
                <c:pt idx="17">
                  <c:v>PAC</c:v>
                </c:pt>
              </c:strCache>
            </c:strRef>
          </c:cat>
          <c:val>
            <c:numRef>
              <c:f>'Sh&amp;ShT'!$B$2:$B$19</c:f>
              <c:numCache>
                <c:formatCode>0%</c:formatCode>
                <c:ptCount val="18"/>
                <c:pt idx="0">
                  <c:v>0.82045197867403097</c:v>
                </c:pt>
                <c:pt idx="1">
                  <c:v>0.76175463522863296</c:v>
                </c:pt>
                <c:pt idx="2">
                  <c:v>1.0834323766251801</c:v>
                </c:pt>
                <c:pt idx="3">
                  <c:v>0.96128359474101099</c:v>
                </c:pt>
                <c:pt idx="4">
                  <c:v>1.04178272700795</c:v>
                </c:pt>
                <c:pt idx="5">
                  <c:v>1.08297503624629</c:v>
                </c:pt>
                <c:pt idx="6">
                  <c:v>1.1138047971520899</c:v>
                </c:pt>
                <c:pt idx="7">
                  <c:v>1.0960294402641899</c:v>
                </c:pt>
                <c:pt idx="8">
                  <c:v>0.92636470226312295</c:v>
                </c:pt>
                <c:pt idx="9">
                  <c:v>1.2149593120419899</c:v>
                </c:pt>
                <c:pt idx="10">
                  <c:v>1.26211701517814</c:v>
                </c:pt>
                <c:pt idx="11">
                  <c:v>1.3254252508743301</c:v>
                </c:pt>
                <c:pt idx="12">
                  <c:v>0.91450323786046706</c:v>
                </c:pt>
                <c:pt idx="13">
                  <c:v>1.1856605089413801</c:v>
                </c:pt>
                <c:pt idx="14">
                  <c:v>1.1258396641560899</c:v>
                </c:pt>
                <c:pt idx="15">
                  <c:v>1.24569857598571</c:v>
                </c:pt>
                <c:pt idx="16">
                  <c:v>1.0710111540806</c:v>
                </c:pt>
                <c:pt idx="17">
                  <c:v>1.33486073042159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7-4EFE-9F64-9F9FF9CB0A6E}"/>
            </c:ext>
          </c:extLst>
        </c:ser>
        <c:ser>
          <c:idx val="1"/>
          <c:order val="1"/>
          <c:tx>
            <c:strRef>
              <c:f>'Sh&amp;ShT'!$C$1</c:f>
              <c:strCache>
                <c:ptCount val="1"/>
                <c:pt idx="0">
                  <c:v>Disparos a puerta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'Sh&amp;ShT'!$A$2:$A$19</c:f>
              <c:strCache>
                <c:ptCount val="18"/>
                <c:pt idx="0">
                  <c:v>CAZ</c:v>
                </c:pt>
                <c:pt idx="1">
                  <c:v>MAZ</c:v>
                </c:pt>
                <c:pt idx="2">
                  <c:v>CHI</c:v>
                </c:pt>
                <c:pt idx="3">
                  <c:v>MON</c:v>
                </c:pt>
                <c:pt idx="4">
                  <c:v>AME</c:v>
                </c:pt>
                <c:pt idx="5">
                  <c:v>SNL</c:v>
                </c:pt>
                <c:pt idx="6">
                  <c:v>TIG</c:v>
                </c:pt>
                <c:pt idx="7">
                  <c:v>TIJ</c:v>
                </c:pt>
                <c:pt idx="8">
                  <c:v>LEO</c:v>
                </c:pt>
                <c:pt idx="9">
                  <c:v>TOL</c:v>
                </c:pt>
                <c:pt idx="10">
                  <c:v>PUM</c:v>
                </c:pt>
                <c:pt idx="11">
                  <c:v>NEC</c:v>
                </c:pt>
                <c:pt idx="12">
                  <c:v>JUA</c:v>
                </c:pt>
                <c:pt idx="13">
                  <c:v>PUE</c:v>
                </c:pt>
                <c:pt idx="14">
                  <c:v>ATL</c:v>
                </c:pt>
                <c:pt idx="15">
                  <c:v>SAN</c:v>
                </c:pt>
                <c:pt idx="16">
                  <c:v>QRO</c:v>
                </c:pt>
                <c:pt idx="17">
                  <c:v>PAC</c:v>
                </c:pt>
              </c:strCache>
            </c:strRef>
          </c:cat>
          <c:val>
            <c:numRef>
              <c:f>'Sh&amp;ShT'!$C$2:$C$19</c:f>
              <c:numCache>
                <c:formatCode>0%</c:formatCode>
                <c:ptCount val="18"/>
                <c:pt idx="0">
                  <c:v>0.63691200613086096</c:v>
                </c:pt>
                <c:pt idx="1">
                  <c:v>0.56199254426469203</c:v>
                </c:pt>
                <c:pt idx="2">
                  <c:v>0.882513690112116</c:v>
                </c:pt>
                <c:pt idx="3">
                  <c:v>0.75185830324532898</c:v>
                </c:pt>
                <c:pt idx="4">
                  <c:v>0.83218380178389295</c:v>
                </c:pt>
                <c:pt idx="5">
                  <c:v>0.87044974568800604</c:v>
                </c:pt>
                <c:pt idx="6">
                  <c:v>0.86905336685234102</c:v>
                </c:pt>
                <c:pt idx="7">
                  <c:v>0.80888360710159501</c:v>
                </c:pt>
                <c:pt idx="8">
                  <c:v>0.62446961381378197</c:v>
                </c:pt>
                <c:pt idx="9">
                  <c:v>0.89948148495338398</c:v>
                </c:pt>
                <c:pt idx="10">
                  <c:v>0.94509681672555801</c:v>
                </c:pt>
                <c:pt idx="11">
                  <c:v>0.99216179580792396</c:v>
                </c:pt>
                <c:pt idx="12">
                  <c:v>0.57955042145869595</c:v>
                </c:pt>
                <c:pt idx="13">
                  <c:v>0.84184995595383205</c:v>
                </c:pt>
                <c:pt idx="14">
                  <c:v>0.75719320172243698</c:v>
                </c:pt>
                <c:pt idx="15">
                  <c:v>0.85981323806133303</c:v>
                </c:pt>
                <c:pt idx="16">
                  <c:v>0.57618322123782895</c:v>
                </c:pt>
                <c:pt idx="17">
                  <c:v>0.83762799855084502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7-4EFE-9F64-9F9FF9CB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000664"/>
        <c:axId val="6120013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'Sh&amp;ShT'!$D$1</c15:sqref>
                        </c15:formulaRef>
                      </c:ext>
                    </c:extLst>
                    <c:strCache>
                      <c:ptCount val="1"/>
                      <c:pt idx="0">
                        <c:v>Gap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'Sh&amp;ShT'!$A$2:$A$19</c15:sqref>
                        </c15:formulaRef>
                      </c:ext>
                    </c:extLst>
                    <c:strCache>
                      <c:ptCount val="18"/>
                      <c:pt idx="0">
                        <c:v>CAZ</c:v>
                      </c:pt>
                      <c:pt idx="1">
                        <c:v>MAZ</c:v>
                      </c:pt>
                      <c:pt idx="2">
                        <c:v>CHI</c:v>
                      </c:pt>
                      <c:pt idx="3">
                        <c:v>MON</c:v>
                      </c:pt>
                      <c:pt idx="4">
                        <c:v>AME</c:v>
                      </c:pt>
                      <c:pt idx="5">
                        <c:v>SNL</c:v>
                      </c:pt>
                      <c:pt idx="6">
                        <c:v>TIG</c:v>
                      </c:pt>
                      <c:pt idx="7">
                        <c:v>TIJ</c:v>
                      </c:pt>
                      <c:pt idx="8">
                        <c:v>LEO</c:v>
                      </c:pt>
                      <c:pt idx="9">
                        <c:v>TOL</c:v>
                      </c:pt>
                      <c:pt idx="10">
                        <c:v>PUM</c:v>
                      </c:pt>
                      <c:pt idx="11">
                        <c:v>NEC</c:v>
                      </c:pt>
                      <c:pt idx="12">
                        <c:v>JUA</c:v>
                      </c:pt>
                      <c:pt idx="13">
                        <c:v>PUE</c:v>
                      </c:pt>
                      <c:pt idx="14">
                        <c:v>ATL</c:v>
                      </c:pt>
                      <c:pt idx="15">
                        <c:v>SAN</c:v>
                      </c:pt>
                      <c:pt idx="16">
                        <c:v>QRO</c:v>
                      </c:pt>
                      <c:pt idx="17">
                        <c:v>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'Sh&amp;ShT'!$D$2:$D$19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0.18353997254317</c:v>
                      </c:pt>
                      <c:pt idx="1">
                        <c:v>0.19976209096394093</c:v>
                      </c:pt>
                      <c:pt idx="2">
                        <c:v>0.2009186865130641</c:v>
                      </c:pt>
                      <c:pt idx="3">
                        <c:v>0.20942529149568201</c:v>
                      </c:pt>
                      <c:pt idx="4">
                        <c:v>0.2095989252240571</c:v>
                      </c:pt>
                      <c:pt idx="5">
                        <c:v>0.21252529055828395</c:v>
                      </c:pt>
                      <c:pt idx="6">
                        <c:v>0.24475143029974888</c:v>
                      </c:pt>
                      <c:pt idx="7">
                        <c:v>0.2871458331625949</c:v>
                      </c:pt>
                      <c:pt idx="8">
                        <c:v>0.30189508844934099</c:v>
                      </c:pt>
                      <c:pt idx="9">
                        <c:v>0.31547782708860594</c:v>
                      </c:pt>
                      <c:pt idx="10">
                        <c:v>0.317020198452582</c:v>
                      </c:pt>
                      <c:pt idx="11">
                        <c:v>0.33326345506640609</c:v>
                      </c:pt>
                      <c:pt idx="12">
                        <c:v>0.3349528164017711</c:v>
                      </c:pt>
                      <c:pt idx="13">
                        <c:v>0.34381055298754803</c:v>
                      </c:pt>
                      <c:pt idx="14">
                        <c:v>0.36864646243365295</c:v>
                      </c:pt>
                      <c:pt idx="15">
                        <c:v>0.38588533792437696</c:v>
                      </c:pt>
                      <c:pt idx="16">
                        <c:v>0.49482793284277105</c:v>
                      </c:pt>
                      <c:pt idx="17">
                        <c:v>0.49723273187074502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7C7-4EFE-9F64-9F9FF9CB0A6E}"/>
                  </c:ext>
                </c:extLst>
              </c15:ser>
            </c15:filteredBarSeries>
          </c:ext>
        </c:extLst>
      </c:barChart>
      <c:catAx>
        <c:axId val="6120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001320"/>
        <c:crosses val="autoZero"/>
        <c:auto val="1"/>
        <c:lblAlgn val="ctr"/>
        <c:lblOffset val="100"/>
        <c:noMultiLvlLbl val="0"/>
      </c:catAx>
      <c:valAx>
        <c:axId val="6120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00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ga_MX" TargetMode="Externa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9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10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11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12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" Type="http://schemas.openxmlformats.org/officeDocument/2006/relationships/image" Target="../media/image24.png"/><Relationship Id="rId7" Type="http://schemas.openxmlformats.org/officeDocument/2006/relationships/image" Target="../media/image11.png"/><Relationship Id="rId12" Type="http://schemas.openxmlformats.org/officeDocument/2006/relationships/image" Target="../media/image20.png"/><Relationship Id="rId17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25.png"/><Relationship Id="rId1" Type="http://schemas.openxmlformats.org/officeDocument/2006/relationships/chart" Target="../charts/chart13.xml"/><Relationship Id="rId6" Type="http://schemas.openxmlformats.org/officeDocument/2006/relationships/image" Target="../media/image18.png"/><Relationship Id="rId11" Type="http://schemas.openxmlformats.org/officeDocument/2006/relationships/image" Target="../media/image15.png"/><Relationship Id="rId5" Type="http://schemas.openxmlformats.org/officeDocument/2006/relationships/image" Target="../media/image8.png"/><Relationship Id="rId15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image" Target="../media/image14.png"/><Relationship Id="rId4" Type="http://schemas.openxmlformats.org/officeDocument/2006/relationships/image" Target="../media/image21.png"/><Relationship Id="rId9" Type="http://schemas.openxmlformats.org/officeDocument/2006/relationships/image" Target="../media/image12.png"/><Relationship Id="rId14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14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29.png"/><Relationship Id="rId18" Type="http://schemas.openxmlformats.org/officeDocument/2006/relationships/image" Target="../media/image30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28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20.png"/><Relationship Id="rId1" Type="http://schemas.openxmlformats.org/officeDocument/2006/relationships/chart" Target="../charts/chart15.xml"/><Relationship Id="rId6" Type="http://schemas.openxmlformats.org/officeDocument/2006/relationships/image" Target="../media/image27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ru.wikipedia.org/wiki/%D0%A4%D0%B0%D0%B9%D0%BB:CF_Monterrey.svg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uchalana.com/2017/08/club-america-kits-2017-2018-dream-league-soccer.html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ru.wikipedia.org/wiki/%D0%A4%D0%B0%D0%B9%D0%BB:CF_Monterrey.svg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uchalana.com/2017/08/club-america-kits-2017-2018-dream-league-soccer.html" TargetMode="Externa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s://de.wikipedia.org/wiki/Puebla_FC" TargetMode="Externa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s://it.wikipedia.org/wiki/File:Pachuca_CF_Logo.svg" TargetMode="Externa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ga_MX" TargetMode="Externa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588169</xdr:colOff>
      <xdr:row>27</xdr:row>
      <xdr:rowOff>126469</xdr:rowOff>
    </xdr:from>
    <xdr:to>
      <xdr:col>62</xdr:col>
      <xdr:colOff>638176</xdr:colOff>
      <xdr:row>58</xdr:row>
      <xdr:rowOff>150280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DADBC-E473-47F3-83AC-E784D8E12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182562</xdr:colOff>
      <xdr:row>54</xdr:row>
      <xdr:rowOff>170919</xdr:rowOff>
    </xdr:from>
    <xdr:to>
      <xdr:col>75</xdr:col>
      <xdr:colOff>142875</xdr:colOff>
      <xdr:row>86</xdr:row>
      <xdr:rowOff>37040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4D90F-2073-408E-A51E-AACAD4D30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60</xdr:row>
      <xdr:rowOff>0</xdr:rowOff>
    </xdr:from>
    <xdr:to>
      <xdr:col>63</xdr:col>
      <xdr:colOff>50007</xdr:colOff>
      <xdr:row>91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75FA1-CAAB-46F9-829B-1638C04D8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550333</xdr:colOff>
      <xdr:row>84</xdr:row>
      <xdr:rowOff>153458</xdr:rowOff>
    </xdr:from>
    <xdr:to>
      <xdr:col>81</xdr:col>
      <xdr:colOff>50271</xdr:colOff>
      <xdr:row>116</xdr:row>
      <xdr:rowOff>19579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E7CC0-904C-48FA-B2D0-39B33E29E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187853</xdr:colOff>
      <xdr:row>50</xdr:row>
      <xdr:rowOff>86252</xdr:rowOff>
    </xdr:from>
    <xdr:to>
      <xdr:col>96</xdr:col>
      <xdr:colOff>158749</xdr:colOff>
      <xdr:row>81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C7681A-8603-4D17-A26E-E8D7AE32A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357186</xdr:colOff>
      <xdr:row>82</xdr:row>
      <xdr:rowOff>91545</xdr:rowOff>
    </xdr:from>
    <xdr:to>
      <xdr:col>96</xdr:col>
      <xdr:colOff>317498</xdr:colOff>
      <xdr:row>113</xdr:row>
      <xdr:rowOff>148166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FDA515-564B-440A-83CA-6C092B821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0.07755</cdr:x>
      <cdr:y>0.14274</cdr:y>
    </cdr:from>
    <cdr:to>
      <cdr:x>0.16786</cdr:x>
      <cdr:y>0.20083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2B89B7-5CB0-4450-8CD7-B66B36A72ABC}"/>
            </a:ext>
          </a:extLst>
        </cdr:cNvPr>
        <cdr:cNvSpPr txBox="1"/>
      </cdr:nvSpPr>
      <cdr:spPr>
        <a:xfrm xmlns:a="http://schemas.openxmlformats.org/drawingml/2006/main">
          <a:off x="592933" y="819150"/>
          <a:ext cx="690563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0.47119</cdr:x>
      <cdr:y>0.21078</cdr:y>
    </cdr:from>
    <cdr:to>
      <cdr:x>0.58143</cdr:x>
      <cdr:y>0.27385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F14489-C9B0-4E9D-87BA-4D11295C1973}"/>
            </a:ext>
          </a:extLst>
        </cdr:cNvPr>
        <cdr:cNvSpPr txBox="1"/>
      </cdr:nvSpPr>
      <cdr:spPr>
        <a:xfrm xmlns:a="http://schemas.openxmlformats.org/drawingml/2006/main">
          <a:off x="3602834" y="1209634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97%</a:t>
          </a:r>
        </a:p>
      </cdr:txBody>
    </cdr:sp>
  </cdr:relSizeAnchor>
  <cdr:relSizeAnchor xmlns:cdr="http://schemas.openxmlformats.org/drawingml/2006/chartDrawing">
    <cdr:from>
      <cdr:x>0.63511</cdr:x>
      <cdr:y>0.35823</cdr:y>
    </cdr:from>
    <cdr:to>
      <cdr:x>0.74535</cdr:x>
      <cdr:y>0.4213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4856208" y="2055817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90%</a:t>
          </a:r>
        </a:p>
      </cdr:txBody>
    </cdr:sp>
  </cdr:relSizeAnchor>
  <cdr:relSizeAnchor xmlns:cdr="http://schemas.openxmlformats.org/drawingml/2006/chartDrawing">
    <cdr:from>
      <cdr:x>0.71546</cdr:x>
      <cdr:y>0.48852</cdr:y>
    </cdr:from>
    <cdr:to>
      <cdr:x>0.8257</cdr:x>
      <cdr:y>0.55159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470581" y="2803529"/>
          <a:ext cx="842916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126%</a:t>
          </a:r>
        </a:p>
      </cdr:txBody>
    </cdr:sp>
  </cdr:relSizeAnchor>
  <cdr:relSizeAnchor xmlns:cdr="http://schemas.openxmlformats.org/drawingml/2006/chartDrawing">
    <cdr:from>
      <cdr:x>0.72542</cdr:x>
      <cdr:y>0.66114</cdr:y>
    </cdr:from>
    <cdr:to>
      <cdr:x>0.83567</cdr:x>
      <cdr:y>0.72421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546704" y="3794165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84%</a:t>
          </a:r>
        </a:p>
      </cdr:txBody>
    </cdr:sp>
  </cdr:relSizeAnchor>
  <cdr:relSizeAnchor xmlns:cdr="http://schemas.openxmlformats.org/drawingml/2006/chartDrawing">
    <cdr:from>
      <cdr:x>0.57407</cdr:x>
      <cdr:y>0.91259</cdr:y>
    </cdr:from>
    <cdr:to>
      <cdr:x>0.68431</cdr:x>
      <cdr:y>0.97566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4389442" y="5237190"/>
          <a:ext cx="842916" cy="361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80%</a:t>
          </a:r>
        </a:p>
      </cdr:txBody>
    </cdr:sp>
  </cdr:relSizeAnchor>
  <cdr:relSizeAnchor xmlns:cdr="http://schemas.openxmlformats.org/drawingml/2006/chartDrawing">
    <cdr:from>
      <cdr:x>0.68556</cdr:x>
      <cdr:y>0.82213</cdr:y>
    </cdr:from>
    <cdr:to>
      <cdr:x>0.79581</cdr:x>
      <cdr:y>0.8852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241894" y="4718054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88%</a:t>
          </a:r>
        </a:p>
      </cdr:txBody>
    </cdr:sp>
  </cdr:relSizeAnchor>
  <cdr:relSizeAnchor xmlns:cdr="http://schemas.openxmlformats.org/drawingml/2006/chartDrawing">
    <cdr:from>
      <cdr:x>0.36167</cdr:x>
      <cdr:y>0.91259</cdr:y>
    </cdr:from>
    <cdr:to>
      <cdr:x>0.48676</cdr:x>
      <cdr:y>0.97566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2765411" y="5237187"/>
          <a:ext cx="956462" cy="361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109%</a:t>
          </a:r>
        </a:p>
      </cdr:txBody>
    </cdr:sp>
  </cdr:relSizeAnchor>
  <cdr:relSizeAnchor xmlns:cdr="http://schemas.openxmlformats.org/drawingml/2006/chartDrawing">
    <cdr:from>
      <cdr:x>0.22092</cdr:x>
      <cdr:y>0.81632</cdr:y>
    </cdr:from>
    <cdr:to>
      <cdr:x>0.34414</cdr:x>
      <cdr:y>0.8794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1689165" y="4684711"/>
          <a:ext cx="942165" cy="362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79%</a:t>
          </a:r>
        </a:p>
      </cdr:txBody>
    </cdr:sp>
  </cdr:relSizeAnchor>
  <cdr:relSizeAnchor xmlns:cdr="http://schemas.openxmlformats.org/drawingml/2006/chartDrawing">
    <cdr:from>
      <cdr:x>0.23399</cdr:x>
      <cdr:y>0.48686</cdr:y>
    </cdr:from>
    <cdr:to>
      <cdr:x>0.35472</cdr:x>
      <cdr:y>0.54993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1789123" y="2794007"/>
          <a:ext cx="923125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98%</a:t>
          </a:r>
        </a:p>
      </cdr:txBody>
    </cdr:sp>
  </cdr:relSizeAnchor>
  <cdr:relSizeAnchor xmlns:cdr="http://schemas.openxmlformats.org/drawingml/2006/chartDrawing">
    <cdr:from>
      <cdr:x>0.27696</cdr:x>
      <cdr:y>0.35491</cdr:y>
    </cdr:from>
    <cdr:to>
      <cdr:x>0.38721</cdr:x>
      <cdr:y>0.41798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2117723" y="2036772"/>
          <a:ext cx="842993" cy="361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116%</a:t>
          </a:r>
        </a:p>
      </cdr:txBody>
    </cdr:sp>
  </cdr:relSizeAnchor>
  <cdr:relSizeAnchor xmlns:cdr="http://schemas.openxmlformats.org/drawingml/2006/chartDrawing">
    <cdr:from>
      <cdr:x>0.02398</cdr:x>
      <cdr:y>0.12863</cdr:y>
    </cdr:from>
    <cdr:to>
      <cdr:x>0.23389</cdr:x>
      <cdr:y>0.38921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59FF9528-6BAF-4213-9EC1-21872FFAA206}"/>
            </a:ext>
          </a:extLst>
        </cdr:cNvPr>
        <cdr:cNvSpPr/>
      </cdr:nvSpPr>
      <cdr:spPr>
        <a:xfrm xmlns:a="http://schemas.openxmlformats.org/drawingml/2006/main">
          <a:off x="183323" y="738202"/>
          <a:ext cx="1605013" cy="1495412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Tarjetas Rojas </a:t>
          </a: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168%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(54/32)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chemeClr val="accent4">
                  <a:lumMod val="50000"/>
                </a:schemeClr>
              </a:solidFill>
            </a:rPr>
            <a:t>Tarjetas Amarillas 113%</a:t>
          </a:r>
          <a:r>
            <a:rPr lang="es-MX" baseline="0"/>
            <a:t> </a:t>
          </a:r>
        </a:p>
        <a:p xmlns:a="http://schemas.openxmlformats.org/drawingml/2006/main">
          <a:pPr algn="ctr"/>
          <a:r>
            <a:rPr lang="es-MX" baseline="0"/>
            <a:t>(601/532)</a:t>
          </a:r>
          <a:endParaRPr lang="es-MX"/>
        </a:p>
      </cdr:txBody>
    </cdr:sp>
  </cdr:relSizeAnchor>
  <cdr:relSizeAnchor xmlns:cdr="http://schemas.openxmlformats.org/drawingml/2006/chartDrawing">
    <cdr:from>
      <cdr:x>0.79134</cdr:x>
      <cdr:y>0.70788</cdr:y>
    </cdr:from>
    <cdr:to>
      <cdr:x>0.96263</cdr:x>
      <cdr:y>0.97925</cdr:y>
    </cdr:to>
    <cdr:sp macro="" textlink="">
      <cdr:nvSpPr>
        <cdr:cNvPr id="14" name="Rectangle: Rounded Corners 13">
          <a:extLst xmlns:a="http://schemas.openxmlformats.org/drawingml/2006/main">
            <a:ext uri="{FF2B5EF4-FFF2-40B4-BE49-F238E27FC236}">
              <a16:creationId xmlns:a16="http://schemas.microsoft.com/office/drawing/2014/main" id="{9C542807-AC7D-43CA-A148-4A221F119740}"/>
            </a:ext>
          </a:extLst>
        </cdr:cNvPr>
        <cdr:cNvSpPr/>
      </cdr:nvSpPr>
      <cdr:spPr>
        <a:xfrm xmlns:a="http://schemas.openxmlformats.org/drawingml/2006/main">
          <a:off x="6050759" y="4062410"/>
          <a:ext cx="1309687" cy="155734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Goles anotados</a:t>
          </a: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84%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(332/397)</a:t>
          </a:r>
          <a:endParaRPr lang="es-MX">
            <a:effectLst/>
          </a:endParaRPr>
        </a:p>
        <a:p xmlns:a="http://schemas.openxmlformats.org/drawingml/2006/main">
          <a:pPr algn="ctr"/>
          <a:endParaRPr lang="es-MX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Goles</a:t>
          </a:r>
          <a:r>
            <a:rPr lang="es-MX" b="1" baseline="0">
              <a:solidFill>
                <a:srgbClr val="FF0000"/>
              </a:solidFill>
            </a:rPr>
            <a:t> por debajo de lo esperado: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65</a:t>
          </a:r>
        </a:p>
      </cdr:txBody>
    </cdr:sp>
  </cdr:relSizeAnchor>
  <cdr:relSizeAnchor xmlns:cdr="http://schemas.openxmlformats.org/drawingml/2006/chartDrawing">
    <cdr:from>
      <cdr:x>0.78459</cdr:x>
      <cdr:y>0.03817</cdr:y>
    </cdr:from>
    <cdr:to>
      <cdr:x>0.97083</cdr:x>
      <cdr:y>0.44979</cdr:y>
    </cdr:to>
    <cdr:sp macro="" textlink="">
      <cdr:nvSpPr>
        <cdr:cNvPr id="16" name="Rectangle: Rounded Corners 15">
          <a:extLst xmlns:a="http://schemas.openxmlformats.org/drawingml/2006/main">
            <a:ext uri="{FF2B5EF4-FFF2-40B4-BE49-F238E27FC236}">
              <a16:creationId xmlns:a16="http://schemas.microsoft.com/office/drawing/2014/main" id="{16F7CCA2-E145-4002-BF6C-A52B7DAAD710}"/>
            </a:ext>
          </a:extLst>
        </cdr:cNvPr>
        <cdr:cNvSpPr/>
      </cdr:nvSpPr>
      <cdr:spPr>
        <a:xfrm xmlns:a="http://schemas.openxmlformats.org/drawingml/2006/main">
          <a:off x="5999129" y="219075"/>
          <a:ext cx="1424027" cy="236220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Máximo</a:t>
          </a:r>
          <a:r>
            <a:rPr lang="es-MX" b="1" baseline="0">
              <a:solidFill>
                <a:srgbClr val="FF0000"/>
              </a:solidFill>
            </a:rPr>
            <a:t> % de empates</a:t>
          </a:r>
          <a:endParaRPr lang="es-MX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Apertura 2013 134%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(112/84)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rgbClr val="0070C0"/>
              </a:solidFill>
            </a:rPr>
            <a:t>Mínimo</a:t>
          </a:r>
          <a:r>
            <a:rPr lang="es-MX" b="1" baseline="0">
              <a:solidFill>
                <a:srgbClr val="0070C0"/>
              </a:solidFill>
            </a:rPr>
            <a:t> % de empates</a:t>
          </a:r>
        </a:p>
        <a:p xmlns:a="http://schemas.openxmlformats.org/drawingml/2006/main">
          <a:pPr algn="ctr"/>
          <a:r>
            <a:rPr lang="es-MX" b="1" baseline="0">
              <a:solidFill>
                <a:srgbClr val="0070C0"/>
              </a:solidFill>
            </a:rPr>
            <a:t>Apertura 2015</a:t>
          </a:r>
        </a:p>
        <a:p xmlns:a="http://schemas.openxmlformats.org/drawingml/2006/main">
          <a:pPr algn="ctr"/>
          <a:r>
            <a:rPr lang="es-MX" b="1" baseline="0">
              <a:solidFill>
                <a:srgbClr val="0070C0"/>
              </a:solidFill>
            </a:rPr>
            <a:t>68%</a:t>
          </a:r>
        </a:p>
        <a:p xmlns:a="http://schemas.openxmlformats.org/drawingml/2006/main">
          <a:pPr algn="ctr"/>
          <a:r>
            <a:rPr lang="es-MX" baseline="0"/>
            <a:t>(56/84)</a:t>
          </a:r>
          <a:endParaRPr lang="es-MX"/>
        </a:p>
      </cdr:txBody>
    </cdr:sp>
  </cdr:relSizeAnchor>
  <cdr:relSizeAnchor xmlns:cdr="http://schemas.openxmlformats.org/drawingml/2006/chartDrawing">
    <cdr:from>
      <cdr:x>0.15426</cdr:x>
      <cdr:y>0.65864</cdr:y>
    </cdr:from>
    <cdr:to>
      <cdr:x>0.27748</cdr:x>
      <cdr:y>0.72172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463103CE-A95A-46AD-A78A-425C1C5183C2}"/>
            </a:ext>
          </a:extLst>
        </cdr:cNvPr>
        <cdr:cNvSpPr txBox="1"/>
      </cdr:nvSpPr>
      <cdr:spPr>
        <a:xfrm xmlns:a="http://schemas.openxmlformats.org/drawingml/2006/main">
          <a:off x="1179481" y="3779817"/>
          <a:ext cx="942165" cy="362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131%</a:t>
          </a:r>
        </a:p>
      </cdr:txBody>
    </cdr:sp>
  </cdr:relSizeAnchor>
  <cdr:relSizeAnchor xmlns:cdr="http://schemas.openxmlformats.org/drawingml/2006/chartDrawing">
    <cdr:from>
      <cdr:x>0.43258</cdr:x>
      <cdr:y>0.5508</cdr:y>
    </cdr:from>
    <cdr:to>
      <cdr:x>0.56711</cdr:x>
      <cdr:y>0.69231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FF6F4E99-4D76-4CA4-81F6-1E0841540B6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307560" y="3160924"/>
          <a:ext cx="1028700" cy="81213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645318</xdr:colOff>
      <xdr:row>0</xdr:row>
      <xdr:rowOff>0</xdr:rowOff>
    </xdr:from>
    <xdr:to>
      <xdr:col>18</xdr:col>
      <xdr:colOff>23812</xdr:colOff>
      <xdr:row>29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AD104-732A-4FDB-BE62-6A6FD2D1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438154</xdr:colOff>
      <xdr:row>17</xdr:row>
      <xdr:rowOff>114303</xdr:rowOff>
    </xdr:from>
    <xdr:to>
      <xdr:col>8</xdr:col>
      <xdr:colOff>155001</xdr:colOff>
      <xdr:row>19</xdr:row>
      <xdr:rowOff>116900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9CE12D8A-B190-4473-9E82-DC351BABF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4" y="3190878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590347</xdr:colOff>
      <xdr:row>18</xdr:row>
      <xdr:rowOff>123604</xdr:rowOff>
    </xdr:from>
    <xdr:to>
      <xdr:col>7</xdr:col>
      <xdr:colOff>366510</xdr:colOff>
      <xdr:row>21</xdr:row>
      <xdr:rowOff>4542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03F7D38E-EE00-454E-B5F4-58FFFCD4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747" y="3381154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319090</xdr:colOff>
      <xdr:row>21</xdr:row>
      <xdr:rowOff>19054</xdr:rowOff>
    </xdr:from>
    <xdr:to>
      <xdr:col>14</xdr:col>
      <xdr:colOff>48059</xdr:colOff>
      <xdr:row>23</xdr:row>
      <xdr:rowOff>33773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4E53C1F2-F8C9-4618-8A83-1EB57ACB4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7390" y="3819529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625409</xdr:colOff>
      <xdr:row>18</xdr:row>
      <xdr:rowOff>130106</xdr:rowOff>
    </xdr:from>
    <xdr:to>
      <xdr:col>15</xdr:col>
      <xdr:colOff>363472</xdr:colOff>
      <xdr:row>20</xdr:row>
      <xdr:rowOff>153919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CAC7B107-BDAF-4430-981A-6DBC9DBC5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1409" y="3387656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497033</xdr:colOff>
      <xdr:row>20</xdr:row>
      <xdr:rowOff>68406</xdr:rowOff>
    </xdr:from>
    <xdr:to>
      <xdr:col>5</xdr:col>
      <xdr:colOff>230333</xdr:colOff>
      <xdr:row>22</xdr:row>
      <xdr:rowOff>87456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1EDA78A8-62A8-43D5-8FFF-557DA158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6033" y="3687906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356334</xdr:colOff>
      <xdr:row>20</xdr:row>
      <xdr:rowOff>75332</xdr:rowOff>
    </xdr:from>
    <xdr:to>
      <xdr:col>11</xdr:col>
      <xdr:colOff>146784</xdr:colOff>
      <xdr:row>22</xdr:row>
      <xdr:rowOff>151532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4BF78C64-AED4-4AAA-8FCF-0A075922A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1534" y="3694832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81590</xdr:colOff>
      <xdr:row>17</xdr:row>
      <xdr:rowOff>91092</xdr:rowOff>
    </xdr:from>
    <xdr:to>
      <xdr:col>9</xdr:col>
      <xdr:colOff>487355</xdr:colOff>
      <xdr:row>19</xdr:row>
      <xdr:rowOff>134907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4FC02E26-45B4-436D-834A-9CCC5614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9090" y="3167667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45640</xdr:colOff>
      <xdr:row>17</xdr:row>
      <xdr:rowOff>93261</xdr:rowOff>
    </xdr:from>
    <xdr:to>
      <xdr:col>17</xdr:col>
      <xdr:colOff>508556</xdr:colOff>
      <xdr:row>20</xdr:row>
      <xdr:rowOff>13252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4A2B6F6B-C962-4AFA-825F-34CF644D0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4740" y="3169836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408277</xdr:colOff>
      <xdr:row>17</xdr:row>
      <xdr:rowOff>89185</xdr:rowOff>
    </xdr:from>
    <xdr:to>
      <xdr:col>16</xdr:col>
      <xdr:colOff>208252</xdr:colOff>
      <xdr:row>19</xdr:row>
      <xdr:rowOff>174910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A9DA4374-6866-4B68-811B-ABD102C9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1977" y="3165760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117525</xdr:colOff>
      <xdr:row>16</xdr:row>
      <xdr:rowOff>136539</xdr:rowOff>
    </xdr:from>
    <xdr:to>
      <xdr:col>6</xdr:col>
      <xdr:colOff>570912</xdr:colOff>
      <xdr:row>19</xdr:row>
      <xdr:rowOff>47001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27D5AD90-2884-4B55-8EAF-AFF100DB9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25" y="3032139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505283</xdr:colOff>
      <xdr:row>15</xdr:row>
      <xdr:rowOff>48043</xdr:rowOff>
    </xdr:from>
    <xdr:to>
      <xdr:col>13</xdr:col>
      <xdr:colOff>267157</xdr:colOff>
      <xdr:row>17</xdr:row>
      <xdr:rowOff>95667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A0F3A036-6E85-45DE-92DC-F7F5CEE6D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883" y="2762668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169738</xdr:colOff>
      <xdr:row>17</xdr:row>
      <xdr:rowOff>12552</xdr:rowOff>
    </xdr:from>
    <xdr:to>
      <xdr:col>11</xdr:col>
      <xdr:colOff>626939</xdr:colOff>
      <xdr:row>19</xdr:row>
      <xdr:rowOff>107803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8756EE11-28E4-41BC-9B8E-9224D549D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2638" y="3089127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134223</xdr:colOff>
      <xdr:row>17</xdr:row>
      <xdr:rowOff>67540</xdr:rowOff>
    </xdr:from>
    <xdr:to>
      <xdr:col>14</xdr:col>
      <xdr:colOff>534272</xdr:colOff>
      <xdr:row>19</xdr:row>
      <xdr:rowOff>105639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65A9185A-9702-4DBF-A5EA-D41A40D8C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0223" y="3144115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509596</xdr:colOff>
      <xdr:row>17</xdr:row>
      <xdr:rowOff>109537</xdr:rowOff>
    </xdr:from>
    <xdr:to>
      <xdr:col>10</xdr:col>
      <xdr:colOff>320827</xdr:colOff>
      <xdr:row>20</xdr:row>
      <xdr:rowOff>25543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F8706FCE-B433-47B6-9596-746D35494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7096" y="3186112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251308</xdr:colOff>
      <xdr:row>17</xdr:row>
      <xdr:rowOff>65538</xdr:rowOff>
    </xdr:from>
    <xdr:to>
      <xdr:col>9</xdr:col>
      <xdr:colOff>47472</xdr:colOff>
      <xdr:row>19</xdr:row>
      <xdr:rowOff>147452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4B7E8BF1-54FC-4BE2-9E61-FFD8014FA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1108" y="3142113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45464</xdr:colOff>
      <xdr:row>15</xdr:row>
      <xdr:rowOff>164518</xdr:rowOff>
    </xdr:from>
    <xdr:to>
      <xdr:col>12</xdr:col>
      <xdr:colOff>407415</xdr:colOff>
      <xdr:row>17</xdr:row>
      <xdr:rowOff>164519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1AF51202-6A57-4AAD-A6E9-6F40CEA31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6064" y="2879143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277744</xdr:colOff>
      <xdr:row>21</xdr:row>
      <xdr:rowOff>49132</xdr:rowOff>
    </xdr:from>
    <xdr:to>
      <xdr:col>16</xdr:col>
      <xdr:colOff>644455</xdr:colOff>
      <xdr:row>23</xdr:row>
      <xdr:rowOff>53893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2B620DA1-F56C-4C3C-9515-5D6CCBF6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9144" y="3849607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336188</xdr:colOff>
      <xdr:row>21</xdr:row>
      <xdr:rowOff>55193</xdr:rowOff>
    </xdr:from>
    <xdr:to>
      <xdr:col>6</xdr:col>
      <xdr:colOff>45676</xdr:colOff>
      <xdr:row>23</xdr:row>
      <xdr:rowOff>50431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2EB02B59-FF19-4B81-ADAE-1CEA2913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2888" y="3855668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24FA0-73D5-4D50-BFF8-E7D36618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509585</xdr:colOff>
      <xdr:row>7</xdr:row>
      <xdr:rowOff>176212</xdr:rowOff>
    </xdr:from>
    <xdr:to>
      <xdr:col>7</xdr:col>
      <xdr:colOff>226432</xdr:colOff>
      <xdr:row>9</xdr:row>
      <xdr:rowOff>178809</xdr:rowOff>
    </xdr:to>
    <xdr:pic>
      <xdr:nvPicPr>
        <xdr:cNvPr id="4" name="Picture 3" descr="Logo&#10;&#10;Description automatically generated">
          <a:extLst>
            <a:ext uri="{FF2B5EF4-FFF2-40B4-BE49-F238E27FC236}">
              <a16:creationId xmlns:a16="http://schemas.microsoft.com/office/drawing/2014/main" id="{33DE7E20-5999-427D-B107-D92CA7DC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5335" y="1443037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295052</xdr:colOff>
      <xdr:row>9</xdr:row>
      <xdr:rowOff>166465</xdr:rowOff>
    </xdr:from>
    <xdr:to>
      <xdr:col>18</xdr:col>
      <xdr:colOff>71215</xdr:colOff>
      <xdr:row>12</xdr:row>
      <xdr:rowOff>47403</xdr:rowOff>
    </xdr:to>
    <xdr:pic>
      <xdr:nvPicPr>
        <xdr:cNvPr id="5" name="Picture 4" descr="A picture containing text, clipart&#10;&#10;Description automatically generated">
          <a:extLst>
            <a:ext uri="{FF2B5EF4-FFF2-40B4-BE49-F238E27FC236}">
              <a16:creationId xmlns:a16="http://schemas.microsoft.com/office/drawing/2014/main" id="{2336C315-3DD0-4B80-916F-2F61E9DD2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502" y="1795240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309559</xdr:colOff>
      <xdr:row>15</xdr:row>
      <xdr:rowOff>38087</xdr:rowOff>
    </xdr:from>
    <xdr:to>
      <xdr:col>14</xdr:col>
      <xdr:colOff>38528</xdr:colOff>
      <xdr:row>17</xdr:row>
      <xdr:rowOff>52806</xdr:rowOff>
    </xdr:to>
    <xdr:pic>
      <xdr:nvPicPr>
        <xdr:cNvPr id="6" name="Picture 5" descr="Logo&#10;&#10;Description automatically generated">
          <a:extLst>
            <a:ext uri="{FF2B5EF4-FFF2-40B4-BE49-F238E27FC236}">
              <a16:creationId xmlns:a16="http://schemas.microsoft.com/office/drawing/2014/main" id="{3B5D359B-FA2F-469D-88BF-007A385A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9209" y="2752712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311081</xdr:colOff>
      <xdr:row>10</xdr:row>
      <xdr:rowOff>11037</xdr:rowOff>
    </xdr:from>
    <xdr:to>
      <xdr:col>12</xdr:col>
      <xdr:colOff>49144</xdr:colOff>
      <xdr:row>12</xdr:row>
      <xdr:rowOff>34850</xdr:rowOff>
    </xdr:to>
    <xdr:pic>
      <xdr:nvPicPr>
        <xdr:cNvPr id="7" name="Picture 6" descr="Logo, company name&#10;&#10;Description automatically generated">
          <a:extLst>
            <a:ext uri="{FF2B5EF4-FFF2-40B4-BE49-F238E27FC236}">
              <a16:creationId xmlns:a16="http://schemas.microsoft.com/office/drawing/2014/main" id="{A90A953F-1F2B-43AE-B593-3C3236FFC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5331" y="1820787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106510</xdr:colOff>
      <xdr:row>11</xdr:row>
      <xdr:rowOff>11243</xdr:rowOff>
    </xdr:from>
    <xdr:to>
      <xdr:col>16</xdr:col>
      <xdr:colOff>487510</xdr:colOff>
      <xdr:row>13</xdr:row>
      <xdr:rowOff>30293</xdr:rowOff>
    </xdr:to>
    <xdr:pic>
      <xdr:nvPicPr>
        <xdr:cNvPr id="8" name="Picture 7" descr="Logo&#10;&#10;Description automatically generated with medium confidence">
          <a:extLst>
            <a:ext uri="{FF2B5EF4-FFF2-40B4-BE49-F238E27FC236}">
              <a16:creationId xmlns:a16="http://schemas.microsoft.com/office/drawing/2014/main" id="{0007FE22-31C5-483F-B05C-8AB919CC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260" y="2001968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61043</xdr:colOff>
      <xdr:row>9</xdr:row>
      <xdr:rowOff>137238</xdr:rowOff>
    </xdr:from>
    <xdr:to>
      <xdr:col>10</xdr:col>
      <xdr:colOff>499193</xdr:colOff>
      <xdr:row>12</xdr:row>
      <xdr:rowOff>32463</xdr:rowOff>
    </xdr:to>
    <xdr:pic>
      <xdr:nvPicPr>
        <xdr:cNvPr id="9" name="Picture 8" descr="Logo&#10;&#10;Description automatically generated">
          <a:extLst>
            <a:ext uri="{FF2B5EF4-FFF2-40B4-BE49-F238E27FC236}">
              <a16:creationId xmlns:a16="http://schemas.microsoft.com/office/drawing/2014/main" id="{7F43C2E1-1A1E-4B88-A03C-EC56E4663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7593" y="1766013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505436</xdr:colOff>
      <xdr:row>10</xdr:row>
      <xdr:rowOff>52981</xdr:rowOff>
    </xdr:from>
    <xdr:to>
      <xdr:col>11</xdr:col>
      <xdr:colOff>263501</xdr:colOff>
      <xdr:row>12</xdr:row>
      <xdr:rowOff>96796</xdr:rowOff>
    </xdr:to>
    <xdr:pic>
      <xdr:nvPicPr>
        <xdr:cNvPr id="10" name="Picture 9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DA610815-C832-4394-948C-B435BA9A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986" y="1862731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64690</xdr:colOff>
      <xdr:row>10</xdr:row>
      <xdr:rowOff>178982</xdr:rowOff>
    </xdr:from>
    <xdr:to>
      <xdr:col>18</xdr:col>
      <xdr:colOff>527606</xdr:colOff>
      <xdr:row>13</xdr:row>
      <xdr:rowOff>98973</xdr:rowOff>
    </xdr:to>
    <xdr:pic>
      <xdr:nvPicPr>
        <xdr:cNvPr id="11" name="Picture 10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C6ACD19E-96B2-40B2-8765-6D5A887D4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2840" y="1988732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55849</xdr:colOff>
      <xdr:row>11</xdr:row>
      <xdr:rowOff>65358</xdr:rowOff>
    </xdr:from>
    <xdr:to>
      <xdr:col>14</xdr:col>
      <xdr:colOff>503524</xdr:colOff>
      <xdr:row>13</xdr:row>
      <xdr:rowOff>151083</xdr:rowOff>
    </xdr:to>
    <xdr:pic>
      <xdr:nvPicPr>
        <xdr:cNvPr id="12" name="Picture 11" descr="A picture containing logo&#10;&#10;Description automatically generated">
          <a:extLst>
            <a:ext uri="{FF2B5EF4-FFF2-40B4-BE49-F238E27FC236}">
              <a16:creationId xmlns:a16="http://schemas.microsoft.com/office/drawing/2014/main" id="{42FBD01E-9DF5-4A9F-BF90-4019861F1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3199" y="2056083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484226</xdr:colOff>
      <xdr:row>12</xdr:row>
      <xdr:rowOff>122246</xdr:rowOff>
    </xdr:from>
    <xdr:to>
      <xdr:col>13</xdr:col>
      <xdr:colOff>289913</xdr:colOff>
      <xdr:row>15</xdr:row>
      <xdr:rowOff>32708</xdr:rowOff>
    </xdr:to>
    <xdr:pic>
      <xdr:nvPicPr>
        <xdr:cNvPr id="13" name="Picture 12" descr="A picture containing text, clipart&#10;&#10;Description automatically generated">
          <a:extLst>
            <a:ext uri="{FF2B5EF4-FFF2-40B4-BE49-F238E27FC236}">
              <a16:creationId xmlns:a16="http://schemas.microsoft.com/office/drawing/2014/main" id="{F2814C1B-2319-4A0E-B0B6-B88326F1C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176" y="2293946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510031</xdr:colOff>
      <xdr:row>12</xdr:row>
      <xdr:rowOff>162338</xdr:rowOff>
    </xdr:from>
    <xdr:to>
      <xdr:col>15</xdr:col>
      <xdr:colOff>271905</xdr:colOff>
      <xdr:row>15</xdr:row>
      <xdr:rowOff>28987</xdr:rowOff>
    </xdr:to>
    <xdr:pic>
      <xdr:nvPicPr>
        <xdr:cNvPr id="14" name="Picture 13" descr="Logo, company name&#10;&#10;Description automatically generated">
          <a:extLst>
            <a:ext uri="{FF2B5EF4-FFF2-40B4-BE49-F238E27FC236}">
              <a16:creationId xmlns:a16="http://schemas.microsoft.com/office/drawing/2014/main" id="{860BD176-E4AF-4E5D-8E13-0873241C3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7381" y="2334038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464997</xdr:colOff>
      <xdr:row>11</xdr:row>
      <xdr:rowOff>174484</xdr:rowOff>
    </xdr:from>
    <xdr:to>
      <xdr:col>9</xdr:col>
      <xdr:colOff>274498</xdr:colOff>
      <xdr:row>14</xdr:row>
      <xdr:rowOff>88760</xdr:rowOff>
    </xdr:to>
    <xdr:pic>
      <xdr:nvPicPr>
        <xdr:cNvPr id="15" name="Picture 14" descr="A picture containing text&#10;&#10;Description automatically generated">
          <a:extLst>
            <a:ext uri="{FF2B5EF4-FFF2-40B4-BE49-F238E27FC236}">
              <a16:creationId xmlns:a16="http://schemas.microsoft.com/office/drawing/2014/main" id="{2CD22663-2A7F-41E7-ACD4-616E8988C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6147" y="2165209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67544</xdr:colOff>
      <xdr:row>12</xdr:row>
      <xdr:rowOff>29441</xdr:rowOff>
    </xdr:from>
    <xdr:to>
      <xdr:col>8</xdr:col>
      <xdr:colOff>467593</xdr:colOff>
      <xdr:row>14</xdr:row>
      <xdr:rowOff>67540</xdr:rowOff>
    </xdr:to>
    <xdr:pic>
      <xdr:nvPicPr>
        <xdr:cNvPr id="16" name="Picture 15" descr="A picture containing text, clipart&#10;&#10;Description automatically generated">
          <a:extLst>
            <a:ext uri="{FF2B5EF4-FFF2-40B4-BE49-F238E27FC236}">
              <a16:creationId xmlns:a16="http://schemas.microsoft.com/office/drawing/2014/main" id="{D563A0BF-87AC-4923-8BC9-635730DC3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8694" y="2201141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485775</xdr:colOff>
      <xdr:row>13</xdr:row>
      <xdr:rowOff>47617</xdr:rowOff>
    </xdr:from>
    <xdr:to>
      <xdr:col>17</xdr:col>
      <xdr:colOff>297006</xdr:colOff>
      <xdr:row>15</xdr:row>
      <xdr:rowOff>144598</xdr:rowOff>
    </xdr:to>
    <xdr:pic>
      <xdr:nvPicPr>
        <xdr:cNvPr id="17" name="Picture 16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D048C7A3-742D-4C80-90E0-4C56A6151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2400292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56035</xdr:colOff>
      <xdr:row>13</xdr:row>
      <xdr:rowOff>103629</xdr:rowOff>
    </xdr:from>
    <xdr:to>
      <xdr:col>12</xdr:col>
      <xdr:colOff>499899</xdr:colOff>
      <xdr:row>16</xdr:row>
      <xdr:rowOff>4568</xdr:rowOff>
    </xdr:to>
    <xdr:pic>
      <xdr:nvPicPr>
        <xdr:cNvPr id="18" name="Picture 17" descr="Logo&#10;&#10;Description automatically generated">
          <a:extLst>
            <a:ext uri="{FF2B5EF4-FFF2-40B4-BE49-F238E27FC236}">
              <a16:creationId xmlns:a16="http://schemas.microsoft.com/office/drawing/2014/main" id="{2AD30EE3-B6E7-438B-92C3-C0875531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7985" y="2456304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302634</xdr:colOff>
      <xdr:row>13</xdr:row>
      <xdr:rowOff>116887</xdr:rowOff>
    </xdr:from>
    <xdr:to>
      <xdr:col>10</xdr:col>
      <xdr:colOff>16885</xdr:colOff>
      <xdr:row>15</xdr:row>
      <xdr:rowOff>116888</xdr:rowOff>
    </xdr:to>
    <xdr:pic>
      <xdr:nvPicPr>
        <xdr:cNvPr id="19" name="Picture 18" descr="Icon&#10;&#10;Description automatically generated">
          <a:extLst>
            <a:ext uri="{FF2B5EF4-FFF2-40B4-BE49-F238E27FC236}">
              <a16:creationId xmlns:a16="http://schemas.microsoft.com/office/drawing/2014/main" id="{0441E7BE-2CAC-410C-AAB7-E126C7187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1484" y="2469562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325367</xdr:colOff>
      <xdr:row>14</xdr:row>
      <xdr:rowOff>106283</xdr:rowOff>
    </xdr:from>
    <xdr:to>
      <xdr:col>16</xdr:col>
      <xdr:colOff>44378</xdr:colOff>
      <xdr:row>16</xdr:row>
      <xdr:rowOff>111044</xdr:rowOff>
    </xdr:to>
    <xdr:pic>
      <xdr:nvPicPr>
        <xdr:cNvPr id="20" name="Picture 19" descr="A picture containing text&#10;&#10;Description automatically generated">
          <a:extLst>
            <a:ext uri="{FF2B5EF4-FFF2-40B4-BE49-F238E27FC236}">
              <a16:creationId xmlns:a16="http://schemas.microsoft.com/office/drawing/2014/main" id="{96484E31-D9D2-45AD-A945-354DFAF0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0417" y="2639933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307612</xdr:colOff>
      <xdr:row>14</xdr:row>
      <xdr:rowOff>55187</xdr:rowOff>
    </xdr:from>
    <xdr:to>
      <xdr:col>8</xdr:col>
      <xdr:colOff>17100</xdr:colOff>
      <xdr:row>16</xdr:row>
      <xdr:rowOff>50425</xdr:rowOff>
    </xdr:to>
    <xdr:pic>
      <xdr:nvPicPr>
        <xdr:cNvPr id="21" name="Picture 20" descr="Logo&#10;&#10;Description automatically generated">
          <a:extLst>
            <a:ext uri="{FF2B5EF4-FFF2-40B4-BE49-F238E27FC236}">
              <a16:creationId xmlns:a16="http://schemas.microsoft.com/office/drawing/2014/main" id="{A00D876F-1717-46EB-ACFC-79E580E2C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1062" y="2588837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371467</xdr:colOff>
      <xdr:row>9</xdr:row>
      <xdr:rowOff>123341</xdr:rowOff>
    </xdr:from>
    <xdr:to>
      <xdr:col>7</xdr:col>
      <xdr:colOff>352422</xdr:colOff>
      <xdr:row>11</xdr:row>
      <xdr:rowOff>86192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C0E3F0D-26A2-42D9-952C-1E0473A09B83}"/>
                </a:ext>
              </a:extLst>
            </xdr:cNvPr>
            <xdr:cNvSpPr txBox="1"/>
          </xdr:nvSpPr>
          <xdr:spPr>
            <a:xfrm>
              <a:off x="4467217" y="175211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C0E3F0D-26A2-42D9-952C-1E0473A09B83}"/>
                </a:ext>
              </a:extLst>
            </xdr:cNvPr>
            <xdr:cNvSpPr txBox="1"/>
          </xdr:nvSpPr>
          <xdr:spPr>
            <a:xfrm>
              <a:off x="4467217" y="175211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+𝟔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9847FF6-02EC-4EB5-B3BB-1966E1440CFC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9847FF6-02EC-4EB5-B3BB-1966E1440CFC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E7F1A04-4F58-4C41-8467-F8F4407D4764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E7F1A04-4F58-4C41-8467-F8F4407D4764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DB2C416-1233-4885-8C46-1A1FD7C03AF9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DB2C416-1233-4885-8C46-1A1FD7C03AF9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1904D8B-77E7-4EE3-A935-8108F4F16407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1904D8B-77E7-4EE3-A935-8108F4F16407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C1B8621-8EAB-492E-8D97-03ED330C7DA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C1B8621-8EAB-492E-8D97-03ED330C7DA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385753</xdr:colOff>
      <xdr:row>12</xdr:row>
      <xdr:rowOff>75706</xdr:rowOff>
    </xdr:from>
    <xdr:to>
      <xdr:col>11</xdr:col>
      <xdr:colOff>366708</xdr:colOff>
      <xdr:row>14</xdr:row>
      <xdr:rowOff>38557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BAD6185-B931-4A78-AB2E-3DAAA0E4F87B}"/>
                </a:ext>
              </a:extLst>
            </xdr:cNvPr>
            <xdr:cNvSpPr txBox="1"/>
          </xdr:nvSpPr>
          <xdr:spPr>
            <a:xfrm>
              <a:off x="7072303" y="224740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BAD6185-B931-4A78-AB2E-3DAAA0E4F87B}"/>
                </a:ext>
              </a:extLst>
            </xdr:cNvPr>
            <xdr:cNvSpPr txBox="1"/>
          </xdr:nvSpPr>
          <xdr:spPr>
            <a:xfrm>
              <a:off x="7072303" y="224740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185738</xdr:colOff>
      <xdr:row>12</xdr:row>
      <xdr:rowOff>4277</xdr:rowOff>
    </xdr:from>
    <xdr:to>
      <xdr:col>12</xdr:col>
      <xdr:colOff>166693</xdr:colOff>
      <xdr:row>13</xdr:row>
      <xdr:rowOff>148103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04F2B30-49C1-4F30-84F9-B63E05B5DD93}"/>
                </a:ext>
              </a:extLst>
            </xdr:cNvPr>
            <xdr:cNvSpPr txBox="1"/>
          </xdr:nvSpPr>
          <xdr:spPr>
            <a:xfrm>
              <a:off x="7519988" y="217597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04F2B30-49C1-4F30-84F9-B63E05B5DD93}"/>
                </a:ext>
              </a:extLst>
            </xdr:cNvPr>
            <xdr:cNvSpPr txBox="1"/>
          </xdr:nvSpPr>
          <xdr:spPr>
            <a:xfrm>
              <a:off x="7519988" y="217597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385760</xdr:colOff>
      <xdr:row>14</xdr:row>
      <xdr:rowOff>51909</xdr:rowOff>
    </xdr:from>
    <xdr:to>
      <xdr:col>9</xdr:col>
      <xdr:colOff>366715</xdr:colOff>
      <xdr:row>16</xdr:row>
      <xdr:rowOff>14760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DCC9583-D5CC-40C9-B831-92246EA90AB1}"/>
                </a:ext>
              </a:extLst>
            </xdr:cNvPr>
            <xdr:cNvSpPr txBox="1"/>
          </xdr:nvSpPr>
          <xdr:spPr>
            <a:xfrm>
              <a:off x="5776910" y="25855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DCC9583-D5CC-40C9-B831-92246EA90AB1}"/>
                </a:ext>
              </a:extLst>
            </xdr:cNvPr>
            <xdr:cNvSpPr txBox="1"/>
          </xdr:nvSpPr>
          <xdr:spPr>
            <a:xfrm>
              <a:off x="5776910" y="25855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600076</xdr:colOff>
      <xdr:row>14</xdr:row>
      <xdr:rowOff>32857</xdr:rowOff>
    </xdr:from>
    <xdr:to>
      <xdr:col>8</xdr:col>
      <xdr:colOff>581031</xdr:colOff>
      <xdr:row>15</xdr:row>
      <xdr:rowOff>176683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CD756A4-C4FB-4159-92D0-5F562E1164E0}"/>
                </a:ext>
              </a:extLst>
            </xdr:cNvPr>
            <xdr:cNvSpPr txBox="1"/>
          </xdr:nvSpPr>
          <xdr:spPr>
            <a:xfrm>
              <a:off x="5343526" y="256650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CD756A4-C4FB-4159-92D0-5F562E1164E0}"/>
                </a:ext>
              </a:extLst>
            </xdr:cNvPr>
            <xdr:cNvSpPr txBox="1"/>
          </xdr:nvSpPr>
          <xdr:spPr>
            <a:xfrm>
              <a:off x="5343526" y="256650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180975</xdr:colOff>
      <xdr:row>15</xdr:row>
      <xdr:rowOff>85232</xdr:rowOff>
    </xdr:from>
    <xdr:to>
      <xdr:col>10</xdr:col>
      <xdr:colOff>161930</xdr:colOff>
      <xdr:row>17</xdr:row>
      <xdr:rowOff>48083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B494D1EC-AF8A-4E1B-848F-A73F0DF83C4F}"/>
                </a:ext>
              </a:extLst>
            </xdr:cNvPr>
            <xdr:cNvSpPr txBox="1"/>
          </xdr:nvSpPr>
          <xdr:spPr>
            <a:xfrm>
              <a:off x="6219825" y="279985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B494D1EC-AF8A-4E1B-848F-A73F0DF83C4F}"/>
                </a:ext>
              </a:extLst>
            </xdr:cNvPr>
            <xdr:cNvSpPr txBox="1"/>
          </xdr:nvSpPr>
          <xdr:spPr>
            <a:xfrm>
              <a:off x="6219825" y="279985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166683</xdr:colOff>
      <xdr:row>16</xdr:row>
      <xdr:rowOff>13791</xdr:rowOff>
    </xdr:from>
    <xdr:to>
      <xdr:col>8</xdr:col>
      <xdr:colOff>147638</xdr:colOff>
      <xdr:row>17</xdr:row>
      <xdr:rowOff>157617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F531091-E8C0-4A06-8F3D-EFFE4B64E667}"/>
                </a:ext>
              </a:extLst>
            </xdr:cNvPr>
            <xdr:cNvSpPr txBox="1"/>
          </xdr:nvSpPr>
          <xdr:spPr>
            <a:xfrm>
              <a:off x="4910133" y="290939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F531091-E8C0-4A06-8F3D-EFFE4B64E667}"/>
                </a:ext>
              </a:extLst>
            </xdr:cNvPr>
            <xdr:cNvSpPr txBox="1"/>
          </xdr:nvSpPr>
          <xdr:spPr>
            <a:xfrm>
              <a:off x="4910133" y="290939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604839</xdr:colOff>
      <xdr:row>12</xdr:row>
      <xdr:rowOff>13804</xdr:rowOff>
    </xdr:from>
    <xdr:to>
      <xdr:col>10</xdr:col>
      <xdr:colOff>585794</xdr:colOff>
      <xdr:row>13</xdr:row>
      <xdr:rowOff>157630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8DD3A12-C8D6-441D-B3F7-28EBEE8EE42F}"/>
                </a:ext>
              </a:extLst>
            </xdr:cNvPr>
            <xdr:cNvSpPr txBox="1"/>
          </xdr:nvSpPr>
          <xdr:spPr>
            <a:xfrm>
              <a:off x="6643689" y="218550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8DD3A12-C8D6-441D-B3F7-28EBEE8EE42F}"/>
                </a:ext>
              </a:extLst>
            </xdr:cNvPr>
            <xdr:cNvSpPr txBox="1"/>
          </xdr:nvSpPr>
          <xdr:spPr>
            <a:xfrm>
              <a:off x="6643689" y="218550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195253</xdr:colOff>
      <xdr:row>12</xdr:row>
      <xdr:rowOff>18568</xdr:rowOff>
    </xdr:from>
    <xdr:to>
      <xdr:col>18</xdr:col>
      <xdr:colOff>176208</xdr:colOff>
      <xdr:row>13</xdr:row>
      <xdr:rowOff>162394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8E6DEBD-50BB-457A-80F9-9D3543B4255E}"/>
                </a:ext>
              </a:extLst>
            </xdr:cNvPr>
            <xdr:cNvSpPr txBox="1"/>
          </xdr:nvSpPr>
          <xdr:spPr>
            <a:xfrm>
              <a:off x="11415703" y="219026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𝟕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8E6DEBD-50BB-457A-80F9-9D3543B4255E}"/>
                </a:ext>
              </a:extLst>
            </xdr:cNvPr>
            <xdr:cNvSpPr txBox="1"/>
          </xdr:nvSpPr>
          <xdr:spPr>
            <a:xfrm>
              <a:off x="11415703" y="219026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−𝟕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180976</xdr:colOff>
      <xdr:row>16</xdr:row>
      <xdr:rowOff>99527</xdr:rowOff>
    </xdr:from>
    <xdr:to>
      <xdr:col>16</xdr:col>
      <xdr:colOff>161931</xdr:colOff>
      <xdr:row>18</xdr:row>
      <xdr:rowOff>62378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68C10BF7-D465-4560-BCE5-E088B536BB53}"/>
                </a:ext>
              </a:extLst>
            </xdr:cNvPr>
            <xdr:cNvSpPr txBox="1"/>
          </xdr:nvSpPr>
          <xdr:spPr>
            <a:xfrm>
              <a:off x="10106026" y="299512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68C10BF7-D465-4560-BCE5-E088B536BB53}"/>
                </a:ext>
              </a:extLst>
            </xdr:cNvPr>
            <xdr:cNvSpPr txBox="1"/>
          </xdr:nvSpPr>
          <xdr:spPr>
            <a:xfrm>
              <a:off x="10106026" y="299512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−𝟑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638178</xdr:colOff>
      <xdr:row>13</xdr:row>
      <xdr:rowOff>13786</xdr:rowOff>
    </xdr:from>
    <xdr:to>
      <xdr:col>16</xdr:col>
      <xdr:colOff>619133</xdr:colOff>
      <xdr:row>14</xdr:row>
      <xdr:rowOff>157612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10EAB90-B748-4141-81D2-729409DC3E87}"/>
                </a:ext>
              </a:extLst>
            </xdr:cNvPr>
            <xdr:cNvSpPr txBox="1"/>
          </xdr:nvSpPr>
          <xdr:spPr>
            <a:xfrm>
              <a:off x="10563228" y="236646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10EAB90-B748-4141-81D2-729409DC3E87}"/>
                </a:ext>
              </a:extLst>
            </xdr:cNvPr>
            <xdr:cNvSpPr txBox="1"/>
          </xdr:nvSpPr>
          <xdr:spPr>
            <a:xfrm>
              <a:off x="10563228" y="236646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419099</xdr:colOff>
      <xdr:row>14</xdr:row>
      <xdr:rowOff>175714</xdr:rowOff>
    </xdr:from>
    <xdr:to>
      <xdr:col>15</xdr:col>
      <xdr:colOff>400054</xdr:colOff>
      <xdr:row>16</xdr:row>
      <xdr:rowOff>138565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DAA3577-AA80-4C97-B997-B8D619AFFE6A}"/>
                </a:ext>
              </a:extLst>
            </xdr:cNvPr>
            <xdr:cNvSpPr txBox="1"/>
          </xdr:nvSpPr>
          <xdr:spPr>
            <a:xfrm>
              <a:off x="9696449" y="270936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DAA3577-AA80-4C97-B997-B8D619AFFE6A}"/>
                </a:ext>
              </a:extLst>
            </xdr:cNvPr>
            <xdr:cNvSpPr txBox="1"/>
          </xdr:nvSpPr>
          <xdr:spPr>
            <a:xfrm>
              <a:off x="9696449" y="270936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−𝟐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614357</xdr:colOff>
      <xdr:row>13</xdr:row>
      <xdr:rowOff>128084</xdr:rowOff>
    </xdr:from>
    <xdr:to>
      <xdr:col>14</xdr:col>
      <xdr:colOff>595312</xdr:colOff>
      <xdr:row>15</xdr:row>
      <xdr:rowOff>90935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8E90DF4-CC1F-4C43-8CBF-0979A400D330}"/>
                </a:ext>
              </a:extLst>
            </xdr:cNvPr>
            <xdr:cNvSpPr txBox="1"/>
          </xdr:nvSpPr>
          <xdr:spPr>
            <a:xfrm>
              <a:off x="9244007" y="24807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8E90DF4-CC1F-4C43-8CBF-0979A400D330}"/>
                </a:ext>
              </a:extLst>
            </xdr:cNvPr>
            <xdr:cNvSpPr txBox="1"/>
          </xdr:nvSpPr>
          <xdr:spPr>
            <a:xfrm>
              <a:off x="9244007" y="24807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180966</xdr:colOff>
      <xdr:row>17</xdr:row>
      <xdr:rowOff>47124</xdr:rowOff>
    </xdr:from>
    <xdr:to>
      <xdr:col>14</xdr:col>
      <xdr:colOff>161921</xdr:colOff>
      <xdr:row>19</xdr:row>
      <xdr:rowOff>9975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235C00D-EB68-43B0-9906-F5B350B0F070}"/>
                </a:ext>
              </a:extLst>
            </xdr:cNvPr>
            <xdr:cNvSpPr txBox="1"/>
          </xdr:nvSpPr>
          <xdr:spPr>
            <a:xfrm>
              <a:off x="8810616" y="312369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235C00D-EB68-43B0-9906-F5B350B0F070}"/>
                </a:ext>
              </a:extLst>
            </xdr:cNvPr>
            <xdr:cNvSpPr txBox="1"/>
          </xdr:nvSpPr>
          <xdr:spPr>
            <a:xfrm>
              <a:off x="8810616" y="312369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385762</xdr:colOff>
      <xdr:row>14</xdr:row>
      <xdr:rowOff>175722</xdr:rowOff>
    </xdr:from>
    <xdr:to>
      <xdr:col>13</xdr:col>
      <xdr:colOff>366717</xdr:colOff>
      <xdr:row>16</xdr:row>
      <xdr:rowOff>138573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72E40D8E-0F8F-4CCA-B348-7698EC933961}"/>
                </a:ext>
              </a:extLst>
            </xdr:cNvPr>
            <xdr:cNvSpPr txBox="1"/>
          </xdr:nvSpPr>
          <xdr:spPr>
            <a:xfrm>
              <a:off x="8367712" y="270937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MX" sz="1600" b="1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72E40D8E-0F8F-4CCA-B348-7698EC933961}"/>
                </a:ext>
              </a:extLst>
            </xdr:cNvPr>
            <xdr:cNvSpPr txBox="1"/>
          </xdr:nvSpPr>
          <xdr:spPr>
            <a:xfrm>
              <a:off x="8367712" y="270937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𝟎</a:t>
              </a:r>
              <a:endParaRPr lang="es-MX" sz="1600" b="1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604837</xdr:colOff>
      <xdr:row>15</xdr:row>
      <xdr:rowOff>166187</xdr:rowOff>
    </xdr:from>
    <xdr:to>
      <xdr:col>12</xdr:col>
      <xdr:colOff>585792</xdr:colOff>
      <xdr:row>17</xdr:row>
      <xdr:rowOff>129038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F580B270-B96E-4066-B269-E2DC725DF6FD}"/>
                </a:ext>
              </a:extLst>
            </xdr:cNvPr>
            <xdr:cNvSpPr txBox="1"/>
          </xdr:nvSpPr>
          <xdr:spPr>
            <a:xfrm>
              <a:off x="7939087" y="288081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MX" sz="1600" b="1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F580B270-B96E-4066-B269-E2DC725DF6FD}"/>
                </a:ext>
              </a:extLst>
            </xdr:cNvPr>
            <xdr:cNvSpPr txBox="1"/>
          </xdr:nvSpPr>
          <xdr:spPr>
            <a:xfrm>
              <a:off x="7939087" y="288081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𝟎</a:t>
              </a:r>
              <a:endParaRPr lang="es-MX" sz="1600" b="1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619119</xdr:colOff>
      <xdr:row>13</xdr:row>
      <xdr:rowOff>85233</xdr:rowOff>
    </xdr:from>
    <xdr:to>
      <xdr:col>18</xdr:col>
      <xdr:colOff>600074</xdr:colOff>
      <xdr:row>15</xdr:row>
      <xdr:rowOff>48084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3B480BF-4D0B-4A66-8060-0E1C3F79856F}"/>
                </a:ext>
              </a:extLst>
            </xdr:cNvPr>
            <xdr:cNvSpPr txBox="1"/>
          </xdr:nvSpPr>
          <xdr:spPr>
            <a:xfrm>
              <a:off x="11839569" y="243790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3B480BF-4D0B-4A66-8060-0E1C3F79856F}"/>
                </a:ext>
              </a:extLst>
            </xdr:cNvPr>
            <xdr:cNvSpPr txBox="1"/>
          </xdr:nvSpPr>
          <xdr:spPr>
            <a:xfrm>
              <a:off x="11839569" y="243790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−𝟖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395283</xdr:colOff>
      <xdr:row>15</xdr:row>
      <xdr:rowOff>137614</xdr:rowOff>
    </xdr:from>
    <xdr:to>
      <xdr:col>17</xdr:col>
      <xdr:colOff>376238</xdr:colOff>
      <xdr:row>17</xdr:row>
      <xdr:rowOff>100465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EA44D2D8-FABB-4C63-911B-B4DC4605540C}"/>
                </a:ext>
              </a:extLst>
            </xdr:cNvPr>
            <xdr:cNvSpPr txBox="1"/>
          </xdr:nvSpPr>
          <xdr:spPr>
            <a:xfrm>
              <a:off x="10968033" y="285223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EA44D2D8-FABB-4C63-911B-B4DC4605540C}"/>
                </a:ext>
              </a:extLst>
            </xdr:cNvPr>
            <xdr:cNvSpPr txBox="1"/>
          </xdr:nvSpPr>
          <xdr:spPr>
            <a:xfrm>
              <a:off x="10968033" y="285223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−𝟔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404818</xdr:colOff>
      <xdr:row>9</xdr:row>
      <xdr:rowOff>161167</xdr:rowOff>
    </xdr:from>
    <xdr:to>
      <xdr:col>19</xdr:col>
      <xdr:colOff>488163</xdr:colOff>
      <xdr:row>10</xdr:row>
      <xdr:rowOff>78582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3AA3411C-945B-4FEB-A2ED-AAF352388FCF}"/>
            </a:ext>
          </a:extLst>
        </xdr:cNvPr>
        <xdr:cNvSpPr/>
      </xdr:nvSpPr>
      <xdr:spPr>
        <a:xfrm>
          <a:off x="12920668" y="1789942"/>
          <a:ext cx="83345" cy="98390"/>
        </a:xfrm>
        <a:prstGeom prst="triangle">
          <a:avLst>
            <a:gd name="adj" fmla="val 100000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3D0E2-8B0E-4024-B0AD-DA44C4EC3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114291</xdr:colOff>
      <xdr:row>8</xdr:row>
      <xdr:rowOff>42853</xdr:rowOff>
    </xdr:from>
    <xdr:to>
      <xdr:col>10</xdr:col>
      <xdr:colOff>478838</xdr:colOff>
      <xdr:row>10</xdr:row>
      <xdr:rowOff>45450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1F7BC33A-F613-472E-9914-2388F4786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41" y="1490653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518886</xdr:colOff>
      <xdr:row>8</xdr:row>
      <xdr:rowOff>4530</xdr:rowOff>
    </xdr:from>
    <xdr:to>
      <xdr:col>13</xdr:col>
      <xdr:colOff>295049</xdr:colOff>
      <xdr:row>10</xdr:row>
      <xdr:rowOff>66443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C2CF6425-5E2B-4770-8081-A5E9E5BA9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0836" y="1452330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533395</xdr:colOff>
      <xdr:row>12</xdr:row>
      <xdr:rowOff>123797</xdr:rowOff>
    </xdr:from>
    <xdr:to>
      <xdr:col>17</xdr:col>
      <xdr:colOff>262364</xdr:colOff>
      <xdr:row>14</xdr:row>
      <xdr:rowOff>138516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8BC6F0CF-CF2A-4B0C-BB3F-9874A88B9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45" y="2295497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315836</xdr:colOff>
      <xdr:row>8</xdr:row>
      <xdr:rowOff>115808</xdr:rowOff>
    </xdr:from>
    <xdr:to>
      <xdr:col>10</xdr:col>
      <xdr:colOff>53899</xdr:colOff>
      <xdr:row>10</xdr:row>
      <xdr:rowOff>139621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391A5783-1DF8-413E-9674-C429E5708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686" y="1563608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530371</xdr:colOff>
      <xdr:row>8</xdr:row>
      <xdr:rowOff>173166</xdr:rowOff>
    </xdr:from>
    <xdr:to>
      <xdr:col>9</xdr:col>
      <xdr:colOff>263671</xdr:colOff>
      <xdr:row>11</xdr:row>
      <xdr:rowOff>11241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A781B923-A84E-4116-956D-0DBC5D99D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1521" y="1620966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513478</xdr:colOff>
      <xdr:row>8</xdr:row>
      <xdr:rowOff>141991</xdr:rowOff>
    </xdr:from>
    <xdr:to>
      <xdr:col>11</xdr:col>
      <xdr:colOff>303928</xdr:colOff>
      <xdr:row>11</xdr:row>
      <xdr:rowOff>37216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24B6C8EA-2435-4A9D-9695-7C31D57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028" y="1589791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524488</xdr:colOff>
      <xdr:row>8</xdr:row>
      <xdr:rowOff>57743</xdr:rowOff>
    </xdr:from>
    <xdr:to>
      <xdr:col>7</xdr:col>
      <xdr:colOff>282553</xdr:colOff>
      <xdr:row>10</xdr:row>
      <xdr:rowOff>101558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DED9ABC4-D85C-44D9-8EF9-A63DBEBEB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0238" y="1505543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69458</xdr:colOff>
      <xdr:row>8</xdr:row>
      <xdr:rowOff>150394</xdr:rowOff>
    </xdr:from>
    <xdr:to>
      <xdr:col>12</xdr:col>
      <xdr:colOff>532374</xdr:colOff>
      <xdr:row>11</xdr:row>
      <xdr:rowOff>70385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532BC9C3-FAC3-417A-87C4-05684F533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1408" y="1598194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293976</xdr:colOff>
      <xdr:row>9</xdr:row>
      <xdr:rowOff>32014</xdr:rowOff>
    </xdr:from>
    <xdr:to>
      <xdr:col>8</xdr:col>
      <xdr:colOff>93951</xdr:colOff>
      <xdr:row>11</xdr:row>
      <xdr:rowOff>117739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D17E8466-C4C6-40F8-8548-D499551FF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7426" y="1660789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279435</xdr:colOff>
      <xdr:row>10</xdr:row>
      <xdr:rowOff>88901</xdr:rowOff>
    </xdr:from>
    <xdr:to>
      <xdr:col>18</xdr:col>
      <xdr:colOff>85122</xdr:colOff>
      <xdr:row>12</xdr:row>
      <xdr:rowOff>180338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DF007D77-AA38-4765-8774-598BDC2B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9885" y="1898651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86168</xdr:colOff>
      <xdr:row>10</xdr:row>
      <xdr:rowOff>162329</xdr:rowOff>
    </xdr:from>
    <xdr:to>
      <xdr:col>16</xdr:col>
      <xdr:colOff>495742</xdr:colOff>
      <xdr:row>13</xdr:row>
      <xdr:rowOff>28978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A6A51AD4-0B28-4EB3-9D05-49EFBEA6E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918" y="1972079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60189</xdr:colOff>
      <xdr:row>10</xdr:row>
      <xdr:rowOff>7769</xdr:rowOff>
    </xdr:from>
    <xdr:to>
      <xdr:col>8</xdr:col>
      <xdr:colOff>517390</xdr:colOff>
      <xdr:row>12</xdr:row>
      <xdr:rowOff>103020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77F036C8-DA39-412D-BC04-7F02CA7B5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1339" y="1817519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310434</xdr:colOff>
      <xdr:row>11</xdr:row>
      <xdr:rowOff>24649</xdr:rowOff>
    </xdr:from>
    <xdr:to>
      <xdr:col>16</xdr:col>
      <xdr:colOff>62783</xdr:colOff>
      <xdr:row>13</xdr:row>
      <xdr:rowOff>62748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2B1FD74E-3596-45E2-BA75-79D13F7F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5484" y="2015374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490545</xdr:colOff>
      <xdr:row>11</xdr:row>
      <xdr:rowOff>33320</xdr:rowOff>
    </xdr:from>
    <xdr:to>
      <xdr:col>15</xdr:col>
      <xdr:colOff>301776</xdr:colOff>
      <xdr:row>13</xdr:row>
      <xdr:rowOff>130301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C2ED0F0A-A524-41F1-AC03-977D2B32B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7895" y="2024045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294159</xdr:colOff>
      <xdr:row>11</xdr:row>
      <xdr:rowOff>41707</xdr:rowOff>
    </xdr:from>
    <xdr:to>
      <xdr:col>12</xdr:col>
      <xdr:colOff>90323</xdr:colOff>
      <xdr:row>13</xdr:row>
      <xdr:rowOff>123621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9D2522B4-6608-496D-A591-85B07158B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8409" y="2032432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102609</xdr:colOff>
      <xdr:row>12</xdr:row>
      <xdr:rowOff>59718</xdr:rowOff>
    </xdr:from>
    <xdr:to>
      <xdr:col>14</xdr:col>
      <xdr:colOff>464560</xdr:colOff>
      <xdr:row>14</xdr:row>
      <xdr:rowOff>59719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17CE5C63-3F9B-4899-9663-EE4F34181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9959" y="2231418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106287</xdr:colOff>
      <xdr:row>12</xdr:row>
      <xdr:rowOff>77692</xdr:rowOff>
    </xdr:from>
    <xdr:to>
      <xdr:col>18</xdr:col>
      <xdr:colOff>472998</xdr:colOff>
      <xdr:row>14</xdr:row>
      <xdr:rowOff>82453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FB710C6C-CD9C-46C5-85E2-A5907E943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437" y="2249392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326661</xdr:colOff>
      <xdr:row>12</xdr:row>
      <xdr:rowOff>102806</xdr:rowOff>
    </xdr:from>
    <xdr:to>
      <xdr:col>14</xdr:col>
      <xdr:colOff>36149</xdr:colOff>
      <xdr:row>14</xdr:row>
      <xdr:rowOff>98044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34C86DE3-21FC-4E44-B191-E3762AF52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6311" y="2274506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642923</xdr:colOff>
      <xdr:row>10</xdr:row>
      <xdr:rowOff>32845</xdr:rowOff>
    </xdr:from>
    <xdr:to>
      <xdr:col>10</xdr:col>
      <xdr:colOff>623878</xdr:colOff>
      <xdr:row>11</xdr:row>
      <xdr:rowOff>176671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BCE4CBB-1C6A-439C-BC3B-1624EB997079}"/>
                </a:ext>
              </a:extLst>
            </xdr:cNvPr>
            <xdr:cNvSpPr txBox="1"/>
          </xdr:nvSpPr>
          <xdr:spPr>
            <a:xfrm>
              <a:off x="6681773" y="18425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BCE4CBB-1C6A-439C-BC3B-1624EB997079}"/>
                </a:ext>
              </a:extLst>
            </xdr:cNvPr>
            <xdr:cNvSpPr txBox="1"/>
          </xdr:nvSpPr>
          <xdr:spPr>
            <a:xfrm>
              <a:off x="6681773" y="18425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467EE35-B253-4C9E-903F-12EE13EB095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467EE35-B253-4C9E-903F-12EE13EB095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FF98F27-7D8B-46E1-9C24-BB3F8C729982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FF98F27-7D8B-46E1-9C24-BB3F8C729982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C19D370-4F53-4308-A137-503D214CC25D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C19D370-4F53-4308-A137-503D214CC25D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DD531E8-ADD0-4242-8671-0F4D8BD70D48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DD531E8-ADD0-4242-8671-0F4D8BD70D48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D65C9E6-8B83-44CE-ABB0-361CB1351510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D65C9E6-8B83-44CE-ABB0-361CB1351510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404805</xdr:colOff>
      <xdr:row>10</xdr:row>
      <xdr:rowOff>80468</xdr:rowOff>
    </xdr:from>
    <xdr:to>
      <xdr:col>7</xdr:col>
      <xdr:colOff>385760</xdr:colOff>
      <xdr:row>12</xdr:row>
      <xdr:rowOff>43319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04797D6-CD35-489B-9464-EE8933C467AC}"/>
                </a:ext>
              </a:extLst>
            </xdr:cNvPr>
            <xdr:cNvSpPr txBox="1"/>
          </xdr:nvSpPr>
          <xdr:spPr>
            <a:xfrm>
              <a:off x="4500555" y="189021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04797D6-CD35-489B-9464-EE8933C467AC}"/>
                </a:ext>
              </a:extLst>
            </xdr:cNvPr>
            <xdr:cNvSpPr txBox="1"/>
          </xdr:nvSpPr>
          <xdr:spPr>
            <a:xfrm>
              <a:off x="4500555" y="189021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190493</xdr:colOff>
      <xdr:row>10</xdr:row>
      <xdr:rowOff>109048</xdr:rowOff>
    </xdr:from>
    <xdr:to>
      <xdr:col>10</xdr:col>
      <xdr:colOff>171448</xdr:colOff>
      <xdr:row>12</xdr:row>
      <xdr:rowOff>71899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00B9593-579B-413D-B489-3F9D473CA08A}"/>
                </a:ext>
              </a:extLst>
            </xdr:cNvPr>
            <xdr:cNvSpPr txBox="1"/>
          </xdr:nvSpPr>
          <xdr:spPr>
            <a:xfrm>
              <a:off x="6229343" y="191879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00B9593-579B-413D-B489-3F9D473CA08A}"/>
                </a:ext>
              </a:extLst>
            </xdr:cNvPr>
            <xdr:cNvSpPr txBox="1"/>
          </xdr:nvSpPr>
          <xdr:spPr>
            <a:xfrm>
              <a:off x="6229343" y="191879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628652</xdr:colOff>
      <xdr:row>12</xdr:row>
      <xdr:rowOff>75695</xdr:rowOff>
    </xdr:from>
    <xdr:to>
      <xdr:col>8</xdr:col>
      <xdr:colOff>609607</xdr:colOff>
      <xdr:row>14</xdr:row>
      <xdr:rowOff>38546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A99BDBB-D543-426D-BA23-710000D71380}"/>
                </a:ext>
              </a:extLst>
            </xdr:cNvPr>
            <xdr:cNvSpPr txBox="1"/>
          </xdr:nvSpPr>
          <xdr:spPr>
            <a:xfrm>
              <a:off x="5372102" y="22473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A99BDBB-D543-426D-BA23-710000D71380}"/>
                </a:ext>
              </a:extLst>
            </xdr:cNvPr>
            <xdr:cNvSpPr txBox="1"/>
          </xdr:nvSpPr>
          <xdr:spPr>
            <a:xfrm>
              <a:off x="5372102" y="22473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195266</xdr:colOff>
      <xdr:row>13</xdr:row>
      <xdr:rowOff>28065</xdr:rowOff>
    </xdr:from>
    <xdr:to>
      <xdr:col>16</xdr:col>
      <xdr:colOff>176221</xdr:colOff>
      <xdr:row>14</xdr:row>
      <xdr:rowOff>171891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3665063-D8B0-4FDC-A702-A6F2F80BAACF}"/>
                </a:ext>
              </a:extLst>
            </xdr:cNvPr>
            <xdr:cNvSpPr txBox="1"/>
          </xdr:nvSpPr>
          <xdr:spPr>
            <a:xfrm>
              <a:off x="10120316" y="23807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3665063-D8B0-4FDC-A702-A6F2F80BAACF}"/>
                </a:ext>
              </a:extLst>
            </xdr:cNvPr>
            <xdr:cNvSpPr txBox="1"/>
          </xdr:nvSpPr>
          <xdr:spPr>
            <a:xfrm>
              <a:off x="10120316" y="23807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628650</xdr:colOff>
      <xdr:row>14</xdr:row>
      <xdr:rowOff>28063</xdr:rowOff>
    </xdr:from>
    <xdr:to>
      <xdr:col>14</xdr:col>
      <xdr:colOff>609605</xdr:colOff>
      <xdr:row>15</xdr:row>
      <xdr:rowOff>171889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C9E18DF5-3804-4E3E-A420-08BFFDE150B7}"/>
                </a:ext>
              </a:extLst>
            </xdr:cNvPr>
            <xdr:cNvSpPr txBox="1"/>
          </xdr:nvSpPr>
          <xdr:spPr>
            <a:xfrm>
              <a:off x="9258300" y="256171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C9E18DF5-3804-4E3E-A420-08BFFDE150B7}"/>
                </a:ext>
              </a:extLst>
            </xdr:cNvPr>
            <xdr:cNvSpPr txBox="1"/>
          </xdr:nvSpPr>
          <xdr:spPr>
            <a:xfrm>
              <a:off x="9258300" y="256171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185732</xdr:colOff>
      <xdr:row>14</xdr:row>
      <xdr:rowOff>70936</xdr:rowOff>
    </xdr:from>
    <xdr:to>
      <xdr:col>14</xdr:col>
      <xdr:colOff>166687</xdr:colOff>
      <xdr:row>16</xdr:row>
      <xdr:rowOff>33787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66AFF5C-775C-4353-A897-3BE7420E8711}"/>
                </a:ext>
              </a:extLst>
            </xdr:cNvPr>
            <xdr:cNvSpPr txBox="1"/>
          </xdr:nvSpPr>
          <xdr:spPr>
            <a:xfrm>
              <a:off x="8815382" y="260458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MX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66AFF5C-775C-4353-A897-3BE7420E8711}"/>
                </a:ext>
              </a:extLst>
            </xdr:cNvPr>
            <xdr:cNvSpPr txBox="1"/>
          </xdr:nvSpPr>
          <xdr:spPr>
            <a:xfrm>
              <a:off x="8815382" y="260458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endParaRPr lang="es-MX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409574</xdr:colOff>
      <xdr:row>11</xdr:row>
      <xdr:rowOff>9031</xdr:rowOff>
    </xdr:from>
    <xdr:to>
      <xdr:col>11</xdr:col>
      <xdr:colOff>390529</xdr:colOff>
      <xdr:row>12</xdr:row>
      <xdr:rowOff>152857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DD9477-68EB-4256-8CC2-7F92D590A9CE}"/>
                </a:ext>
              </a:extLst>
            </xdr:cNvPr>
            <xdr:cNvSpPr txBox="1"/>
          </xdr:nvSpPr>
          <xdr:spPr>
            <a:xfrm>
              <a:off x="7096124" y="199975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DD9477-68EB-4256-8CC2-7F92D590A9CE}"/>
                </a:ext>
              </a:extLst>
            </xdr:cNvPr>
            <xdr:cNvSpPr txBox="1"/>
          </xdr:nvSpPr>
          <xdr:spPr>
            <a:xfrm>
              <a:off x="7096124" y="199975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419087</xdr:colOff>
      <xdr:row>10</xdr:row>
      <xdr:rowOff>37608</xdr:rowOff>
    </xdr:from>
    <xdr:to>
      <xdr:col>13</xdr:col>
      <xdr:colOff>400042</xdr:colOff>
      <xdr:row>12</xdr:row>
      <xdr:rowOff>459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4BB6D03-8B8D-454D-AB88-2E5F6562A046}"/>
                </a:ext>
              </a:extLst>
            </xdr:cNvPr>
            <xdr:cNvSpPr txBox="1"/>
          </xdr:nvSpPr>
          <xdr:spPr>
            <a:xfrm>
              <a:off x="8401037" y="184735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4BB6D03-8B8D-454D-AB88-2E5F6562A046}"/>
                </a:ext>
              </a:extLst>
            </xdr:cNvPr>
            <xdr:cNvSpPr txBox="1"/>
          </xdr:nvSpPr>
          <xdr:spPr>
            <a:xfrm>
              <a:off x="8401037" y="184735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−𝟖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609596</xdr:colOff>
      <xdr:row>14</xdr:row>
      <xdr:rowOff>70936</xdr:rowOff>
    </xdr:from>
    <xdr:to>
      <xdr:col>18</xdr:col>
      <xdr:colOff>590551</xdr:colOff>
      <xdr:row>16</xdr:row>
      <xdr:rowOff>33787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3822E46-4DAA-44B7-9975-829192C3AFFE}"/>
                </a:ext>
              </a:extLst>
            </xdr:cNvPr>
            <xdr:cNvSpPr txBox="1"/>
          </xdr:nvSpPr>
          <xdr:spPr>
            <a:xfrm>
              <a:off x="11830046" y="260458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3822E46-4DAA-44B7-9975-829192C3AFFE}"/>
                </a:ext>
              </a:extLst>
            </xdr:cNvPr>
            <xdr:cNvSpPr txBox="1"/>
          </xdr:nvSpPr>
          <xdr:spPr>
            <a:xfrm>
              <a:off x="11830046" y="260458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−𝟖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414339</xdr:colOff>
      <xdr:row>10</xdr:row>
      <xdr:rowOff>175709</xdr:rowOff>
    </xdr:from>
    <xdr:to>
      <xdr:col>9</xdr:col>
      <xdr:colOff>395294</xdr:colOff>
      <xdr:row>12</xdr:row>
      <xdr:rowOff>138560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11A8600E-423D-459D-B22C-5C6790263AC6}"/>
                </a:ext>
              </a:extLst>
            </xdr:cNvPr>
            <xdr:cNvSpPr txBox="1"/>
          </xdr:nvSpPr>
          <xdr:spPr>
            <a:xfrm>
              <a:off x="5805489" y="19854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11A8600E-423D-459D-B22C-5C6790263AC6}"/>
                </a:ext>
              </a:extLst>
            </xdr:cNvPr>
            <xdr:cNvSpPr txBox="1"/>
          </xdr:nvSpPr>
          <xdr:spPr>
            <a:xfrm>
              <a:off x="5805489" y="19854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642936</xdr:colOff>
      <xdr:row>12</xdr:row>
      <xdr:rowOff>175705</xdr:rowOff>
    </xdr:from>
    <xdr:to>
      <xdr:col>16</xdr:col>
      <xdr:colOff>623891</xdr:colOff>
      <xdr:row>14</xdr:row>
      <xdr:rowOff>138556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AB70C4DF-AA10-439D-AE67-45065273E13C}"/>
                </a:ext>
              </a:extLst>
            </xdr:cNvPr>
            <xdr:cNvSpPr txBox="1"/>
          </xdr:nvSpPr>
          <xdr:spPr>
            <a:xfrm>
              <a:off x="10567986" y="234740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AB70C4DF-AA10-439D-AE67-45065273E13C}"/>
                </a:ext>
              </a:extLst>
            </xdr:cNvPr>
            <xdr:cNvSpPr txBox="1"/>
          </xdr:nvSpPr>
          <xdr:spPr>
            <a:xfrm>
              <a:off x="10567986" y="234740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204784</xdr:colOff>
      <xdr:row>11</xdr:row>
      <xdr:rowOff>94740</xdr:rowOff>
    </xdr:from>
    <xdr:to>
      <xdr:col>8</xdr:col>
      <xdr:colOff>185739</xdr:colOff>
      <xdr:row>13</xdr:row>
      <xdr:rowOff>57591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95490E9-2A13-430D-9B2B-F51C31F6AE03}"/>
                </a:ext>
              </a:extLst>
            </xdr:cNvPr>
            <xdr:cNvSpPr txBox="1"/>
          </xdr:nvSpPr>
          <xdr:spPr>
            <a:xfrm>
              <a:off x="4948234" y="208546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95490E9-2A13-430D-9B2B-F51C31F6AE03}"/>
                </a:ext>
              </a:extLst>
            </xdr:cNvPr>
            <xdr:cNvSpPr txBox="1"/>
          </xdr:nvSpPr>
          <xdr:spPr>
            <a:xfrm>
              <a:off x="4948234" y="208546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404802</xdr:colOff>
      <xdr:row>14</xdr:row>
      <xdr:rowOff>132834</xdr:rowOff>
    </xdr:from>
    <xdr:to>
      <xdr:col>17</xdr:col>
      <xdr:colOff>385757</xdr:colOff>
      <xdr:row>16</xdr:row>
      <xdr:rowOff>95685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26F96B7-36A3-4C86-B8A9-F7DF297FCF1A}"/>
                </a:ext>
              </a:extLst>
            </xdr:cNvPr>
            <xdr:cNvSpPr txBox="1"/>
          </xdr:nvSpPr>
          <xdr:spPr>
            <a:xfrm>
              <a:off x="10977552" y="266648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26F96B7-36A3-4C86-B8A9-F7DF297FCF1A}"/>
                </a:ext>
              </a:extLst>
            </xdr:cNvPr>
            <xdr:cNvSpPr txBox="1"/>
          </xdr:nvSpPr>
          <xdr:spPr>
            <a:xfrm>
              <a:off x="10977552" y="266648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180971</xdr:colOff>
      <xdr:row>12</xdr:row>
      <xdr:rowOff>151903</xdr:rowOff>
    </xdr:from>
    <xdr:to>
      <xdr:col>18</xdr:col>
      <xdr:colOff>161926</xdr:colOff>
      <xdr:row>14</xdr:row>
      <xdr:rowOff>114754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CE412CC-BF77-4A55-B9F1-680261F16FC9}"/>
                </a:ext>
              </a:extLst>
            </xdr:cNvPr>
            <xdr:cNvSpPr txBox="1"/>
          </xdr:nvSpPr>
          <xdr:spPr>
            <a:xfrm>
              <a:off x="11401421" y="232360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CE412CC-BF77-4A55-B9F1-680261F16FC9}"/>
                </a:ext>
              </a:extLst>
            </xdr:cNvPr>
            <xdr:cNvSpPr txBox="1"/>
          </xdr:nvSpPr>
          <xdr:spPr>
            <a:xfrm>
              <a:off x="11401421" y="232360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−𝟗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195261</xdr:colOff>
      <xdr:row>13</xdr:row>
      <xdr:rowOff>104265</xdr:rowOff>
    </xdr:from>
    <xdr:to>
      <xdr:col>12</xdr:col>
      <xdr:colOff>176216</xdr:colOff>
      <xdr:row>15</xdr:row>
      <xdr:rowOff>67116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6709381-4DA6-42F5-9228-EA8C33507667}"/>
                </a:ext>
              </a:extLst>
            </xdr:cNvPr>
            <xdr:cNvSpPr txBox="1"/>
          </xdr:nvSpPr>
          <xdr:spPr>
            <a:xfrm>
              <a:off x="7529511" y="24569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6709381-4DA6-42F5-9228-EA8C33507667}"/>
                </a:ext>
              </a:extLst>
            </xdr:cNvPr>
            <xdr:cNvSpPr txBox="1"/>
          </xdr:nvSpPr>
          <xdr:spPr>
            <a:xfrm>
              <a:off x="7529511" y="24569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623887</xdr:colOff>
      <xdr:row>11</xdr:row>
      <xdr:rowOff>56645</xdr:rowOff>
    </xdr:from>
    <xdr:to>
      <xdr:col>12</xdr:col>
      <xdr:colOff>604842</xdr:colOff>
      <xdr:row>13</xdr:row>
      <xdr:rowOff>19496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2ABB6ABB-2607-4924-B002-4BFFD22DF16B}"/>
                </a:ext>
              </a:extLst>
            </xdr:cNvPr>
            <xdr:cNvSpPr txBox="1"/>
          </xdr:nvSpPr>
          <xdr:spPr>
            <a:xfrm>
              <a:off x="7958137" y="204737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2ABB6ABB-2607-4924-B002-4BFFD22DF16B}"/>
                </a:ext>
              </a:extLst>
            </xdr:cNvPr>
            <xdr:cNvSpPr txBox="1"/>
          </xdr:nvSpPr>
          <xdr:spPr>
            <a:xfrm>
              <a:off x="7958137" y="204737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400053</xdr:colOff>
      <xdr:row>13</xdr:row>
      <xdr:rowOff>94739</xdr:rowOff>
    </xdr:from>
    <xdr:to>
      <xdr:col>15</xdr:col>
      <xdr:colOff>381008</xdr:colOff>
      <xdr:row>15</xdr:row>
      <xdr:rowOff>57590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E5C36B9-8598-4BD1-A4A5-7586E398EC06}"/>
                </a:ext>
              </a:extLst>
            </xdr:cNvPr>
            <xdr:cNvSpPr txBox="1"/>
          </xdr:nvSpPr>
          <xdr:spPr>
            <a:xfrm>
              <a:off x="9677403" y="244741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E5C36B9-8598-4BD1-A4A5-7586E398EC06}"/>
                </a:ext>
              </a:extLst>
            </xdr:cNvPr>
            <xdr:cNvSpPr txBox="1"/>
          </xdr:nvSpPr>
          <xdr:spPr>
            <a:xfrm>
              <a:off x="9677403" y="244741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366714</xdr:colOff>
      <xdr:row>6</xdr:row>
      <xdr:rowOff>147637</xdr:rowOff>
    </xdr:from>
    <xdr:to>
      <xdr:col>19</xdr:col>
      <xdr:colOff>450059</xdr:colOff>
      <xdr:row>7</xdr:row>
      <xdr:rowOff>65052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CE6AEF51-7BD8-43FC-85C4-895FD462A106}"/>
            </a:ext>
          </a:extLst>
        </xdr:cNvPr>
        <xdr:cNvSpPr/>
      </xdr:nvSpPr>
      <xdr:spPr>
        <a:xfrm>
          <a:off x="12882564" y="1233487"/>
          <a:ext cx="83345" cy="98390"/>
        </a:xfrm>
        <a:prstGeom prst="triangle">
          <a:avLst>
            <a:gd name="adj" fmla="val 100000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</xdr:colOff>
      <xdr:row>0</xdr:row>
      <xdr:rowOff>0</xdr:rowOff>
    </xdr:from>
    <xdr:to>
      <xdr:col>19</xdr:col>
      <xdr:colOff>638175</xdr:colOff>
      <xdr:row>29</xdr:row>
      <xdr:rowOff>159544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E3157-531B-4596-A32C-32C22DA31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109525</xdr:colOff>
      <xdr:row>12</xdr:row>
      <xdr:rowOff>138092</xdr:rowOff>
    </xdr:from>
    <xdr:to>
      <xdr:col>9</xdr:col>
      <xdr:colOff>474072</xdr:colOff>
      <xdr:row>14</xdr:row>
      <xdr:rowOff>140689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894E8849-1012-4334-A44B-5B0E45D22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8375" y="2309792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556991</xdr:colOff>
      <xdr:row>12</xdr:row>
      <xdr:rowOff>14041</xdr:rowOff>
    </xdr:from>
    <xdr:to>
      <xdr:col>13</xdr:col>
      <xdr:colOff>333154</xdr:colOff>
      <xdr:row>14</xdr:row>
      <xdr:rowOff>75954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91D3AF08-F57C-4277-B906-1B2ED526A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8941" y="2185741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347660</xdr:colOff>
      <xdr:row>7</xdr:row>
      <xdr:rowOff>61894</xdr:rowOff>
    </xdr:from>
    <xdr:to>
      <xdr:col>19</xdr:col>
      <xdr:colOff>76629</xdr:colOff>
      <xdr:row>9</xdr:row>
      <xdr:rowOff>76613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ED503677-6B72-4BF0-8FB1-B340D1A4C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5810" y="1328719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325369</xdr:colOff>
      <xdr:row>12</xdr:row>
      <xdr:rowOff>58652</xdr:rowOff>
    </xdr:from>
    <xdr:to>
      <xdr:col>9</xdr:col>
      <xdr:colOff>63432</xdr:colOff>
      <xdr:row>14</xdr:row>
      <xdr:rowOff>82465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ECE5C865-F443-4321-89D4-2E657D58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6519" y="2230352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344634</xdr:colOff>
      <xdr:row>11</xdr:row>
      <xdr:rowOff>163637</xdr:rowOff>
    </xdr:from>
    <xdr:to>
      <xdr:col>14</xdr:col>
      <xdr:colOff>77934</xdr:colOff>
      <xdr:row>14</xdr:row>
      <xdr:rowOff>1712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0594E071-F57A-4742-AC91-2DF24D57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4284" y="2154362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627779</xdr:colOff>
      <xdr:row>11</xdr:row>
      <xdr:rowOff>46735</xdr:rowOff>
    </xdr:from>
    <xdr:to>
      <xdr:col>11</xdr:col>
      <xdr:colOff>418229</xdr:colOff>
      <xdr:row>13</xdr:row>
      <xdr:rowOff>122935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A6C496BC-F64C-41D3-BD2D-A11B1CA20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4329" y="2037460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248264</xdr:colOff>
      <xdr:row>11</xdr:row>
      <xdr:rowOff>57731</xdr:rowOff>
    </xdr:from>
    <xdr:to>
      <xdr:col>11</xdr:col>
      <xdr:colOff>6329</xdr:colOff>
      <xdr:row>13</xdr:row>
      <xdr:rowOff>101546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BCEB6CC6-846F-4760-8B41-0F64B8267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814" y="2048456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450456</xdr:colOff>
      <xdr:row>10</xdr:row>
      <xdr:rowOff>36093</xdr:rowOff>
    </xdr:from>
    <xdr:to>
      <xdr:col>15</xdr:col>
      <xdr:colOff>265672</xdr:colOff>
      <xdr:row>12</xdr:row>
      <xdr:rowOff>137059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FF576B89-F8EB-4849-8948-D310D75D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806" y="1845843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136812</xdr:colOff>
      <xdr:row>10</xdr:row>
      <xdr:rowOff>112976</xdr:rowOff>
    </xdr:from>
    <xdr:to>
      <xdr:col>12</xdr:col>
      <xdr:colOff>584487</xdr:colOff>
      <xdr:row>13</xdr:row>
      <xdr:rowOff>17726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24939885-37C4-4B0B-951C-18B4AC53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8762" y="1922726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460412</xdr:colOff>
      <xdr:row>9</xdr:row>
      <xdr:rowOff>169859</xdr:rowOff>
    </xdr:from>
    <xdr:to>
      <xdr:col>10</xdr:col>
      <xdr:colOff>266099</xdr:colOff>
      <xdr:row>12</xdr:row>
      <xdr:rowOff>80321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086EF6F4-CBA6-48AD-BA5D-B60404D6A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262" y="1798634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445</xdr:colOff>
      <xdr:row>9</xdr:row>
      <xdr:rowOff>138518</xdr:rowOff>
    </xdr:from>
    <xdr:to>
      <xdr:col>16</xdr:col>
      <xdr:colOff>410019</xdr:colOff>
      <xdr:row>12</xdr:row>
      <xdr:rowOff>5167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615EC74F-E08C-4216-BF88-5A86CB719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3195" y="1767293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226876</xdr:colOff>
      <xdr:row>9</xdr:row>
      <xdr:rowOff>64914</xdr:rowOff>
    </xdr:from>
    <xdr:to>
      <xdr:col>16</xdr:col>
      <xdr:colOff>36377</xdr:colOff>
      <xdr:row>11</xdr:row>
      <xdr:rowOff>160165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22DC6DA2-DC66-4952-8549-B543577AC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1926" y="1693689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424727</xdr:colOff>
      <xdr:row>9</xdr:row>
      <xdr:rowOff>115138</xdr:rowOff>
    </xdr:from>
    <xdr:to>
      <xdr:col>12</xdr:col>
      <xdr:colOff>177076</xdr:colOff>
      <xdr:row>11</xdr:row>
      <xdr:rowOff>153237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01D63D8E-A734-4836-B055-3952F7E21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8977" y="1743913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66679</xdr:colOff>
      <xdr:row>7</xdr:row>
      <xdr:rowOff>71429</xdr:rowOff>
    </xdr:from>
    <xdr:to>
      <xdr:col>19</xdr:col>
      <xdr:colOff>525610</xdr:colOff>
      <xdr:row>9</xdr:row>
      <xdr:rowOff>168410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941F7C43-4D08-474C-9698-B4C2837FF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2529" y="1338254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160811</xdr:colOff>
      <xdr:row>8</xdr:row>
      <xdr:rowOff>175054</xdr:rowOff>
    </xdr:from>
    <xdr:to>
      <xdr:col>17</xdr:col>
      <xdr:colOff>604675</xdr:colOff>
      <xdr:row>11</xdr:row>
      <xdr:rowOff>75993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D63F4EB4-EEAD-4664-A51D-E1B8CCF47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1261" y="1622854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435981</xdr:colOff>
      <xdr:row>8</xdr:row>
      <xdr:rowOff>93066</xdr:rowOff>
    </xdr:from>
    <xdr:to>
      <xdr:col>17</xdr:col>
      <xdr:colOff>150232</xdr:colOff>
      <xdr:row>10</xdr:row>
      <xdr:rowOff>93067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00342173-23F5-4636-8966-9B4B438EB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731" y="1540866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106292</xdr:colOff>
      <xdr:row>8</xdr:row>
      <xdr:rowOff>139604</xdr:rowOff>
    </xdr:from>
    <xdr:to>
      <xdr:col>14</xdr:col>
      <xdr:colOff>473003</xdr:colOff>
      <xdr:row>10</xdr:row>
      <xdr:rowOff>144365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5D917FA7-41A7-412D-8275-E89F7565D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3642" y="1587404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593361</xdr:colOff>
      <xdr:row>7</xdr:row>
      <xdr:rowOff>121866</xdr:rowOff>
    </xdr:from>
    <xdr:to>
      <xdr:col>18</xdr:col>
      <xdr:colOff>302849</xdr:colOff>
      <xdr:row>9</xdr:row>
      <xdr:rowOff>117104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583ECED5-CA89-45D1-A265-DF7E8128B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3811" y="1388691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90562</xdr:colOff>
      <xdr:row>14</xdr:row>
      <xdr:rowOff>99984</xdr:rowOff>
    </xdr:from>
    <xdr:to>
      <xdr:col>9</xdr:col>
      <xdr:colOff>480907</xdr:colOff>
      <xdr:row>16</xdr:row>
      <xdr:rowOff>33308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7F88DEA-32B2-4C7E-9477-F89D05E33C57}"/>
                </a:ext>
              </a:extLst>
            </xdr:cNvPr>
            <xdr:cNvSpPr txBox="1"/>
          </xdr:nvSpPr>
          <xdr:spPr>
            <a:xfrm>
              <a:off x="6129412" y="263363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7F88DEA-32B2-4C7E-9477-F89D05E33C57}"/>
                </a:ext>
              </a:extLst>
            </xdr:cNvPr>
            <xdr:cNvSpPr txBox="1"/>
          </xdr:nvSpPr>
          <xdr:spPr>
            <a:xfrm>
              <a:off x="6129412" y="263363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−𝟖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EDB3B22-DA29-488B-84F0-DE3366344C1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EDB3B22-DA29-488B-84F0-DE3366344C1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4B80588-2681-4E4E-A406-1886C6190FB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4B80588-2681-4E4E-A406-1886C6190FB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61C6EEC-EE66-4A4D-ACC7-56EAE6E58951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61C6EEC-EE66-4A4D-ACC7-56EAE6E58951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89C502-04A8-4E03-B8E0-5E9760E37373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89C502-04A8-4E03-B8E0-5E9760E37373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F632F38-DB19-4F48-90C6-5E225FE05087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F632F38-DB19-4F48-90C6-5E225FE05087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247736</xdr:colOff>
      <xdr:row>13</xdr:row>
      <xdr:rowOff>95219</xdr:rowOff>
    </xdr:from>
    <xdr:to>
      <xdr:col>10</xdr:col>
      <xdr:colOff>638081</xdr:colOff>
      <xdr:row>15</xdr:row>
      <xdr:rowOff>28543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281B27-E392-4486-B856-C0DDFCADCDA3}"/>
                </a:ext>
              </a:extLst>
            </xdr:cNvPr>
            <xdr:cNvSpPr txBox="1"/>
          </xdr:nvSpPr>
          <xdr:spPr>
            <a:xfrm>
              <a:off x="6934286" y="244789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281B27-E392-4486-B856-C0DDFCADCDA3}"/>
                </a:ext>
              </a:extLst>
            </xdr:cNvPr>
            <xdr:cNvSpPr txBox="1"/>
          </xdr:nvSpPr>
          <xdr:spPr>
            <a:xfrm>
              <a:off x="6934286" y="244789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319181</xdr:colOff>
      <xdr:row>14</xdr:row>
      <xdr:rowOff>23792</xdr:rowOff>
    </xdr:from>
    <xdr:to>
      <xdr:col>9</xdr:col>
      <xdr:colOff>61826</xdr:colOff>
      <xdr:row>15</xdr:row>
      <xdr:rowOff>138091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24DE65C-E04C-4E2C-97DD-74EA4E81F9CF}"/>
                </a:ext>
              </a:extLst>
            </xdr:cNvPr>
            <xdr:cNvSpPr txBox="1"/>
          </xdr:nvSpPr>
          <xdr:spPr>
            <a:xfrm>
              <a:off x="5710331" y="255744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24DE65C-E04C-4E2C-97DD-74EA4E81F9CF}"/>
                </a:ext>
              </a:extLst>
            </xdr:cNvPr>
            <xdr:cNvSpPr txBox="1"/>
          </xdr:nvSpPr>
          <xdr:spPr>
            <a:xfrm>
              <a:off x="5710331" y="255744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−𝟗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266794</xdr:colOff>
      <xdr:row>11</xdr:row>
      <xdr:rowOff>138077</xdr:rowOff>
    </xdr:from>
    <xdr:to>
      <xdr:col>16</xdr:col>
      <xdr:colOff>9439</xdr:colOff>
      <xdr:row>13</xdr:row>
      <xdr:rowOff>71401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F3AB39E-BC42-45D2-A504-CC4291FFE994}"/>
                </a:ext>
              </a:extLst>
            </xdr:cNvPr>
            <xdr:cNvSpPr txBox="1"/>
          </xdr:nvSpPr>
          <xdr:spPr>
            <a:xfrm>
              <a:off x="10191844" y="212880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F3AB39E-BC42-45D2-A504-CC4291FFE994}"/>
                </a:ext>
              </a:extLst>
            </xdr:cNvPr>
            <xdr:cNvSpPr txBox="1"/>
          </xdr:nvSpPr>
          <xdr:spPr>
            <a:xfrm>
              <a:off x="10191844" y="212880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428714</xdr:colOff>
      <xdr:row>11</xdr:row>
      <xdr:rowOff>133317</xdr:rowOff>
    </xdr:from>
    <xdr:to>
      <xdr:col>12</xdr:col>
      <xdr:colOff>171359</xdr:colOff>
      <xdr:row>13</xdr:row>
      <xdr:rowOff>66641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4C1B7AE-2249-4756-B6F1-FD90B517FBEF}"/>
                </a:ext>
              </a:extLst>
            </xdr:cNvPr>
            <xdr:cNvSpPr txBox="1"/>
          </xdr:nvSpPr>
          <xdr:spPr>
            <a:xfrm>
              <a:off x="7762964" y="212404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𝟕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4C1B7AE-2249-4756-B6F1-FD90B517FBEF}"/>
                </a:ext>
              </a:extLst>
            </xdr:cNvPr>
            <xdr:cNvSpPr txBox="1"/>
          </xdr:nvSpPr>
          <xdr:spPr>
            <a:xfrm>
              <a:off x="7762964" y="212404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−𝟕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433477</xdr:colOff>
      <xdr:row>10</xdr:row>
      <xdr:rowOff>76174</xdr:rowOff>
    </xdr:from>
    <xdr:to>
      <xdr:col>17</xdr:col>
      <xdr:colOff>176122</xdr:colOff>
      <xdr:row>12</xdr:row>
      <xdr:rowOff>9498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B0538C1-2525-4643-9E05-DCC7CDF1DADB}"/>
                </a:ext>
              </a:extLst>
            </xdr:cNvPr>
            <xdr:cNvSpPr txBox="1"/>
          </xdr:nvSpPr>
          <xdr:spPr>
            <a:xfrm>
              <a:off x="11006227" y="188592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B0538C1-2525-4643-9E05-DCC7CDF1DADB}"/>
                </a:ext>
              </a:extLst>
            </xdr:cNvPr>
            <xdr:cNvSpPr txBox="1"/>
          </xdr:nvSpPr>
          <xdr:spPr>
            <a:xfrm>
              <a:off x="11006227" y="188592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−𝟑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571587</xdr:colOff>
      <xdr:row>9</xdr:row>
      <xdr:rowOff>95233</xdr:rowOff>
    </xdr:from>
    <xdr:to>
      <xdr:col>18</xdr:col>
      <xdr:colOff>314232</xdr:colOff>
      <xdr:row>11</xdr:row>
      <xdr:rowOff>28557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B4767DB-72C6-4BD1-8289-1F89373CFA86}"/>
                </a:ext>
              </a:extLst>
            </xdr:cNvPr>
            <xdr:cNvSpPr txBox="1"/>
          </xdr:nvSpPr>
          <xdr:spPr>
            <a:xfrm>
              <a:off x="11792037" y="1724008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B4767DB-72C6-4BD1-8289-1F89373CFA86}"/>
                </a:ext>
              </a:extLst>
            </xdr:cNvPr>
            <xdr:cNvSpPr txBox="1"/>
          </xdr:nvSpPr>
          <xdr:spPr>
            <a:xfrm>
              <a:off x="11792037" y="1724008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−𝟑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643030</xdr:colOff>
      <xdr:row>13</xdr:row>
      <xdr:rowOff>66651</xdr:rowOff>
    </xdr:from>
    <xdr:to>
      <xdr:col>11</xdr:col>
      <xdr:colOff>385675</xdr:colOff>
      <xdr:row>14</xdr:row>
      <xdr:rowOff>180950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D97FBB-7A09-46AD-B77B-80AFF802369A}"/>
                </a:ext>
              </a:extLst>
            </xdr:cNvPr>
            <xdr:cNvSpPr txBox="1"/>
          </xdr:nvSpPr>
          <xdr:spPr>
            <a:xfrm>
              <a:off x="7329580" y="241932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D97FBB-7A09-46AD-B77B-80AFF802369A}"/>
                </a:ext>
              </a:extLst>
            </xdr:cNvPr>
            <xdr:cNvSpPr txBox="1"/>
          </xdr:nvSpPr>
          <xdr:spPr>
            <a:xfrm>
              <a:off x="7329580" y="241932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576347</xdr:colOff>
      <xdr:row>14</xdr:row>
      <xdr:rowOff>28544</xdr:rowOff>
    </xdr:from>
    <xdr:to>
      <xdr:col>13</xdr:col>
      <xdr:colOff>318992</xdr:colOff>
      <xdr:row>15</xdr:row>
      <xdr:rowOff>142843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453044F-9324-4DE5-8B28-E295BC3C5FC3}"/>
                </a:ext>
              </a:extLst>
            </xdr:cNvPr>
            <xdr:cNvSpPr txBox="1"/>
          </xdr:nvSpPr>
          <xdr:spPr>
            <a:xfrm>
              <a:off x="8558297" y="256219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453044F-9324-4DE5-8B28-E295BC3C5FC3}"/>
                </a:ext>
              </a:extLst>
            </xdr:cNvPr>
            <xdr:cNvSpPr txBox="1"/>
          </xdr:nvSpPr>
          <xdr:spPr>
            <a:xfrm>
              <a:off x="8558297" y="256219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81056</xdr:colOff>
      <xdr:row>10</xdr:row>
      <xdr:rowOff>147611</xdr:rowOff>
    </xdr:from>
    <xdr:to>
      <xdr:col>14</xdr:col>
      <xdr:colOff>471401</xdr:colOff>
      <xdr:row>12</xdr:row>
      <xdr:rowOff>80935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90718A7-C332-4B4F-A10F-44F97971CC4E}"/>
                </a:ext>
              </a:extLst>
            </xdr:cNvPr>
            <xdr:cNvSpPr txBox="1"/>
          </xdr:nvSpPr>
          <xdr:spPr>
            <a:xfrm>
              <a:off x="9358406" y="195736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90718A7-C332-4B4F-A10F-44F97971CC4E}"/>
                </a:ext>
              </a:extLst>
            </xdr:cNvPr>
            <xdr:cNvSpPr txBox="1"/>
          </xdr:nvSpPr>
          <xdr:spPr>
            <a:xfrm>
              <a:off x="9358406" y="195736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347757</xdr:colOff>
      <xdr:row>13</xdr:row>
      <xdr:rowOff>147606</xdr:rowOff>
    </xdr:from>
    <xdr:to>
      <xdr:col>14</xdr:col>
      <xdr:colOff>90402</xdr:colOff>
      <xdr:row>15</xdr:row>
      <xdr:rowOff>80930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A000D75-86F9-4BBA-9D15-CC8EBD0FC1D6}"/>
                </a:ext>
              </a:extLst>
            </xdr:cNvPr>
            <xdr:cNvSpPr txBox="1"/>
          </xdr:nvSpPr>
          <xdr:spPr>
            <a:xfrm>
              <a:off x="8977407" y="250028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A000D75-86F9-4BBA-9D15-CC8EBD0FC1D6}"/>
                </a:ext>
              </a:extLst>
            </xdr:cNvPr>
            <xdr:cNvSpPr txBox="1"/>
          </xdr:nvSpPr>
          <xdr:spPr>
            <a:xfrm>
              <a:off x="8977407" y="250028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28668</xdr:colOff>
      <xdr:row>11</xdr:row>
      <xdr:rowOff>166657</xdr:rowOff>
    </xdr:from>
    <xdr:to>
      <xdr:col>16</xdr:col>
      <xdr:colOff>419013</xdr:colOff>
      <xdr:row>13</xdr:row>
      <xdr:rowOff>99981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ED3EFE9-F622-4D18-983D-89A0E2EBC1C9}"/>
                </a:ext>
              </a:extLst>
            </xdr:cNvPr>
            <xdr:cNvSpPr txBox="1"/>
          </xdr:nvSpPr>
          <xdr:spPr>
            <a:xfrm>
              <a:off x="10601418" y="21573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ED3EFE9-F622-4D18-983D-89A0E2EBC1C9}"/>
                </a:ext>
              </a:extLst>
            </xdr:cNvPr>
            <xdr:cNvSpPr txBox="1"/>
          </xdr:nvSpPr>
          <xdr:spPr>
            <a:xfrm>
              <a:off x="10601418" y="21573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166775</xdr:colOff>
      <xdr:row>13</xdr:row>
      <xdr:rowOff>9490</xdr:rowOff>
    </xdr:from>
    <xdr:to>
      <xdr:col>12</xdr:col>
      <xdr:colOff>557120</xdr:colOff>
      <xdr:row>14</xdr:row>
      <xdr:rowOff>123789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29D8418-E129-4E2A-A9C3-3693A46A47CF}"/>
                </a:ext>
              </a:extLst>
            </xdr:cNvPr>
            <xdr:cNvSpPr txBox="1"/>
          </xdr:nvSpPr>
          <xdr:spPr>
            <a:xfrm>
              <a:off x="8148725" y="2362165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29D8418-E129-4E2A-A9C3-3693A46A47CF}"/>
                </a:ext>
              </a:extLst>
            </xdr:cNvPr>
            <xdr:cNvSpPr txBox="1"/>
          </xdr:nvSpPr>
          <xdr:spPr>
            <a:xfrm>
              <a:off x="8148725" y="2362165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18</xdr:col>
      <xdr:colOff>338222</xdr:colOff>
      <xdr:row>9</xdr:row>
      <xdr:rowOff>85694</xdr:rowOff>
    </xdr:from>
    <xdr:to>
      <xdr:col>19</xdr:col>
      <xdr:colOff>80867</xdr:colOff>
      <xdr:row>11</xdr:row>
      <xdr:rowOff>19018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94E2746-316B-4C92-81CF-14A0EF076A03}"/>
                </a:ext>
              </a:extLst>
            </xdr:cNvPr>
            <xdr:cNvSpPr txBox="1"/>
          </xdr:nvSpPr>
          <xdr:spPr>
            <a:xfrm>
              <a:off x="12206372" y="1714469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94E2746-316B-4C92-81CF-14A0EF076A03}"/>
                </a:ext>
              </a:extLst>
            </xdr:cNvPr>
            <xdr:cNvSpPr txBox="1"/>
          </xdr:nvSpPr>
          <xdr:spPr>
            <a:xfrm>
              <a:off x="12206372" y="1714469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481103</xdr:colOff>
      <xdr:row>12</xdr:row>
      <xdr:rowOff>57123</xdr:rowOff>
    </xdr:from>
    <xdr:to>
      <xdr:col>10</xdr:col>
      <xdr:colOff>223748</xdr:colOff>
      <xdr:row>13</xdr:row>
      <xdr:rowOff>171422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E73F054-1350-4C5B-8E42-0FA8FAE5884B}"/>
                </a:ext>
              </a:extLst>
            </xdr:cNvPr>
            <xdr:cNvSpPr txBox="1"/>
          </xdr:nvSpPr>
          <xdr:spPr>
            <a:xfrm>
              <a:off x="6519953" y="2228823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E73F054-1350-4C5B-8E42-0FA8FAE5884B}"/>
                </a:ext>
              </a:extLst>
            </xdr:cNvPr>
            <xdr:cNvSpPr txBox="1"/>
          </xdr:nvSpPr>
          <xdr:spPr>
            <a:xfrm>
              <a:off x="6519953" y="2228823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−𝟗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181068</xdr:colOff>
      <xdr:row>11</xdr:row>
      <xdr:rowOff>71400</xdr:rowOff>
    </xdr:from>
    <xdr:to>
      <xdr:col>17</xdr:col>
      <xdr:colOff>571413</xdr:colOff>
      <xdr:row>13</xdr:row>
      <xdr:rowOff>4724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DCFEFEFD-3CD6-4DFF-92C5-907BA0EE042A}"/>
                </a:ext>
              </a:extLst>
            </xdr:cNvPr>
            <xdr:cNvSpPr txBox="1"/>
          </xdr:nvSpPr>
          <xdr:spPr>
            <a:xfrm>
              <a:off x="11401518" y="2062125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DCFEFEFD-3CD6-4DFF-92C5-907BA0EE042A}"/>
                </a:ext>
              </a:extLst>
            </xdr:cNvPr>
            <xdr:cNvSpPr txBox="1"/>
          </xdr:nvSpPr>
          <xdr:spPr>
            <a:xfrm>
              <a:off x="11401518" y="2062125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476340</xdr:colOff>
      <xdr:row>12</xdr:row>
      <xdr:rowOff>138082</xdr:rowOff>
    </xdr:from>
    <xdr:to>
      <xdr:col>15</xdr:col>
      <xdr:colOff>218985</xdr:colOff>
      <xdr:row>14</xdr:row>
      <xdr:rowOff>71406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AD305A7-1516-4C80-A8DD-4DEE91A35BA6}"/>
                </a:ext>
              </a:extLst>
            </xdr:cNvPr>
            <xdr:cNvSpPr txBox="1"/>
          </xdr:nvSpPr>
          <xdr:spPr>
            <a:xfrm>
              <a:off x="9753690" y="23097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AD305A7-1516-4C80-A8DD-4DEE91A35BA6}"/>
                </a:ext>
              </a:extLst>
            </xdr:cNvPr>
            <xdr:cNvSpPr txBox="1"/>
          </xdr:nvSpPr>
          <xdr:spPr>
            <a:xfrm>
              <a:off x="9753690" y="23097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95342</xdr:colOff>
      <xdr:row>9</xdr:row>
      <xdr:rowOff>147611</xdr:rowOff>
    </xdr:from>
    <xdr:to>
      <xdr:col>19</xdr:col>
      <xdr:colOff>485687</xdr:colOff>
      <xdr:row>11</xdr:row>
      <xdr:rowOff>80935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273502-C01F-48AF-9337-93E2C9988A4E}"/>
                </a:ext>
              </a:extLst>
            </xdr:cNvPr>
            <xdr:cNvSpPr txBox="1"/>
          </xdr:nvSpPr>
          <xdr:spPr>
            <a:xfrm>
              <a:off x="12611192" y="177638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273502-C01F-48AF-9337-93E2C9988A4E}"/>
                </a:ext>
              </a:extLst>
            </xdr:cNvPr>
            <xdr:cNvSpPr txBox="1"/>
          </xdr:nvSpPr>
          <xdr:spPr>
            <a:xfrm>
              <a:off x="12611192" y="177638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+𝟑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649216</xdr:colOff>
      <xdr:row>1</xdr:row>
      <xdr:rowOff>8874</xdr:rowOff>
    </xdr:from>
    <xdr:to>
      <xdr:col>13</xdr:col>
      <xdr:colOff>571501</xdr:colOff>
      <xdr:row>31</xdr:row>
      <xdr:rowOff>4330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293DF-2636-4A9E-916B-AE9A32C1E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60613</xdr:colOff>
      <xdr:row>31</xdr:row>
      <xdr:rowOff>112568</xdr:rowOff>
    </xdr:from>
    <xdr:to>
      <xdr:col>3</xdr:col>
      <xdr:colOff>606135</xdr:colOff>
      <xdr:row>43</xdr:row>
      <xdr:rowOff>155863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1938970-101F-4BA5-8353-CD365DEC63FF}"/>
            </a:ext>
          </a:extLst>
        </xdr:cNvPr>
        <xdr:cNvSpPr/>
      </xdr:nvSpPr>
      <xdr:spPr>
        <a:xfrm>
          <a:off x="60613" y="5749636"/>
          <a:ext cx="2970067" cy="2225386"/>
        </a:xfrm>
        <a:prstGeom prst="rect">
          <a:avLst/>
        </a:prstGeom>
        <a:solidFill>
          <a:srgbClr val="FFCCC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62346</xdr:colOff>
      <xdr:row>31</xdr:row>
      <xdr:rowOff>109971</xdr:rowOff>
    </xdr:from>
    <xdr:to>
      <xdr:col>8</xdr:col>
      <xdr:colOff>458931</xdr:colOff>
      <xdr:row>43</xdr:row>
      <xdr:rowOff>151533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ABE64EC-3E63-43FF-B7AC-C967723D2D79}"/>
            </a:ext>
          </a:extLst>
        </xdr:cNvPr>
        <xdr:cNvSpPr/>
      </xdr:nvSpPr>
      <xdr:spPr>
        <a:xfrm>
          <a:off x="3136323" y="5747039"/>
          <a:ext cx="2994313" cy="2223653"/>
        </a:xfrm>
        <a:prstGeom prst="rect">
          <a:avLst/>
        </a:prstGeom>
        <a:solidFill>
          <a:schemeClr val="accent4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535132</xdr:colOff>
      <xdr:row>32</xdr:row>
      <xdr:rowOff>34637</xdr:rowOff>
    </xdr:from>
    <xdr:to>
      <xdr:col>18</xdr:col>
      <xdr:colOff>268433</xdr:colOff>
      <xdr:row>44</xdr:row>
      <xdr:rowOff>77932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300D6DA-14F3-4368-9BCD-1E3D362F1E5D}"/>
            </a:ext>
          </a:extLst>
        </xdr:cNvPr>
        <xdr:cNvSpPr/>
      </xdr:nvSpPr>
      <xdr:spPr>
        <a:xfrm>
          <a:off x="9453996" y="5853546"/>
          <a:ext cx="2980460" cy="2225386"/>
        </a:xfrm>
        <a:prstGeom prst="rect">
          <a:avLst/>
        </a:prstGeom>
        <a:solidFill>
          <a:schemeClr val="accent6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649430</xdr:colOff>
      <xdr:row>5</xdr:row>
      <xdr:rowOff>8655</xdr:rowOff>
    </xdr:from>
    <xdr:to>
      <xdr:col>9</xdr:col>
      <xdr:colOff>580161</xdr:colOff>
      <xdr:row>7</xdr:row>
      <xdr:rowOff>86592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63A7BB6-8396-4AF9-8C60-3A01B2AC23A7}"/>
            </a:ext>
          </a:extLst>
        </xdr:cNvPr>
        <xdr:cNvSpPr/>
      </xdr:nvSpPr>
      <xdr:spPr>
        <a:xfrm>
          <a:off x="5671703" y="917860"/>
          <a:ext cx="1229594" cy="441618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es-MX" sz="9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↑ Mejor desempeño en goles en contra</a:t>
          </a:r>
          <a:endParaRPr lang="es-MX" sz="90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4</xdr:col>
      <xdr:colOff>53686</xdr:colOff>
      <xdr:row>16</xdr:row>
      <xdr:rowOff>121224</xdr:rowOff>
    </xdr:from>
    <xdr:to>
      <xdr:col>5</xdr:col>
      <xdr:colOff>623455</xdr:colOff>
      <xdr:row>19</xdr:row>
      <xdr:rowOff>30297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B4E935C-D0B5-438C-890D-DF2D6A6F6E45}"/>
            </a:ext>
          </a:extLst>
        </xdr:cNvPr>
        <xdr:cNvSpPr/>
      </xdr:nvSpPr>
      <xdr:spPr>
        <a:xfrm>
          <a:off x="3127663" y="3030679"/>
          <a:ext cx="1219201" cy="454595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s-MX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← Peor desempeño en goles a favor</a:t>
          </a:r>
          <a:endParaRPr lang="es-MX" sz="900">
            <a:solidFill>
              <a:srgbClr val="FF0000"/>
            </a:solidFill>
            <a:effectLst/>
          </a:endParaRPr>
        </a:p>
      </xdr:txBody>
    </xdr:sp>
    <xdr:clientData/>
  </xdr:twoCellAnchor>
  <xdr:twoCellAnchor editAs="oneCell">
    <xdr:from>
      <xdr:col>5</xdr:col>
      <xdr:colOff>125560</xdr:colOff>
      <xdr:row>14</xdr:row>
      <xdr:rowOff>69273</xdr:rowOff>
    </xdr:from>
    <xdr:to>
      <xdr:col>5</xdr:col>
      <xdr:colOff>510890</xdr:colOff>
      <xdr:row>16</xdr:row>
      <xdr:rowOff>90921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81817029-7636-40CE-AA97-84C3001D2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969" y="2615046"/>
          <a:ext cx="385330" cy="3853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454604</xdr:colOff>
      <xdr:row>13</xdr:row>
      <xdr:rowOff>82261</xdr:rowOff>
    </xdr:from>
    <xdr:to>
      <xdr:col>9</xdr:col>
      <xdr:colOff>129889</xdr:colOff>
      <xdr:row>15</xdr:row>
      <xdr:rowOff>43295</xdr:rowOff>
    </xdr:to>
    <xdr:pic>
      <xdr:nvPicPr>
        <xdr:cNvPr id="16" name="Picture 15" descr="Logo&#10;&#10;Description automatically generated">
          <a:extLst>
            <a:ext uri="{FF2B5EF4-FFF2-40B4-BE49-F238E27FC236}">
              <a16:creationId xmlns:a16="http://schemas.microsoft.com/office/drawing/2014/main" id="{00334030-00DE-45D0-95B8-CFD1A159E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309" y="2446193"/>
          <a:ext cx="324716" cy="3247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536863</xdr:colOff>
      <xdr:row>13</xdr:row>
      <xdr:rowOff>151534</xdr:rowOff>
    </xdr:from>
    <xdr:to>
      <xdr:col>8</xdr:col>
      <xdr:colOff>216477</xdr:colOff>
      <xdr:row>15</xdr:row>
      <xdr:rowOff>116898</xdr:rowOff>
    </xdr:to>
    <xdr:pic>
      <xdr:nvPicPr>
        <xdr:cNvPr id="17" name="Picture 16" descr="Icon&#10;&#10;Description automatically generated">
          <a:extLst>
            <a:ext uri="{FF2B5EF4-FFF2-40B4-BE49-F238E27FC236}">
              <a16:creationId xmlns:a16="http://schemas.microsoft.com/office/drawing/2014/main" id="{6DEE8C80-CB1D-45E9-8440-5B0D9DD9B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9136" y="2515466"/>
          <a:ext cx="329046" cy="32904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532532</xdr:colOff>
      <xdr:row>13</xdr:row>
      <xdr:rowOff>173182</xdr:rowOff>
    </xdr:from>
    <xdr:to>
      <xdr:col>7</xdr:col>
      <xdr:colOff>212145</xdr:colOff>
      <xdr:row>15</xdr:row>
      <xdr:rowOff>138545</xdr:rowOff>
    </xdr:to>
    <xdr:pic>
      <xdr:nvPicPr>
        <xdr:cNvPr id="18" name="Picture 17" descr="Logo&#10;&#10;Description automatically generated">
          <a:extLst>
            <a:ext uri="{FF2B5EF4-FFF2-40B4-BE49-F238E27FC236}">
              <a16:creationId xmlns:a16="http://schemas.microsoft.com/office/drawing/2014/main" id="{C813BA07-CD6A-4318-8F0D-B96750ACB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3" y="2537114"/>
          <a:ext cx="329045" cy="3290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355022</xdr:colOff>
      <xdr:row>8</xdr:row>
      <xdr:rowOff>77932</xdr:rowOff>
    </xdr:from>
    <xdr:to>
      <xdr:col>7</xdr:col>
      <xdr:colOff>69271</xdr:colOff>
      <xdr:row>10</xdr:row>
      <xdr:rowOff>77931</xdr:rowOff>
    </xdr:to>
    <xdr:pic>
      <xdr:nvPicPr>
        <xdr:cNvPr id="19" name="Picture 18" descr="A picture containing text, clipart&#10;&#10;Description automatically generated">
          <a:extLst>
            <a:ext uri="{FF2B5EF4-FFF2-40B4-BE49-F238E27FC236}">
              <a16:creationId xmlns:a16="http://schemas.microsoft.com/office/drawing/2014/main" id="{20209262-935D-4683-A9D4-772F6D662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7863" y="1532659"/>
          <a:ext cx="363681" cy="3636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346364</xdr:colOff>
      <xdr:row>10</xdr:row>
      <xdr:rowOff>82263</xdr:rowOff>
    </xdr:from>
    <xdr:to>
      <xdr:col>7</xdr:col>
      <xdr:colOff>95250</xdr:colOff>
      <xdr:row>12</xdr:row>
      <xdr:rowOff>116899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3CA616C5-1E9A-453F-B7BC-ED9EBE5EA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9205" y="1900672"/>
          <a:ext cx="398318" cy="39831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320387</xdr:colOff>
      <xdr:row>6</xdr:row>
      <xdr:rowOff>95249</xdr:rowOff>
    </xdr:from>
    <xdr:to>
      <xdr:col>7</xdr:col>
      <xdr:colOff>21649</xdr:colOff>
      <xdr:row>8</xdr:row>
      <xdr:rowOff>82261</xdr:rowOff>
    </xdr:to>
    <xdr:pic>
      <xdr:nvPicPr>
        <xdr:cNvPr id="21" name="Picture 20" descr="Logo, company name&#10;&#10;Description automatically generated">
          <a:extLst>
            <a:ext uri="{FF2B5EF4-FFF2-40B4-BE49-F238E27FC236}">
              <a16:creationId xmlns:a16="http://schemas.microsoft.com/office/drawing/2014/main" id="{65F41C5C-AFF8-4832-B7AA-ECD3FC36A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228" y="1186294"/>
          <a:ext cx="350694" cy="3506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350693</xdr:colOff>
      <xdr:row>10</xdr:row>
      <xdr:rowOff>38966</xdr:rowOff>
    </xdr:from>
    <xdr:to>
      <xdr:col>10</xdr:col>
      <xdr:colOff>70138</xdr:colOff>
      <xdr:row>12</xdr:row>
      <xdr:rowOff>44161</xdr:rowOff>
    </xdr:to>
    <xdr:pic>
      <xdr:nvPicPr>
        <xdr:cNvPr id="22" name="Picture 21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D6012D68-303F-45B8-B4AE-311490EE2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1829" y="1857375"/>
          <a:ext cx="368877" cy="3688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51955</xdr:colOff>
      <xdr:row>7</xdr:row>
      <xdr:rowOff>82262</xdr:rowOff>
    </xdr:from>
    <xdr:to>
      <xdr:col>6</xdr:col>
      <xdr:colOff>416502</xdr:colOff>
      <xdr:row>9</xdr:row>
      <xdr:rowOff>83127</xdr:rowOff>
    </xdr:to>
    <xdr:pic>
      <xdr:nvPicPr>
        <xdr:cNvPr id="23" name="Picture 22" descr="Logo&#10;&#10;Description automatically generated">
          <a:extLst>
            <a:ext uri="{FF2B5EF4-FFF2-40B4-BE49-F238E27FC236}">
              <a16:creationId xmlns:a16="http://schemas.microsoft.com/office/drawing/2014/main" id="{5B7A90C1-AE93-4A1B-B85C-4EB1314DB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4796" y="1355148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471921</xdr:colOff>
      <xdr:row>5</xdr:row>
      <xdr:rowOff>151536</xdr:rowOff>
    </xdr:from>
    <xdr:to>
      <xdr:col>5</xdr:col>
      <xdr:colOff>234659</xdr:colOff>
      <xdr:row>8</xdr:row>
      <xdr:rowOff>18184</xdr:rowOff>
    </xdr:to>
    <xdr:pic>
      <xdr:nvPicPr>
        <xdr:cNvPr id="24" name="Picture 23" descr="A picture containing text, clipart&#10;&#10;Description automatically generated">
          <a:extLst>
            <a:ext uri="{FF2B5EF4-FFF2-40B4-BE49-F238E27FC236}">
              <a16:creationId xmlns:a16="http://schemas.microsoft.com/office/drawing/2014/main" id="{61B6D9EC-2709-46CD-90CF-0144AF1C9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5898" y="1060741"/>
          <a:ext cx="412170" cy="412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199159</xdr:colOff>
      <xdr:row>16</xdr:row>
      <xdr:rowOff>17318</xdr:rowOff>
    </xdr:from>
    <xdr:to>
      <xdr:col>8</xdr:col>
      <xdr:colOff>602672</xdr:colOff>
      <xdr:row>18</xdr:row>
      <xdr:rowOff>57150</xdr:rowOff>
    </xdr:to>
    <xdr:pic>
      <xdr:nvPicPr>
        <xdr:cNvPr id="25" name="Picture 24" descr="Logo&#10;&#10;Description automatically generated">
          <a:extLst>
            <a:ext uri="{FF2B5EF4-FFF2-40B4-BE49-F238E27FC236}">
              <a16:creationId xmlns:a16="http://schemas.microsoft.com/office/drawing/2014/main" id="{1D9BA562-4393-4F1B-8CD7-98079C47E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0864" y="2926773"/>
          <a:ext cx="403513" cy="403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173182</xdr:colOff>
      <xdr:row>16</xdr:row>
      <xdr:rowOff>0</xdr:rowOff>
    </xdr:from>
    <xdr:to>
      <xdr:col>6</xdr:col>
      <xdr:colOff>594014</xdr:colOff>
      <xdr:row>18</xdr:row>
      <xdr:rowOff>57151</xdr:rowOff>
    </xdr:to>
    <xdr:pic>
      <xdr:nvPicPr>
        <xdr:cNvPr id="26" name="Picture 25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88F93D67-1018-41E4-B22E-0C8D0B37D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023" y="2909455"/>
          <a:ext cx="420832" cy="4208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25977</xdr:colOff>
      <xdr:row>15</xdr:row>
      <xdr:rowOff>60613</xdr:rowOff>
    </xdr:from>
    <xdr:to>
      <xdr:col>7</xdr:col>
      <xdr:colOff>372341</xdr:colOff>
      <xdr:row>17</xdr:row>
      <xdr:rowOff>43296</xdr:rowOff>
    </xdr:to>
    <xdr:pic>
      <xdr:nvPicPr>
        <xdr:cNvPr id="27" name="Picture 26" descr="Logo&#10;&#10;Description automatically generated with medium confidence">
          <a:extLst>
            <a:ext uri="{FF2B5EF4-FFF2-40B4-BE49-F238E27FC236}">
              <a16:creationId xmlns:a16="http://schemas.microsoft.com/office/drawing/2014/main" id="{38B32C95-D3DB-4BF3-8F28-BACC32A72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788227"/>
          <a:ext cx="346364" cy="3463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424295</xdr:colOff>
      <xdr:row>20</xdr:row>
      <xdr:rowOff>77931</xdr:rowOff>
    </xdr:from>
    <xdr:to>
      <xdr:col>7</xdr:col>
      <xdr:colOff>233794</xdr:colOff>
      <xdr:row>22</xdr:row>
      <xdr:rowOff>173180</xdr:rowOff>
    </xdr:to>
    <xdr:pic>
      <xdr:nvPicPr>
        <xdr:cNvPr id="28" name="Picture 27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CCEC8D3A-4BEA-4FC4-AD1D-4EDC6AA9A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7136" y="3714749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151536</xdr:colOff>
      <xdr:row>9</xdr:row>
      <xdr:rowOff>69274</xdr:rowOff>
    </xdr:from>
    <xdr:to>
      <xdr:col>5</xdr:col>
      <xdr:colOff>454603</xdr:colOff>
      <xdr:row>11</xdr:row>
      <xdr:rowOff>8659</xdr:rowOff>
    </xdr:to>
    <xdr:pic>
      <xdr:nvPicPr>
        <xdr:cNvPr id="30" name="Picture 29" descr="A picture containing text&#10;&#10;Description automatically generated">
          <a:extLst>
            <a:ext uri="{FF2B5EF4-FFF2-40B4-BE49-F238E27FC236}">
              <a16:creationId xmlns:a16="http://schemas.microsoft.com/office/drawing/2014/main" id="{ADCC984C-34D8-45DA-BA70-AB6B84EDA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4945" y="1705842"/>
          <a:ext cx="303067" cy="30306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587085</xdr:colOff>
      <xdr:row>31</xdr:row>
      <xdr:rowOff>123825</xdr:rowOff>
    </xdr:from>
    <xdr:to>
      <xdr:col>13</xdr:col>
      <xdr:colOff>316055</xdr:colOff>
      <xdr:row>43</xdr:row>
      <xdr:rowOff>165387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8F5DE00-074E-4275-B477-A2E542345292}"/>
            </a:ext>
          </a:extLst>
        </xdr:cNvPr>
        <xdr:cNvSpPr/>
      </xdr:nvSpPr>
      <xdr:spPr>
        <a:xfrm>
          <a:off x="6258790" y="5760893"/>
          <a:ext cx="2976129" cy="2223653"/>
        </a:xfrm>
        <a:prstGeom prst="rect">
          <a:avLst/>
        </a:prstGeom>
        <a:solidFill>
          <a:schemeClr val="accent1">
            <a:lumMod val="20000"/>
            <a:lumOff val="8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160194</xdr:colOff>
      <xdr:row>18</xdr:row>
      <xdr:rowOff>116901</xdr:rowOff>
    </xdr:from>
    <xdr:to>
      <xdr:col>6</xdr:col>
      <xdr:colOff>532534</xdr:colOff>
      <xdr:row>20</xdr:row>
      <xdr:rowOff>125559</xdr:rowOff>
    </xdr:to>
    <xdr:pic>
      <xdr:nvPicPr>
        <xdr:cNvPr id="31" name="Picture 30" descr="Logo, company name&#10;&#10;Description automatically generated">
          <a:extLst>
            <a:ext uri="{FF2B5EF4-FFF2-40B4-BE49-F238E27FC236}">
              <a16:creationId xmlns:a16="http://schemas.microsoft.com/office/drawing/2014/main" id="{03884A1C-1D3B-4597-AAB0-9D39BAA59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035" y="3390037"/>
          <a:ext cx="372340" cy="3723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108238</xdr:colOff>
      <xdr:row>15</xdr:row>
      <xdr:rowOff>86590</xdr:rowOff>
    </xdr:from>
    <xdr:to>
      <xdr:col>9</xdr:col>
      <xdr:colOff>523875</xdr:colOff>
      <xdr:row>17</xdr:row>
      <xdr:rowOff>138546</xdr:rowOff>
    </xdr:to>
    <xdr:pic>
      <xdr:nvPicPr>
        <xdr:cNvPr id="32" name="Picture 31" descr="A picture containing text&#10;&#10;Description automatically generated">
          <a:extLst>
            <a:ext uri="{FF2B5EF4-FFF2-40B4-BE49-F238E27FC236}">
              <a16:creationId xmlns:a16="http://schemas.microsoft.com/office/drawing/2014/main" id="{78A58B6E-2152-4F20-B333-9AF5E0302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4" y="2814204"/>
          <a:ext cx="415637" cy="4156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86590</xdr:colOff>
      <xdr:row>11</xdr:row>
      <xdr:rowOff>51954</xdr:rowOff>
    </xdr:from>
    <xdr:to>
      <xdr:col>8</xdr:col>
      <xdr:colOff>493567</xdr:colOff>
      <xdr:row>13</xdr:row>
      <xdr:rowOff>95249</xdr:rowOff>
    </xdr:to>
    <xdr:pic>
      <xdr:nvPicPr>
        <xdr:cNvPr id="33" name="Picture 32" descr="A picture containing logo&#10;&#10;Description automatically generated">
          <a:extLst>
            <a:ext uri="{FF2B5EF4-FFF2-40B4-BE49-F238E27FC236}">
              <a16:creationId xmlns:a16="http://schemas.microsoft.com/office/drawing/2014/main" id="{4B24F210-1EB2-42EF-A717-3CDD2F49A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8295" y="2052204"/>
          <a:ext cx="406977" cy="40697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11</xdr:col>
      <xdr:colOff>532536</xdr:colOff>
      <xdr:row>16</xdr:row>
      <xdr:rowOff>99583</xdr:rowOff>
    </xdr:from>
    <xdr:to>
      <xdr:col>13</xdr:col>
      <xdr:colOff>506558</xdr:colOff>
      <xdr:row>19</xdr:row>
      <xdr:rowOff>30311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A7A7D32-51DE-4CB1-B3B7-006E2C8B42B7}"/>
            </a:ext>
          </a:extLst>
        </xdr:cNvPr>
        <xdr:cNvSpPr/>
      </xdr:nvSpPr>
      <xdr:spPr>
        <a:xfrm>
          <a:off x="8152536" y="3009038"/>
          <a:ext cx="1272886" cy="476250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s-MX" sz="9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→ Mejor dsesempeño</a:t>
          </a:r>
          <a:r>
            <a:rPr lang="es-MX" sz="9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en </a:t>
          </a:r>
          <a:r>
            <a:rPr lang="es-MX" sz="9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goles a favor </a:t>
          </a:r>
          <a:endParaRPr lang="es-MX" sz="100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8</xdr:col>
      <xdr:colOff>26845</xdr:colOff>
      <xdr:row>28</xdr:row>
      <xdr:rowOff>51955</xdr:rowOff>
    </xdr:from>
    <xdr:to>
      <xdr:col>9</xdr:col>
      <xdr:colOff>558515</xdr:colOff>
      <xdr:row>30</xdr:row>
      <xdr:rowOff>134208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2003CD3-F1DE-4EDA-A738-819813274AF8}"/>
            </a:ext>
          </a:extLst>
        </xdr:cNvPr>
        <xdr:cNvSpPr/>
      </xdr:nvSpPr>
      <xdr:spPr>
        <a:xfrm>
          <a:off x="5698550" y="5143500"/>
          <a:ext cx="1181101" cy="445935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eaLnBrk="1" fontAlgn="auto" latinLnBrk="0" hangingPunct="1"/>
          <a:r>
            <a:rPr lang="es-MX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↓ Peor desempeño</a:t>
          </a:r>
          <a:r>
            <a:rPr lang="es-MX" sz="9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en goles en contra</a:t>
          </a:r>
          <a:endParaRPr lang="es-MX" sz="90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4946C-24D0-4430-A98D-44D49462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352422</xdr:colOff>
      <xdr:row>9</xdr:row>
      <xdr:rowOff>133369</xdr:rowOff>
    </xdr:from>
    <xdr:to>
      <xdr:col>15</xdr:col>
      <xdr:colOff>69269</xdr:colOff>
      <xdr:row>11</xdr:row>
      <xdr:rowOff>135966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BA9FBF9F-4D03-4A85-B912-36ECBDE4D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2" y="1762144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142653</xdr:colOff>
      <xdr:row>9</xdr:row>
      <xdr:rowOff>166486</xdr:rowOff>
    </xdr:from>
    <xdr:to>
      <xdr:col>15</xdr:col>
      <xdr:colOff>566516</xdr:colOff>
      <xdr:row>12</xdr:row>
      <xdr:rowOff>47424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FD69D626-0053-4C3A-AD40-91C87152A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703" y="1795261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447671</xdr:colOff>
      <xdr:row>12</xdr:row>
      <xdr:rowOff>119080</xdr:rowOff>
    </xdr:from>
    <xdr:to>
      <xdr:col>17</xdr:col>
      <xdr:colOff>176640</xdr:colOff>
      <xdr:row>14</xdr:row>
      <xdr:rowOff>133799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ED213931-7902-4826-BA42-FD4ED9FD8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1" y="2290780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130107</xdr:colOff>
      <xdr:row>8</xdr:row>
      <xdr:rowOff>120596</xdr:rowOff>
    </xdr:from>
    <xdr:to>
      <xdr:col>10</xdr:col>
      <xdr:colOff>515870</xdr:colOff>
      <xdr:row>10</xdr:row>
      <xdr:rowOff>144409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C602363F-1F3D-4E28-BD9F-B1CC93866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6657" y="1568396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254145</xdr:colOff>
      <xdr:row>10</xdr:row>
      <xdr:rowOff>101760</xdr:rowOff>
    </xdr:from>
    <xdr:to>
      <xdr:col>17</xdr:col>
      <xdr:colOff>635145</xdr:colOff>
      <xdr:row>12</xdr:row>
      <xdr:rowOff>120810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047D9866-691F-4F8B-9CBA-AEE2FF6D4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4595" y="1911510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613492</xdr:colOff>
      <xdr:row>10</xdr:row>
      <xdr:rowOff>70583</xdr:rowOff>
    </xdr:from>
    <xdr:to>
      <xdr:col>16</xdr:col>
      <xdr:colOff>403942</xdr:colOff>
      <xdr:row>12</xdr:row>
      <xdr:rowOff>146783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B9D6959F-D200-48D6-A514-077526E0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542" y="1880333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591161</xdr:colOff>
      <xdr:row>9</xdr:row>
      <xdr:rowOff>24434</xdr:rowOff>
    </xdr:from>
    <xdr:to>
      <xdr:col>11</xdr:col>
      <xdr:colOff>349226</xdr:colOff>
      <xdr:row>11</xdr:row>
      <xdr:rowOff>68249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59AE5728-FE2E-4311-BD74-1B7A9EFFA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711" y="1653209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540939</xdr:colOff>
      <xdr:row>6</xdr:row>
      <xdr:rowOff>2795</xdr:rowOff>
    </xdr:from>
    <xdr:to>
      <xdr:col>6</xdr:col>
      <xdr:colOff>356155</xdr:colOff>
      <xdr:row>8</xdr:row>
      <xdr:rowOff>103761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8B775D41-D3DB-4065-9743-935C6E69F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8989" y="1088645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8225</xdr:colOff>
      <xdr:row>7</xdr:row>
      <xdr:rowOff>89199</xdr:rowOff>
    </xdr:from>
    <xdr:to>
      <xdr:col>8</xdr:col>
      <xdr:colOff>455900</xdr:colOff>
      <xdr:row>9</xdr:row>
      <xdr:rowOff>174924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13F17F9D-3328-4D6B-B7F1-1F84FABC9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9375" y="1356024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212756</xdr:colOff>
      <xdr:row>10</xdr:row>
      <xdr:rowOff>50836</xdr:rowOff>
    </xdr:from>
    <xdr:to>
      <xdr:col>13</xdr:col>
      <xdr:colOff>18443</xdr:colOff>
      <xdr:row>12</xdr:row>
      <xdr:rowOff>142273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0FEBDF3C-EDC8-4D38-B864-1793250E8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4706" y="1860586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343352</xdr:colOff>
      <xdr:row>7</xdr:row>
      <xdr:rowOff>157603</xdr:rowOff>
    </xdr:from>
    <xdr:to>
      <xdr:col>7</xdr:col>
      <xdr:colOff>105226</xdr:colOff>
      <xdr:row>10</xdr:row>
      <xdr:rowOff>24252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C7EC57DD-7254-4461-9843-8E8BA3C0D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9102" y="1424428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445951</xdr:colOff>
      <xdr:row>8</xdr:row>
      <xdr:rowOff>179255</xdr:rowOff>
    </xdr:from>
    <xdr:to>
      <xdr:col>9</xdr:col>
      <xdr:colOff>255452</xdr:colOff>
      <xdr:row>11</xdr:row>
      <xdr:rowOff>93531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4DC88EAB-D59E-4002-8DD8-0CEAD6496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7101" y="1627055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300907</xdr:colOff>
      <xdr:row>9</xdr:row>
      <xdr:rowOff>110412</xdr:rowOff>
    </xdr:from>
    <xdr:to>
      <xdr:col>10</xdr:col>
      <xdr:colOff>53256</xdr:colOff>
      <xdr:row>11</xdr:row>
      <xdr:rowOff>148511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0BD76931-5681-42CD-AA1C-18B9A93C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757" y="1739187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395289</xdr:colOff>
      <xdr:row>10</xdr:row>
      <xdr:rowOff>76212</xdr:rowOff>
    </xdr:from>
    <xdr:to>
      <xdr:col>12</xdr:col>
      <xdr:colOff>206520</xdr:colOff>
      <xdr:row>12</xdr:row>
      <xdr:rowOff>173193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87363E04-E155-4217-A7EA-D56D87055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9539" y="1885962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22697</xdr:colOff>
      <xdr:row>10</xdr:row>
      <xdr:rowOff>156049</xdr:rowOff>
    </xdr:from>
    <xdr:to>
      <xdr:col>13</xdr:col>
      <xdr:colOff>466561</xdr:colOff>
      <xdr:row>13</xdr:row>
      <xdr:rowOff>56988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CB68FF7E-72EB-4E45-BF22-B4FB7735E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2347" y="1965799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197857</xdr:colOff>
      <xdr:row>9</xdr:row>
      <xdr:rowOff>102621</xdr:rowOff>
    </xdr:from>
    <xdr:to>
      <xdr:col>7</xdr:col>
      <xdr:colOff>559808</xdr:colOff>
      <xdr:row>11</xdr:row>
      <xdr:rowOff>102622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5061ADA1-2742-460E-B6EE-38F0E9AD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1307" y="1731396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534919</xdr:colOff>
      <xdr:row>11</xdr:row>
      <xdr:rowOff>134872</xdr:rowOff>
    </xdr:from>
    <xdr:to>
      <xdr:col>14</xdr:col>
      <xdr:colOff>253930</xdr:colOff>
      <xdr:row>13</xdr:row>
      <xdr:rowOff>139633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0F0B4CA1-41E9-4363-9BFE-4C209A685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4569" y="2125597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102824</xdr:colOff>
      <xdr:row>12</xdr:row>
      <xdr:rowOff>150463</xdr:rowOff>
    </xdr:from>
    <xdr:to>
      <xdr:col>18</xdr:col>
      <xdr:colOff>460012</xdr:colOff>
      <xdr:row>14</xdr:row>
      <xdr:rowOff>145701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1AB8A252-11F6-4FD1-8199-000E7258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0974" y="2322163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214304</xdr:colOff>
      <xdr:row>11</xdr:row>
      <xdr:rowOff>95261</xdr:rowOff>
    </xdr:from>
    <xdr:to>
      <xdr:col>15</xdr:col>
      <xdr:colOff>195259</xdr:colOff>
      <xdr:row>13</xdr:row>
      <xdr:rowOff>28585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BE04733-B4EB-4078-9B3B-7724FD0CB65C}"/>
                </a:ext>
              </a:extLst>
            </xdr:cNvPr>
            <xdr:cNvSpPr txBox="1"/>
          </xdr:nvSpPr>
          <xdr:spPr>
            <a:xfrm>
              <a:off x="9491654" y="208598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BE04733-B4EB-4078-9B3B-7724FD0CB65C}"/>
                </a:ext>
              </a:extLst>
            </xdr:cNvPr>
            <xdr:cNvSpPr txBox="1"/>
          </xdr:nvSpPr>
          <xdr:spPr>
            <a:xfrm>
              <a:off x="9491654" y="208598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55BB822-D41D-4581-BA8E-5387611F8B5D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55BB822-D41D-4581-BA8E-5387611F8B5D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B209CD3-1F4E-4C17-977F-0380E65A5AFB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B209CD3-1F4E-4C17-977F-0380E65A5AFB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23CAC24-5FE0-403A-9324-05F1626346F5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23CAC24-5FE0-403A-9324-05F1626346F5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011DEBF-7276-45EF-8294-84B28493ADD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011DEBF-7276-45EF-8294-84B28493ADD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F56F2B4-225D-4DD0-8C2F-F2FDFF8B4A0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F56F2B4-225D-4DD0-8C2F-F2FDFF8B4A0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471478</xdr:colOff>
      <xdr:row>11</xdr:row>
      <xdr:rowOff>61922</xdr:rowOff>
    </xdr:from>
    <xdr:to>
      <xdr:col>11</xdr:col>
      <xdr:colOff>452433</xdr:colOff>
      <xdr:row>12</xdr:row>
      <xdr:rowOff>176221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514886A-D48F-4999-9A4C-66A78C19BA90}"/>
                </a:ext>
              </a:extLst>
            </xdr:cNvPr>
            <xdr:cNvSpPr txBox="1"/>
          </xdr:nvSpPr>
          <xdr:spPr>
            <a:xfrm>
              <a:off x="7158028" y="205264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514886A-D48F-4999-9A4C-66A78C19BA90}"/>
                </a:ext>
              </a:extLst>
            </xdr:cNvPr>
            <xdr:cNvSpPr txBox="1"/>
          </xdr:nvSpPr>
          <xdr:spPr>
            <a:xfrm>
              <a:off x="7158028" y="205264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+𝟏𝟏%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4764</xdr:colOff>
      <xdr:row>10</xdr:row>
      <xdr:rowOff>128599</xdr:rowOff>
    </xdr:from>
    <xdr:to>
      <xdr:col>10</xdr:col>
      <xdr:colOff>633419</xdr:colOff>
      <xdr:row>12</xdr:row>
      <xdr:rowOff>61923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07F5DE8-DB56-4562-97D0-2E2B58D8E04E}"/>
                </a:ext>
              </a:extLst>
            </xdr:cNvPr>
            <xdr:cNvSpPr txBox="1"/>
          </xdr:nvSpPr>
          <xdr:spPr>
            <a:xfrm>
              <a:off x="6691314" y="1938349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𝟏𝟑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07F5DE8-DB56-4562-97D0-2E2B58D8E04E}"/>
                </a:ext>
              </a:extLst>
            </xdr:cNvPr>
            <xdr:cNvSpPr txBox="1"/>
          </xdr:nvSpPr>
          <xdr:spPr>
            <a:xfrm>
              <a:off x="6691314" y="1938349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+𝟏𝟑%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366714</xdr:colOff>
      <xdr:row>11</xdr:row>
      <xdr:rowOff>71443</xdr:rowOff>
    </xdr:from>
    <xdr:to>
      <xdr:col>9</xdr:col>
      <xdr:colOff>347669</xdr:colOff>
      <xdr:row>13</xdr:row>
      <xdr:rowOff>4767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A4F8E38-D07E-4A67-92C3-F640DB7280BC}"/>
                </a:ext>
              </a:extLst>
            </xdr:cNvPr>
            <xdr:cNvSpPr txBox="1"/>
          </xdr:nvSpPr>
          <xdr:spPr>
            <a:xfrm>
              <a:off x="5757864" y="2062168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𝟐𝟏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A4F8E38-D07E-4A67-92C3-F640DB7280BC}"/>
                </a:ext>
              </a:extLst>
            </xdr:cNvPr>
            <xdr:cNvSpPr txBox="1"/>
          </xdr:nvSpPr>
          <xdr:spPr>
            <a:xfrm>
              <a:off x="5757864" y="2062168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+𝟐𝟏%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185739</xdr:colOff>
      <xdr:row>11</xdr:row>
      <xdr:rowOff>128591</xdr:rowOff>
    </xdr:from>
    <xdr:to>
      <xdr:col>10</xdr:col>
      <xdr:colOff>166694</xdr:colOff>
      <xdr:row>13</xdr:row>
      <xdr:rowOff>61915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538EAAD-91BC-4B4C-ADF4-8FB3D5D6026D}"/>
                </a:ext>
              </a:extLst>
            </xdr:cNvPr>
            <xdr:cNvSpPr txBox="1"/>
          </xdr:nvSpPr>
          <xdr:spPr>
            <a:xfrm>
              <a:off x="6224589" y="211931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𝟏𝟗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538EAAD-91BC-4B4C-ADF4-8FB3D5D6026D}"/>
                </a:ext>
              </a:extLst>
            </xdr:cNvPr>
            <xdr:cNvSpPr txBox="1"/>
          </xdr:nvSpPr>
          <xdr:spPr>
            <a:xfrm>
              <a:off x="6224589" y="211931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+𝟏𝟗%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76198</xdr:colOff>
      <xdr:row>11</xdr:row>
      <xdr:rowOff>85729</xdr:rowOff>
    </xdr:from>
    <xdr:to>
      <xdr:col>8</xdr:col>
      <xdr:colOff>57153</xdr:colOff>
      <xdr:row>13</xdr:row>
      <xdr:rowOff>19053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857214-6AA3-4DD4-9FD0-830FF61F8EA2}"/>
                </a:ext>
              </a:extLst>
            </xdr:cNvPr>
            <xdr:cNvSpPr txBox="1"/>
          </xdr:nvSpPr>
          <xdr:spPr>
            <a:xfrm>
              <a:off x="4819648" y="20764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857214-6AA3-4DD4-9FD0-830FF61F8EA2}"/>
                </a:ext>
              </a:extLst>
            </xdr:cNvPr>
            <xdr:cNvSpPr txBox="1"/>
          </xdr:nvSpPr>
          <xdr:spPr>
            <a:xfrm>
              <a:off x="4819648" y="20764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+𝟐𝟔%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609595</xdr:colOff>
      <xdr:row>14</xdr:row>
      <xdr:rowOff>123830</xdr:rowOff>
    </xdr:from>
    <xdr:to>
      <xdr:col>18</xdr:col>
      <xdr:colOff>590550</xdr:colOff>
      <xdr:row>16</xdr:row>
      <xdr:rowOff>57154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7B14159-6AC3-4CA5-95EA-1BD71D85C5BE}"/>
                </a:ext>
              </a:extLst>
            </xdr:cNvPr>
            <xdr:cNvSpPr txBox="1"/>
          </xdr:nvSpPr>
          <xdr:spPr>
            <a:xfrm>
              <a:off x="11830045" y="265748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7B14159-6AC3-4CA5-95EA-1BD71D85C5BE}"/>
                </a:ext>
              </a:extLst>
            </xdr:cNvPr>
            <xdr:cNvSpPr txBox="1"/>
          </xdr:nvSpPr>
          <xdr:spPr>
            <a:xfrm>
              <a:off x="11830045" y="265748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−𝟐𝟒%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509588</xdr:colOff>
      <xdr:row>12</xdr:row>
      <xdr:rowOff>142887</xdr:rowOff>
    </xdr:from>
    <xdr:to>
      <xdr:col>16</xdr:col>
      <xdr:colOff>490543</xdr:colOff>
      <xdr:row>14</xdr:row>
      <xdr:rowOff>76211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1DD9E3D2-94B4-410D-89C6-A1D103A18493}"/>
                </a:ext>
              </a:extLst>
            </xdr:cNvPr>
            <xdr:cNvSpPr txBox="1"/>
          </xdr:nvSpPr>
          <xdr:spPr>
            <a:xfrm>
              <a:off x="10434638" y="231458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1DD9E3D2-94B4-410D-89C6-A1D103A18493}"/>
                </a:ext>
              </a:extLst>
            </xdr:cNvPr>
            <xdr:cNvSpPr txBox="1"/>
          </xdr:nvSpPr>
          <xdr:spPr>
            <a:xfrm>
              <a:off x="10434638" y="231458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−𝟕%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42854</xdr:colOff>
      <xdr:row>12</xdr:row>
      <xdr:rowOff>33352</xdr:rowOff>
    </xdr:from>
    <xdr:to>
      <xdr:col>16</xdr:col>
      <xdr:colOff>23809</xdr:colOff>
      <xdr:row>13</xdr:row>
      <xdr:rowOff>147651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ADDC449-E796-4FFE-A9E6-9605E23840BA}"/>
                </a:ext>
              </a:extLst>
            </xdr:cNvPr>
            <xdr:cNvSpPr txBox="1"/>
          </xdr:nvSpPr>
          <xdr:spPr>
            <a:xfrm>
              <a:off x="9967904" y="220505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ADDC449-E796-4FFE-A9E6-9605E23840BA}"/>
                </a:ext>
              </a:extLst>
            </xdr:cNvPr>
            <xdr:cNvSpPr txBox="1"/>
          </xdr:nvSpPr>
          <xdr:spPr>
            <a:xfrm>
              <a:off x="9967904" y="220505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390528</xdr:colOff>
      <xdr:row>13</xdr:row>
      <xdr:rowOff>142879</xdr:rowOff>
    </xdr:from>
    <xdr:to>
      <xdr:col>14</xdr:col>
      <xdr:colOff>371483</xdr:colOff>
      <xdr:row>15</xdr:row>
      <xdr:rowOff>76203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D189D1-0B4E-4412-A0C7-076ED63E1DBE}"/>
                </a:ext>
              </a:extLst>
            </xdr:cNvPr>
            <xdr:cNvSpPr txBox="1"/>
          </xdr:nvSpPr>
          <xdr:spPr>
            <a:xfrm>
              <a:off x="9020178" y="24955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D189D1-0B4E-4412-A0C7-076ED63E1DBE}"/>
                </a:ext>
              </a:extLst>
            </xdr:cNvPr>
            <xdr:cNvSpPr txBox="1"/>
          </xdr:nvSpPr>
          <xdr:spPr>
            <a:xfrm>
              <a:off x="9020178" y="24955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+𝟕%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138113</xdr:colOff>
      <xdr:row>12</xdr:row>
      <xdr:rowOff>119066</xdr:rowOff>
    </xdr:from>
    <xdr:to>
      <xdr:col>18</xdr:col>
      <xdr:colOff>119068</xdr:colOff>
      <xdr:row>14</xdr:row>
      <xdr:rowOff>52390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F4ED9CBE-610C-488A-95B3-86D63ECAB33E}"/>
                </a:ext>
              </a:extLst>
            </xdr:cNvPr>
            <xdr:cNvSpPr txBox="1"/>
          </xdr:nvSpPr>
          <xdr:spPr>
            <a:xfrm>
              <a:off x="11358563" y="229076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𝟏𝟖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F4ED9CBE-610C-488A-95B3-86D63ECAB33E}"/>
                </a:ext>
              </a:extLst>
            </xdr:cNvPr>
            <xdr:cNvSpPr txBox="1"/>
          </xdr:nvSpPr>
          <xdr:spPr>
            <a:xfrm>
              <a:off x="11358563" y="229076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−𝟏𝟖%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252420</xdr:colOff>
      <xdr:row>10</xdr:row>
      <xdr:rowOff>4767</xdr:rowOff>
    </xdr:from>
    <xdr:to>
      <xdr:col>7</xdr:col>
      <xdr:colOff>233375</xdr:colOff>
      <xdr:row>11</xdr:row>
      <xdr:rowOff>119066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F770E60A-413A-4603-855D-8FBF234C5076}"/>
                </a:ext>
              </a:extLst>
            </xdr:cNvPr>
            <xdr:cNvSpPr txBox="1"/>
          </xdr:nvSpPr>
          <xdr:spPr>
            <a:xfrm>
              <a:off x="4348170" y="181451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𝟑𝟑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F770E60A-413A-4603-855D-8FBF234C5076}"/>
                </a:ext>
              </a:extLst>
            </xdr:cNvPr>
            <xdr:cNvSpPr txBox="1"/>
          </xdr:nvSpPr>
          <xdr:spPr>
            <a:xfrm>
              <a:off x="4348170" y="181451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+𝟑𝟑%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566733</xdr:colOff>
      <xdr:row>9</xdr:row>
      <xdr:rowOff>166688</xdr:rowOff>
    </xdr:from>
    <xdr:to>
      <xdr:col>8</xdr:col>
      <xdr:colOff>547688</xdr:colOff>
      <xdr:row>11</xdr:row>
      <xdr:rowOff>100012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4924E47-2CFA-4141-9DC9-8964883C1559}"/>
                </a:ext>
              </a:extLst>
            </xdr:cNvPr>
            <xdr:cNvSpPr txBox="1"/>
          </xdr:nvSpPr>
          <xdr:spPr>
            <a:xfrm>
              <a:off x="5310183" y="1795463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𝟐𝟓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4924E47-2CFA-4141-9DC9-8964883C1559}"/>
                </a:ext>
              </a:extLst>
            </xdr:cNvPr>
            <xdr:cNvSpPr txBox="1"/>
          </xdr:nvSpPr>
          <xdr:spPr>
            <a:xfrm>
              <a:off x="5310183" y="1795463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+𝟐𝟓%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319078</xdr:colOff>
      <xdr:row>14</xdr:row>
      <xdr:rowOff>142880</xdr:rowOff>
    </xdr:from>
    <xdr:to>
      <xdr:col>17</xdr:col>
      <xdr:colOff>300033</xdr:colOff>
      <xdr:row>16</xdr:row>
      <xdr:rowOff>76204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4981E68F-C4ED-41C8-8E0E-AB893EC5A118}"/>
                </a:ext>
              </a:extLst>
            </xdr:cNvPr>
            <xdr:cNvSpPr txBox="1"/>
          </xdr:nvSpPr>
          <xdr:spPr>
            <a:xfrm>
              <a:off x="10891828" y="267653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𝟗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4981E68F-C4ED-41C8-8E0E-AB893EC5A118}"/>
                </a:ext>
              </a:extLst>
            </xdr:cNvPr>
            <xdr:cNvSpPr txBox="1"/>
          </xdr:nvSpPr>
          <xdr:spPr>
            <a:xfrm>
              <a:off x="10891828" y="267653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−𝟗%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114292</xdr:colOff>
      <xdr:row>12</xdr:row>
      <xdr:rowOff>119075</xdr:rowOff>
    </xdr:from>
    <xdr:to>
      <xdr:col>13</xdr:col>
      <xdr:colOff>95247</xdr:colOff>
      <xdr:row>14</xdr:row>
      <xdr:rowOff>52399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83CFA21-2A14-4024-B289-F5007011ACCD}"/>
                </a:ext>
              </a:extLst>
            </xdr:cNvPr>
            <xdr:cNvSpPr txBox="1"/>
          </xdr:nvSpPr>
          <xdr:spPr>
            <a:xfrm>
              <a:off x="8096242" y="2290775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83CFA21-2A14-4024-B289-F5007011ACCD}"/>
                </a:ext>
              </a:extLst>
            </xdr:cNvPr>
            <xdr:cNvSpPr txBox="1"/>
          </xdr:nvSpPr>
          <xdr:spPr>
            <a:xfrm>
              <a:off x="8096242" y="2290775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571499</xdr:colOff>
      <xdr:row>13</xdr:row>
      <xdr:rowOff>52395</xdr:rowOff>
    </xdr:from>
    <xdr:to>
      <xdr:col>13</xdr:col>
      <xdr:colOff>552454</xdr:colOff>
      <xdr:row>14</xdr:row>
      <xdr:rowOff>166694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76D1607-F27C-47A9-9553-071B26F0F459}"/>
                </a:ext>
              </a:extLst>
            </xdr:cNvPr>
            <xdr:cNvSpPr txBox="1"/>
          </xdr:nvSpPr>
          <xdr:spPr>
            <a:xfrm>
              <a:off x="8553449" y="240507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76D1607-F27C-47A9-9553-071B26F0F459}"/>
                </a:ext>
              </a:extLst>
            </xdr:cNvPr>
            <xdr:cNvSpPr txBox="1"/>
          </xdr:nvSpPr>
          <xdr:spPr>
            <a:xfrm>
              <a:off x="8553449" y="240507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447668</xdr:colOff>
      <xdr:row>8</xdr:row>
      <xdr:rowOff>104784</xdr:rowOff>
    </xdr:from>
    <xdr:to>
      <xdr:col>6</xdr:col>
      <xdr:colOff>428623</xdr:colOff>
      <xdr:row>10</xdr:row>
      <xdr:rowOff>38108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57C224A-02E5-4626-AD8E-AB592BAC3126}"/>
                </a:ext>
              </a:extLst>
            </xdr:cNvPr>
            <xdr:cNvSpPr txBox="1"/>
          </xdr:nvSpPr>
          <xdr:spPr>
            <a:xfrm>
              <a:off x="3895718" y="155258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𝟑𝟑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57C224A-02E5-4626-AD8E-AB592BAC3126}"/>
                </a:ext>
              </a:extLst>
            </xdr:cNvPr>
            <xdr:cNvSpPr txBox="1"/>
          </xdr:nvSpPr>
          <xdr:spPr>
            <a:xfrm>
              <a:off x="3895718" y="155258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+𝟑𝟑%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304797</xdr:colOff>
      <xdr:row>12</xdr:row>
      <xdr:rowOff>180972</xdr:rowOff>
    </xdr:from>
    <xdr:to>
      <xdr:col>12</xdr:col>
      <xdr:colOff>285752</xdr:colOff>
      <xdr:row>14</xdr:row>
      <xdr:rowOff>114296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2E1377D-B036-481D-A043-91656C80ABE8}"/>
                </a:ext>
              </a:extLst>
            </xdr:cNvPr>
            <xdr:cNvSpPr txBox="1"/>
          </xdr:nvSpPr>
          <xdr:spPr>
            <a:xfrm>
              <a:off x="7639047" y="235267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𝟏𝟎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2E1377D-B036-481D-A043-91656C80ABE8}"/>
                </a:ext>
              </a:extLst>
            </xdr:cNvPr>
            <xdr:cNvSpPr txBox="1"/>
          </xdr:nvSpPr>
          <xdr:spPr>
            <a:xfrm>
              <a:off x="7639047" y="235267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+𝟏𝟎%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BA3A5-01A9-4252-A982-7CDFE49D1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140395</xdr:colOff>
      <xdr:row>11</xdr:row>
      <xdr:rowOff>68977</xdr:rowOff>
    </xdr:from>
    <xdr:to>
      <xdr:col>18</xdr:col>
      <xdr:colOff>471801</xdr:colOff>
      <xdr:row>13</xdr:row>
      <xdr:rowOff>38433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B2E5CD5E-3224-4816-8F29-E4723FC18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8545" y="2231152"/>
          <a:ext cx="331406" cy="3314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390517</xdr:colOff>
      <xdr:row>10</xdr:row>
      <xdr:rowOff>4780</xdr:rowOff>
    </xdr:from>
    <xdr:to>
      <xdr:col>14</xdr:col>
      <xdr:colOff>128147</xdr:colOff>
      <xdr:row>12</xdr:row>
      <xdr:rowOff>28160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B8E7D1D7-0F11-460F-AE3F-99915A54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67" y="1985980"/>
          <a:ext cx="385330" cy="3853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219069</xdr:colOff>
      <xdr:row>7</xdr:row>
      <xdr:rowOff>38117</xdr:rowOff>
    </xdr:from>
    <xdr:to>
      <xdr:col>12</xdr:col>
      <xdr:colOff>595738</xdr:colOff>
      <xdr:row>9</xdr:row>
      <xdr:rowOff>52836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41EC3F4A-B4EC-4290-9529-83AC53C36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19" y="1476392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576268</xdr:colOff>
      <xdr:row>11</xdr:row>
      <xdr:rowOff>22</xdr:rowOff>
    </xdr:from>
    <xdr:to>
      <xdr:col>17</xdr:col>
      <xdr:colOff>279262</xdr:colOff>
      <xdr:row>12</xdr:row>
      <xdr:rowOff>169741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8071C487-5659-4324-A154-9402D214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9018" y="2162197"/>
          <a:ext cx="350694" cy="3506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187195</xdr:colOff>
      <xdr:row>10</xdr:row>
      <xdr:rowOff>25289</xdr:rowOff>
    </xdr:from>
    <xdr:to>
      <xdr:col>14</xdr:col>
      <xdr:colOff>502071</xdr:colOff>
      <xdr:row>11</xdr:row>
      <xdr:rowOff>159190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DE8AEAF5-F840-4258-B25C-0659BDB52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4545" y="2006489"/>
          <a:ext cx="314876" cy="3148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599128</xdr:colOff>
      <xdr:row>9</xdr:row>
      <xdr:rowOff>170518</xdr:rowOff>
    </xdr:from>
    <xdr:to>
      <xdr:col>15</xdr:col>
      <xdr:colOff>313535</xdr:colOff>
      <xdr:row>11</xdr:row>
      <xdr:rowOff>170675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2FD8986B-A070-430B-9BC6-8B860524E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478" y="1970743"/>
          <a:ext cx="362107" cy="3621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23820</xdr:colOff>
      <xdr:row>9</xdr:row>
      <xdr:rowOff>57164</xdr:rowOff>
    </xdr:from>
    <xdr:to>
      <xdr:col>11</xdr:col>
      <xdr:colOff>392697</xdr:colOff>
      <xdr:row>11</xdr:row>
      <xdr:rowOff>64091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C4D30162-9F9A-4B51-816F-92B98FF46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8070" y="1857389"/>
          <a:ext cx="368877" cy="3688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61919</xdr:colOff>
      <xdr:row>7</xdr:row>
      <xdr:rowOff>104801</xdr:rowOff>
    </xdr:from>
    <xdr:to>
      <xdr:col>7</xdr:col>
      <xdr:colOff>482752</xdr:colOff>
      <xdr:row>9</xdr:row>
      <xdr:rowOff>163684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23DAA97B-3251-4B26-9243-09E9BF50A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5369" y="1543076"/>
          <a:ext cx="420833" cy="4208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523879</xdr:colOff>
      <xdr:row>7</xdr:row>
      <xdr:rowOff>142884</xdr:rowOff>
    </xdr:from>
    <xdr:to>
      <xdr:col>8</xdr:col>
      <xdr:colOff>283156</xdr:colOff>
      <xdr:row>10</xdr:row>
      <xdr:rowOff>6936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71739020-BBF0-4E18-A277-3EDE80430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9" y="1581159"/>
          <a:ext cx="406977" cy="4069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323855</xdr:colOff>
      <xdr:row>9</xdr:row>
      <xdr:rowOff>100017</xdr:rowOff>
    </xdr:from>
    <xdr:to>
      <xdr:col>18</xdr:col>
      <xdr:colOff>88325</xdr:colOff>
      <xdr:row>11</xdr:row>
      <xdr:rowOff>150237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B46D951C-21AD-4703-B4CE-2992417B8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5" y="1900242"/>
          <a:ext cx="412170" cy="412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136008</xdr:colOff>
      <xdr:row>9</xdr:row>
      <xdr:rowOff>97892</xdr:rowOff>
    </xdr:from>
    <xdr:to>
      <xdr:col>16</xdr:col>
      <xdr:colOff>474499</xdr:colOff>
      <xdr:row>11</xdr:row>
      <xdr:rowOff>74433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00E92BE2-71A3-462B-B6D8-EB6AD0437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8758" y="1898117"/>
          <a:ext cx="338491" cy="3384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228446</xdr:colOff>
      <xdr:row>7</xdr:row>
      <xdr:rowOff>114151</xdr:rowOff>
    </xdr:from>
    <xdr:to>
      <xdr:col>10</xdr:col>
      <xdr:colOff>606298</xdr:colOff>
      <xdr:row>9</xdr:row>
      <xdr:rowOff>130053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F49C9839-4CB4-45B2-93C9-3BC750BB6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996" y="1552426"/>
          <a:ext cx="377852" cy="3778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361953</xdr:colOff>
      <xdr:row>9</xdr:row>
      <xdr:rowOff>23824</xdr:rowOff>
    </xdr:from>
    <xdr:to>
      <xdr:col>16</xdr:col>
      <xdr:colOff>77934</xdr:colOff>
      <xdr:row>11</xdr:row>
      <xdr:rowOff>25555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CF55F9E4-E792-4AB3-9A40-B97478054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3" y="1824049"/>
          <a:ext cx="363681" cy="3636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30385</xdr:colOff>
      <xdr:row>7</xdr:row>
      <xdr:rowOff>6583</xdr:rowOff>
    </xdr:from>
    <xdr:to>
      <xdr:col>9</xdr:col>
      <xdr:colOff>447595</xdr:colOff>
      <xdr:row>9</xdr:row>
      <xdr:rowOff>61843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1FA257DF-301A-46D5-9E58-16D1A7E4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235" y="1444858"/>
          <a:ext cx="417210" cy="4172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623897</xdr:colOff>
      <xdr:row>8</xdr:row>
      <xdr:rowOff>19064</xdr:rowOff>
    </xdr:from>
    <xdr:to>
      <xdr:col>13</xdr:col>
      <xdr:colOff>379710</xdr:colOff>
      <xdr:row>10</xdr:row>
      <xdr:rowOff>60627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D0A62F03-9B9D-4478-B676-CB7E12DE2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5847" y="1638314"/>
          <a:ext cx="403513" cy="403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442912</xdr:colOff>
      <xdr:row>7</xdr:row>
      <xdr:rowOff>138124</xdr:rowOff>
    </xdr:from>
    <xdr:to>
      <xdr:col>12</xdr:col>
      <xdr:colOff>124258</xdr:colOff>
      <xdr:row>9</xdr:row>
      <xdr:rowOff>105220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690D6630-E1F9-45BD-A6BB-286D1039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7162" y="1576399"/>
          <a:ext cx="329046" cy="32904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308706</xdr:colOff>
      <xdr:row>6</xdr:row>
      <xdr:rowOff>103912</xdr:rowOff>
    </xdr:from>
    <xdr:to>
      <xdr:col>8</xdr:col>
      <xdr:colOff>642080</xdr:colOff>
      <xdr:row>8</xdr:row>
      <xdr:rowOff>75336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CEA2587C-82D1-4B46-8BFB-553DFC704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856" y="1361212"/>
          <a:ext cx="333374" cy="3333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500060</xdr:colOff>
      <xdr:row>6</xdr:row>
      <xdr:rowOff>128599</xdr:rowOff>
    </xdr:from>
    <xdr:to>
      <xdr:col>10</xdr:col>
      <xdr:colOff>177076</xdr:colOff>
      <xdr:row>8</xdr:row>
      <xdr:rowOff>91365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585CEFB9-3701-4EB7-902D-F04DA3C73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0" y="1385899"/>
          <a:ext cx="324716" cy="32471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14282</xdr:colOff>
      <xdr:row>13</xdr:row>
      <xdr:rowOff>14299</xdr:rowOff>
    </xdr:from>
    <xdr:to>
      <xdr:col>18</xdr:col>
      <xdr:colOff>585787</xdr:colOff>
      <xdr:row>14</xdr:row>
      <xdr:rowOff>128598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66E663F-B4C6-43DE-AB93-708818E7BFC5}"/>
                </a:ext>
              </a:extLst>
            </xdr:cNvPr>
            <xdr:cNvSpPr txBox="1"/>
          </xdr:nvSpPr>
          <xdr:spPr>
            <a:xfrm>
              <a:off x="11882432" y="253842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𝟏𝟗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66E663F-B4C6-43DE-AB93-708818E7BFC5}"/>
                </a:ext>
              </a:extLst>
            </xdr:cNvPr>
            <xdr:cNvSpPr txBox="1"/>
          </xdr:nvSpPr>
          <xdr:spPr>
            <a:xfrm>
              <a:off x="11882432" y="253842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−𝟏𝟗%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8532CD2-3867-4B92-8283-229E69BDDB48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8532CD2-3867-4B92-8283-229E69BDDB48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61C7F8C-7C57-4F37-88CC-950B0DFC04F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61C7F8C-7C57-4F37-88CC-950B0DFC04F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7F1D028-CE28-4772-AFA8-16E5BBB7800C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7F1D028-CE28-4772-AFA8-16E5BBB7800C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E57333C-C1C3-434C-BDA5-BF6F6FD1638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E57333C-C1C3-434C-BDA5-BF6F6FD1638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A530A47-7983-4B93-B793-55D6A86319E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A530A47-7983-4B93-B793-55D6A86319E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561968</xdr:colOff>
      <xdr:row>11</xdr:row>
      <xdr:rowOff>76208</xdr:rowOff>
    </xdr:from>
    <xdr:to>
      <xdr:col>11</xdr:col>
      <xdr:colOff>485773</xdr:colOff>
      <xdr:row>13</xdr:row>
      <xdr:rowOff>9532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E9837EB-C6B5-4522-A5EA-1ACBB916CACC}"/>
                </a:ext>
              </a:extLst>
            </xdr:cNvPr>
            <xdr:cNvSpPr txBox="1"/>
          </xdr:nvSpPr>
          <xdr:spPr>
            <a:xfrm>
              <a:off x="7248518" y="223838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E9837EB-C6B5-4522-A5EA-1ACBB916CACC}"/>
                </a:ext>
              </a:extLst>
            </xdr:cNvPr>
            <xdr:cNvSpPr txBox="1"/>
          </xdr:nvSpPr>
          <xdr:spPr>
            <a:xfrm>
              <a:off x="7248518" y="223838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+𝟏𝟏%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461966</xdr:colOff>
      <xdr:row>12</xdr:row>
      <xdr:rowOff>171466</xdr:rowOff>
    </xdr:from>
    <xdr:to>
      <xdr:col>17</xdr:col>
      <xdr:colOff>385771</xdr:colOff>
      <xdr:row>14</xdr:row>
      <xdr:rowOff>104790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317856D-DC9D-4DDD-99CA-F1D722D51372}"/>
                </a:ext>
              </a:extLst>
            </xdr:cNvPr>
            <xdr:cNvSpPr txBox="1"/>
          </xdr:nvSpPr>
          <xdr:spPr>
            <a:xfrm>
              <a:off x="11034716" y="2514616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317856D-DC9D-4DDD-99CA-F1D722D51372}"/>
                </a:ext>
              </a:extLst>
            </xdr:cNvPr>
            <xdr:cNvSpPr txBox="1"/>
          </xdr:nvSpPr>
          <xdr:spPr>
            <a:xfrm>
              <a:off x="11034716" y="2514616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164087</xdr:colOff>
      <xdr:row>9</xdr:row>
      <xdr:rowOff>147640</xdr:rowOff>
    </xdr:from>
    <xdr:to>
      <xdr:col>11</xdr:col>
      <xdr:colOff>35937</xdr:colOff>
      <xdr:row>11</xdr:row>
      <xdr:rowOff>80964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E93A63A-2793-448C-86A4-09CDE3A6F231}"/>
                </a:ext>
              </a:extLst>
            </xdr:cNvPr>
            <xdr:cNvSpPr txBox="1"/>
          </xdr:nvSpPr>
          <xdr:spPr>
            <a:xfrm>
              <a:off x="6850637" y="194786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𝟏𝟓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E93A63A-2793-448C-86A4-09CDE3A6F231}"/>
                </a:ext>
              </a:extLst>
            </xdr:cNvPr>
            <xdr:cNvSpPr txBox="1"/>
          </xdr:nvSpPr>
          <xdr:spPr>
            <a:xfrm>
              <a:off x="6850637" y="194786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+𝟏𝟓%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257176</xdr:colOff>
      <xdr:row>11</xdr:row>
      <xdr:rowOff>23819</xdr:rowOff>
    </xdr:from>
    <xdr:to>
      <xdr:col>16</xdr:col>
      <xdr:colOff>180981</xdr:colOff>
      <xdr:row>12</xdr:row>
      <xdr:rowOff>138118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87DBBCA-0FA4-4AA6-AC12-83416986F634}"/>
                </a:ext>
              </a:extLst>
            </xdr:cNvPr>
            <xdr:cNvSpPr txBox="1"/>
          </xdr:nvSpPr>
          <xdr:spPr>
            <a:xfrm>
              <a:off x="10182226" y="218599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87DBBCA-0FA4-4AA6-AC12-83416986F634}"/>
                </a:ext>
              </a:extLst>
            </xdr:cNvPr>
            <xdr:cNvSpPr txBox="1"/>
          </xdr:nvSpPr>
          <xdr:spPr>
            <a:xfrm>
              <a:off x="10182226" y="218599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333376</xdr:colOff>
      <xdr:row>9</xdr:row>
      <xdr:rowOff>104780</xdr:rowOff>
    </xdr:from>
    <xdr:to>
      <xdr:col>12</xdr:col>
      <xdr:colOff>257181</xdr:colOff>
      <xdr:row>11</xdr:row>
      <xdr:rowOff>38104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1B1A899-4ADC-42D2-BE1D-E5EEECADF8B0}"/>
                </a:ext>
              </a:extLst>
            </xdr:cNvPr>
            <xdr:cNvSpPr txBox="1"/>
          </xdr:nvSpPr>
          <xdr:spPr>
            <a:xfrm>
              <a:off x="7667626" y="19050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1B1A899-4ADC-42D2-BE1D-E5EEECADF8B0}"/>
                </a:ext>
              </a:extLst>
            </xdr:cNvPr>
            <xdr:cNvSpPr txBox="1"/>
          </xdr:nvSpPr>
          <xdr:spPr>
            <a:xfrm>
              <a:off x="7667626" y="19050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+𝟏𝟏%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371470</xdr:colOff>
      <xdr:row>8</xdr:row>
      <xdr:rowOff>85730</xdr:rowOff>
    </xdr:from>
    <xdr:to>
      <xdr:col>10</xdr:col>
      <xdr:colOff>295275</xdr:colOff>
      <xdr:row>10</xdr:row>
      <xdr:rowOff>19054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309A8D3E-9C14-4EE1-8CFD-04D39D132F24}"/>
                </a:ext>
              </a:extLst>
            </xdr:cNvPr>
            <xdr:cNvSpPr txBox="1"/>
          </xdr:nvSpPr>
          <xdr:spPr>
            <a:xfrm>
              <a:off x="6410320" y="1704980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𝟏𝟔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309A8D3E-9C14-4EE1-8CFD-04D39D132F24}"/>
                </a:ext>
              </a:extLst>
            </xdr:cNvPr>
            <xdr:cNvSpPr txBox="1"/>
          </xdr:nvSpPr>
          <xdr:spPr>
            <a:xfrm>
              <a:off x="6410320" y="1704980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+𝟏𝟔%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511754</xdr:colOff>
      <xdr:row>12</xdr:row>
      <xdr:rowOff>23825</xdr:rowOff>
    </xdr:from>
    <xdr:to>
      <xdr:col>15</xdr:col>
      <xdr:colOff>383604</xdr:colOff>
      <xdr:row>13</xdr:row>
      <xdr:rowOff>138124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D50F865-B423-4898-8BE2-37FB95B4C50B}"/>
                </a:ext>
              </a:extLst>
            </xdr:cNvPr>
            <xdr:cNvSpPr txBox="1"/>
          </xdr:nvSpPr>
          <xdr:spPr>
            <a:xfrm>
              <a:off x="9789104" y="236697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D50F865-B423-4898-8BE2-37FB95B4C50B}"/>
                </a:ext>
              </a:extLst>
            </xdr:cNvPr>
            <xdr:cNvSpPr txBox="1"/>
          </xdr:nvSpPr>
          <xdr:spPr>
            <a:xfrm>
              <a:off x="9789104" y="236697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+𝟓%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300027</xdr:colOff>
      <xdr:row>12</xdr:row>
      <xdr:rowOff>33355</xdr:rowOff>
    </xdr:from>
    <xdr:to>
      <xdr:col>14</xdr:col>
      <xdr:colOff>223832</xdr:colOff>
      <xdr:row>13</xdr:row>
      <xdr:rowOff>147654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30150E0-1EF5-4959-8AB7-B9CECD636F13}"/>
                </a:ext>
              </a:extLst>
            </xdr:cNvPr>
            <xdr:cNvSpPr txBox="1"/>
          </xdr:nvSpPr>
          <xdr:spPr>
            <a:xfrm>
              <a:off x="8929677" y="23765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30150E0-1EF5-4959-8AB7-B9CECD636F13}"/>
                </a:ext>
              </a:extLst>
            </xdr:cNvPr>
            <xdr:cNvSpPr txBox="1"/>
          </xdr:nvSpPr>
          <xdr:spPr>
            <a:xfrm>
              <a:off x="8929677" y="23765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176222</xdr:colOff>
      <xdr:row>8</xdr:row>
      <xdr:rowOff>95251</xdr:rowOff>
    </xdr:from>
    <xdr:to>
      <xdr:col>9</xdr:col>
      <xdr:colOff>100027</xdr:colOff>
      <xdr:row>10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46F1BA0-E85A-464D-B406-5A674B35D1FB}"/>
                </a:ext>
              </a:extLst>
            </xdr:cNvPr>
            <xdr:cNvSpPr txBox="1"/>
          </xdr:nvSpPr>
          <xdr:spPr>
            <a:xfrm>
              <a:off x="5567372" y="1714501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46F1BA0-E85A-464D-B406-5A674B35D1FB}"/>
                </a:ext>
              </a:extLst>
            </xdr:cNvPr>
            <xdr:cNvSpPr txBox="1"/>
          </xdr:nvSpPr>
          <xdr:spPr>
            <a:xfrm>
              <a:off x="5567372" y="1714501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92653</xdr:colOff>
      <xdr:row>12</xdr:row>
      <xdr:rowOff>9533</xdr:rowOff>
    </xdr:from>
    <xdr:to>
      <xdr:col>14</xdr:col>
      <xdr:colOff>612203</xdr:colOff>
      <xdr:row>13</xdr:row>
      <xdr:rowOff>123832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8D25D52-C57A-4E72-A1A7-D98F1A51F138}"/>
                </a:ext>
              </a:extLst>
            </xdr:cNvPr>
            <xdr:cNvSpPr txBox="1"/>
          </xdr:nvSpPr>
          <xdr:spPr>
            <a:xfrm>
              <a:off x="9370003" y="2352683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8D25D52-C57A-4E72-A1A7-D98F1A51F138}"/>
                </a:ext>
              </a:extLst>
            </xdr:cNvPr>
            <xdr:cNvSpPr txBox="1"/>
          </xdr:nvSpPr>
          <xdr:spPr>
            <a:xfrm>
              <a:off x="9370003" y="2352683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+𝟕%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38109</xdr:colOff>
      <xdr:row>11</xdr:row>
      <xdr:rowOff>90489</xdr:rowOff>
    </xdr:from>
    <xdr:to>
      <xdr:col>16</xdr:col>
      <xdr:colOff>609614</xdr:colOff>
      <xdr:row>13</xdr:row>
      <xdr:rowOff>23813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DBF73947-23AC-406B-9951-8F30D2EC17C2}"/>
                </a:ext>
              </a:extLst>
            </xdr:cNvPr>
            <xdr:cNvSpPr txBox="1"/>
          </xdr:nvSpPr>
          <xdr:spPr>
            <a:xfrm>
              <a:off x="10610859" y="225266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𝟐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DBF73947-23AC-406B-9951-8F30D2EC17C2}"/>
                </a:ext>
              </a:extLst>
            </xdr:cNvPr>
            <xdr:cNvSpPr txBox="1"/>
          </xdr:nvSpPr>
          <xdr:spPr>
            <a:xfrm>
              <a:off x="10610859" y="225266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+𝟐%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442913</xdr:colOff>
      <xdr:row>10</xdr:row>
      <xdr:rowOff>19049</xdr:rowOff>
    </xdr:from>
    <xdr:to>
      <xdr:col>8</xdr:col>
      <xdr:colOff>366718</xdr:colOff>
      <xdr:row>11</xdr:row>
      <xdr:rowOff>133348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F8D003A-2C56-42CE-AC89-55C76D380987}"/>
                </a:ext>
              </a:extLst>
            </xdr:cNvPr>
            <xdr:cNvSpPr txBox="1"/>
          </xdr:nvSpPr>
          <xdr:spPr>
            <a:xfrm>
              <a:off x="5186363" y="200024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𝟐𝟐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F8D003A-2C56-42CE-AC89-55C76D380987}"/>
                </a:ext>
              </a:extLst>
            </xdr:cNvPr>
            <xdr:cNvSpPr txBox="1"/>
          </xdr:nvSpPr>
          <xdr:spPr>
            <a:xfrm>
              <a:off x="5186363" y="200024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+𝟐𝟐%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90476</xdr:colOff>
      <xdr:row>9</xdr:row>
      <xdr:rowOff>61917</xdr:rowOff>
    </xdr:from>
    <xdr:to>
      <xdr:col>13</xdr:col>
      <xdr:colOff>71431</xdr:colOff>
      <xdr:row>10</xdr:row>
      <xdr:rowOff>176216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28DCDE5-49E1-422F-94EB-25D2D915B6C7}"/>
                </a:ext>
              </a:extLst>
            </xdr:cNvPr>
            <xdr:cNvSpPr txBox="1"/>
          </xdr:nvSpPr>
          <xdr:spPr>
            <a:xfrm>
              <a:off x="8072426" y="186214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𝟗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28DCDE5-49E1-422F-94EB-25D2D915B6C7}"/>
                </a:ext>
              </a:extLst>
            </xdr:cNvPr>
            <xdr:cNvSpPr txBox="1"/>
          </xdr:nvSpPr>
          <xdr:spPr>
            <a:xfrm>
              <a:off x="8072426" y="186214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+𝟗%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233358</xdr:colOff>
      <xdr:row>11</xdr:row>
      <xdr:rowOff>147648</xdr:rowOff>
    </xdr:from>
    <xdr:to>
      <xdr:col>18</xdr:col>
      <xdr:colOff>157163</xdr:colOff>
      <xdr:row>13</xdr:row>
      <xdr:rowOff>80972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C10CCEF-89B6-4C15-9E9C-8687D813126B}"/>
                </a:ext>
              </a:extLst>
            </xdr:cNvPr>
            <xdr:cNvSpPr txBox="1"/>
          </xdr:nvSpPr>
          <xdr:spPr>
            <a:xfrm>
              <a:off x="11453808" y="230982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C10CCEF-89B6-4C15-9E9C-8687D813126B}"/>
                </a:ext>
              </a:extLst>
            </xdr:cNvPr>
            <xdr:cNvSpPr txBox="1"/>
          </xdr:nvSpPr>
          <xdr:spPr>
            <a:xfrm>
              <a:off x="11453808" y="230982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533398</xdr:colOff>
      <xdr:row>10</xdr:row>
      <xdr:rowOff>76209</xdr:rowOff>
    </xdr:from>
    <xdr:to>
      <xdr:col>13</xdr:col>
      <xdr:colOff>457203</xdr:colOff>
      <xdr:row>12</xdr:row>
      <xdr:rowOff>9533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ACBBDC3-0653-4F2A-A623-0F734D095182}"/>
                </a:ext>
              </a:extLst>
            </xdr:cNvPr>
            <xdr:cNvSpPr txBox="1"/>
          </xdr:nvSpPr>
          <xdr:spPr>
            <a:xfrm>
              <a:off x="8515348" y="205740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ACBBDC3-0653-4F2A-A623-0F734D095182}"/>
                </a:ext>
              </a:extLst>
            </xdr:cNvPr>
            <xdr:cNvSpPr txBox="1"/>
          </xdr:nvSpPr>
          <xdr:spPr>
            <a:xfrm>
              <a:off x="8515348" y="205740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623881</xdr:colOff>
      <xdr:row>10</xdr:row>
      <xdr:rowOff>4773</xdr:rowOff>
    </xdr:from>
    <xdr:to>
      <xdr:col>7</xdr:col>
      <xdr:colOff>547686</xdr:colOff>
      <xdr:row>11</xdr:row>
      <xdr:rowOff>119072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95836CF-7BFC-4DB7-B66E-ED8F36BEF682}"/>
                </a:ext>
              </a:extLst>
            </xdr:cNvPr>
            <xdr:cNvSpPr txBox="1"/>
          </xdr:nvSpPr>
          <xdr:spPr>
            <a:xfrm>
              <a:off x="4719631" y="198597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95836CF-7BFC-4DB7-B66E-ED8F36BEF682}"/>
                </a:ext>
              </a:extLst>
            </xdr:cNvPr>
            <xdr:cNvSpPr txBox="1"/>
          </xdr:nvSpPr>
          <xdr:spPr>
            <a:xfrm>
              <a:off x="4719631" y="198597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+𝟐𝟒%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595308</xdr:colOff>
      <xdr:row>9</xdr:row>
      <xdr:rowOff>90483</xdr:rowOff>
    </xdr:from>
    <xdr:to>
      <xdr:col>9</xdr:col>
      <xdr:colOff>519113</xdr:colOff>
      <xdr:row>11</xdr:row>
      <xdr:rowOff>23807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0DAC1E9-C958-4A5A-B096-42DDB7D852B4}"/>
                </a:ext>
              </a:extLst>
            </xdr:cNvPr>
            <xdr:cNvSpPr txBox="1"/>
          </xdr:nvSpPr>
          <xdr:spPr>
            <a:xfrm>
              <a:off x="5986458" y="1890708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𝟏𝟔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0DAC1E9-C958-4A5A-B096-42DDB7D852B4}"/>
                </a:ext>
              </a:extLst>
            </xdr:cNvPr>
            <xdr:cNvSpPr txBox="1"/>
          </xdr:nvSpPr>
          <xdr:spPr>
            <a:xfrm>
              <a:off x="5986458" y="1890708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+𝟏𝟔%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0.00813</cdr:x>
      <cdr:y>0.45451</cdr:y>
    </cdr:from>
    <cdr:to>
      <cdr:x>0.15196</cdr:x>
      <cdr:y>0.98545</cdr:y>
    </cdr:to>
    <cdr:sp macro="" textlink="">
      <cdr:nvSpPr>
        <cdr:cNvPr id="27" name="Rectangle: Rounded Corners 26">
          <a:extLst xmlns:a="http://schemas.openxmlformats.org/drawingml/2006/main">
            <a:ext uri="{FF2B5EF4-FFF2-40B4-BE49-F238E27FC236}">
              <a16:creationId xmlns:a16="http://schemas.microsoft.com/office/drawing/2014/main" id="{91838F2E-E799-4108-AB12-481873D460D8}"/>
            </a:ext>
          </a:extLst>
        </cdr:cNvPr>
        <cdr:cNvSpPr/>
      </cdr:nvSpPr>
      <cdr:spPr>
        <a:xfrm xmlns:a="http://schemas.openxmlformats.org/drawingml/2006/main">
          <a:off x="73288" y="2545823"/>
          <a:ext cx="1296458" cy="2973917"/>
        </a:xfrm>
        <a:prstGeom xmlns:a="http://schemas.openxmlformats.org/drawingml/2006/main" prst="roundRect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sz="1800" b="1"/>
            <a:t>Rivales</a:t>
          </a:r>
          <a:endParaRPr lang="es-MX" sz="1200" b="1"/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</a:t>
          </a:r>
        </a:p>
        <a:p xmlns:a="http://schemas.openxmlformats.org/drawingml/2006/main">
          <a:pPr algn="ctr"/>
          <a:r>
            <a:rPr lang="es-MX" sz="1200"/>
            <a:t>108%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 a puerta</a:t>
          </a:r>
        </a:p>
        <a:p xmlns:a="http://schemas.openxmlformats.org/drawingml/2006/main">
          <a:pPr algn="ctr"/>
          <a:r>
            <a:rPr lang="es-MX" sz="1200"/>
            <a:t>32%</a:t>
          </a:r>
        </a:p>
        <a:p xmlns:a="http://schemas.openxmlformats.org/drawingml/2006/main">
          <a:pPr algn="ctr"/>
          <a:r>
            <a:rPr lang="es-MX" sz="1200"/>
            <a:t>(60 / 188)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 desviados</a:t>
          </a:r>
        </a:p>
        <a:p xmlns:a="http://schemas.openxmlformats.org/drawingml/2006/main">
          <a:pPr algn="ctr"/>
          <a:r>
            <a:rPr lang="es-MX" sz="1200"/>
            <a:t>68%</a:t>
          </a:r>
        </a:p>
        <a:p xmlns:a="http://schemas.openxmlformats.org/drawingml/2006/main">
          <a:pPr algn="ctr"/>
          <a:r>
            <a:rPr lang="es-MX" sz="1200"/>
            <a:t>(128 / 188)</a:t>
          </a:r>
        </a:p>
      </cdr:txBody>
    </cdr:sp>
  </cdr:relSizeAnchor>
  <cdr:relSizeAnchor xmlns:cdr="http://schemas.openxmlformats.org/drawingml/2006/chartDrawing">
    <cdr:from>
      <cdr:x>0.84232</cdr:x>
      <cdr:y>0.45262</cdr:y>
    </cdr:from>
    <cdr:to>
      <cdr:x>0.99187</cdr:x>
      <cdr:y>0.98687</cdr:y>
    </cdr:to>
    <cdr:sp macro="" textlink="">
      <cdr:nvSpPr>
        <cdr:cNvPr id="28" name="Rectangle: Rounded Corners 27">
          <a:extLst xmlns:a="http://schemas.openxmlformats.org/drawingml/2006/main">
            <a:ext uri="{FF2B5EF4-FFF2-40B4-BE49-F238E27FC236}">
              <a16:creationId xmlns:a16="http://schemas.microsoft.com/office/drawing/2014/main" id="{5339B165-5B7F-424F-A195-52252B37BAF6}"/>
            </a:ext>
          </a:extLst>
        </cdr:cNvPr>
        <cdr:cNvSpPr/>
      </cdr:nvSpPr>
      <cdr:spPr>
        <a:xfrm xmlns:a="http://schemas.openxmlformats.org/drawingml/2006/main">
          <a:off x="7592746" y="2535240"/>
          <a:ext cx="1348053" cy="2992436"/>
        </a:xfrm>
        <a:prstGeom xmlns:a="http://schemas.openxmlformats.org/drawingml/2006/main" prst="roundRect">
          <a:avLst/>
        </a:prstGeom>
        <a:ln xmlns:a="http://schemas.openxmlformats.org/drawingml/2006/main" w="6350">
          <a:solidFill>
            <a:srgbClr val="0070C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>
              <a:solidFill>
                <a:srgbClr val="002060"/>
              </a:solidFill>
            </a:rPr>
            <a:t>Monterrey</a:t>
          </a:r>
          <a:endParaRPr lang="es-MX" sz="1200" b="1">
            <a:solidFill>
              <a:srgbClr val="002060"/>
            </a:solidFill>
          </a:endParaRP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002060"/>
              </a:solidFill>
            </a:rPr>
            <a:t>Disparos</a:t>
          </a:r>
        </a:p>
        <a:p xmlns:a="http://schemas.openxmlformats.org/drawingml/2006/main">
          <a:pPr algn="ctr"/>
          <a:r>
            <a:rPr lang="es-MX" sz="1200"/>
            <a:t>96%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002060"/>
              </a:solidFill>
            </a:rPr>
            <a:t>Disparos a puerta</a:t>
          </a:r>
        </a:p>
        <a:p xmlns:a="http://schemas.openxmlformats.org/drawingml/2006/main">
          <a:pPr algn="ctr"/>
          <a:r>
            <a:rPr lang="es-MX" sz="1200"/>
            <a:t>34%</a:t>
          </a:r>
        </a:p>
        <a:p xmlns:a="http://schemas.openxmlformats.org/drawingml/2006/main">
          <a:pPr algn="ctr"/>
          <a:r>
            <a:rPr lang="es-MX" sz="1200"/>
            <a:t>(69 / 205)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002060"/>
              </a:solidFill>
            </a:rPr>
            <a:t>Disparos desviados</a:t>
          </a:r>
        </a:p>
        <a:p xmlns:a="http://schemas.openxmlformats.org/drawingml/2006/main">
          <a:pPr algn="ctr"/>
          <a:r>
            <a:rPr lang="es-MX" sz="1200"/>
            <a:t>66%</a:t>
          </a:r>
        </a:p>
        <a:p xmlns:a="http://schemas.openxmlformats.org/drawingml/2006/main">
          <a:pPr algn="ctr"/>
          <a:r>
            <a:rPr lang="es-MX" sz="1200"/>
            <a:t>(136 / 205)</a:t>
          </a:r>
        </a:p>
      </cdr:txBody>
    </cdr:sp>
  </cdr:relSizeAnchor>
  <cdr:relSizeAnchor xmlns:cdr="http://schemas.openxmlformats.org/drawingml/2006/chartDrawing">
    <cdr:from>
      <cdr:x>0.00974</cdr:x>
      <cdr:y>0.02041</cdr:y>
    </cdr:from>
    <cdr:to>
      <cdr:x>0.15357</cdr:x>
      <cdr:y>0.29391</cdr:y>
    </cdr:to>
    <cdr:sp macro="" textlink="">
      <cdr:nvSpPr>
        <cdr:cNvPr id="29" name="Rectangle: Rounded Corners 28">
          <a:extLst xmlns:a="http://schemas.openxmlformats.org/drawingml/2006/main">
            <a:ext uri="{FF2B5EF4-FFF2-40B4-BE49-F238E27FC236}">
              <a16:creationId xmlns:a16="http://schemas.microsoft.com/office/drawing/2014/main" id="{5339B165-5B7F-424F-A195-52252B37BAF6}"/>
            </a:ext>
          </a:extLst>
        </cdr:cNvPr>
        <cdr:cNvSpPr/>
      </cdr:nvSpPr>
      <cdr:spPr>
        <a:xfrm xmlns:a="http://schemas.openxmlformats.org/drawingml/2006/main">
          <a:off x="87797" y="114321"/>
          <a:ext cx="1296497" cy="1531936"/>
        </a:xfrm>
        <a:prstGeom xmlns:a="http://schemas.openxmlformats.org/drawingml/2006/main" prst="roundRect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/>
            <a:t>Rivales</a:t>
          </a:r>
          <a:endParaRPr lang="es-MX" sz="1200" b="1"/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Tarjetas rojas</a:t>
          </a:r>
        </a:p>
        <a:p xmlns:a="http://schemas.openxmlformats.org/drawingml/2006/main">
          <a:pPr algn="ctr"/>
          <a:r>
            <a:rPr lang="es-MX" sz="1200"/>
            <a:t>4 de 1.98</a:t>
          </a:r>
        </a:p>
      </cdr:txBody>
    </cdr:sp>
  </cdr:relSizeAnchor>
  <cdr:relSizeAnchor xmlns:cdr="http://schemas.openxmlformats.org/drawingml/2006/chartDrawing">
    <cdr:from>
      <cdr:x>0.84056</cdr:x>
      <cdr:y>0.02041</cdr:y>
    </cdr:from>
    <cdr:to>
      <cdr:x>0.99061</cdr:x>
      <cdr:y>0.29391</cdr:y>
    </cdr:to>
    <cdr:sp macro="" textlink="">
      <cdr:nvSpPr>
        <cdr:cNvPr id="30" name="Rectangle: Rounded Corners 29">
          <a:extLst xmlns:a="http://schemas.openxmlformats.org/drawingml/2006/main">
            <a:ext uri="{FF2B5EF4-FFF2-40B4-BE49-F238E27FC236}">
              <a16:creationId xmlns:a16="http://schemas.microsoft.com/office/drawing/2014/main" id="{7AF554D9-2BBC-4960-8008-DA5435ED2CF3}"/>
            </a:ext>
          </a:extLst>
        </cdr:cNvPr>
        <cdr:cNvSpPr/>
      </cdr:nvSpPr>
      <cdr:spPr>
        <a:xfrm xmlns:a="http://schemas.openxmlformats.org/drawingml/2006/main">
          <a:off x="7576872" y="114300"/>
          <a:ext cx="1352552" cy="1531939"/>
        </a:xfrm>
        <a:prstGeom xmlns:a="http://schemas.openxmlformats.org/drawingml/2006/main" prst="roundRect">
          <a:avLst/>
        </a:prstGeom>
        <a:ln xmlns:a="http://schemas.openxmlformats.org/drawingml/2006/main" w="6350">
          <a:solidFill>
            <a:srgbClr val="0070C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>
              <a:solidFill>
                <a:srgbClr val="002060"/>
              </a:solidFill>
            </a:rPr>
            <a:t>Monterrey</a:t>
          </a:r>
          <a:endParaRPr lang="es-MX" sz="1200" b="1">
            <a:solidFill>
              <a:srgbClr val="002060"/>
            </a:solidFill>
          </a:endParaRP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Tarjetas rojas</a:t>
          </a:r>
        </a:p>
        <a:p xmlns:a="http://schemas.openxmlformats.org/drawingml/2006/main">
          <a:pPr algn="ctr"/>
          <a:r>
            <a:rPr lang="es-MX" sz="1200"/>
            <a:t>6 de 1.64</a:t>
          </a:r>
        </a:p>
      </cdr:txBody>
    </cdr:sp>
  </cdr:relSizeAnchor>
  <cdr:relSizeAnchor xmlns:cdr="http://schemas.openxmlformats.org/drawingml/2006/chartDrawing">
    <cdr:from>
      <cdr:x>0.4532</cdr:x>
      <cdr:y>0.4667</cdr:y>
    </cdr:from>
    <cdr:to>
      <cdr:x>0.54738</cdr:x>
      <cdr:y>0.68408</cdr:y>
    </cdr:to>
    <cdr:pic>
      <cdr:nvPicPr>
        <cdr:cNvPr id="32" name="Picture 31">
          <a:extLst xmlns:a="http://schemas.openxmlformats.org/drawingml/2006/main">
            <a:ext uri="{FF2B5EF4-FFF2-40B4-BE49-F238E27FC236}">
              <a16:creationId xmlns:a16="http://schemas.microsoft.com/office/drawing/2014/main" id="{3A039E24-F25D-4519-8A02-0DA333F026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85168" y="2614084"/>
          <a:ext cx="848936" cy="12176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0.47659</cdr:x>
      <cdr:y>0.18904</cdr:y>
    </cdr:from>
    <cdr:to>
      <cdr:x>0.54351</cdr:x>
      <cdr:y>0.24667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A87FA5-1475-4807-8531-C6F5A95C1472}"/>
            </a:ext>
          </a:extLst>
        </cdr:cNvPr>
        <cdr:cNvSpPr txBox="1"/>
      </cdr:nvSpPr>
      <cdr:spPr>
        <a:xfrm xmlns:a="http://schemas.openxmlformats.org/drawingml/2006/main">
          <a:off x="4296039" y="1058864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600"/>
            <a:t>76%</a:t>
          </a:r>
        </a:p>
      </cdr:txBody>
    </cdr:sp>
  </cdr:relSizeAnchor>
  <cdr:relSizeAnchor xmlns:cdr="http://schemas.openxmlformats.org/drawingml/2006/chartDrawing">
    <cdr:from>
      <cdr:x>0.62497</cdr:x>
      <cdr:y>0.24998</cdr:y>
    </cdr:from>
    <cdr:to>
      <cdr:x>0.69189</cdr:x>
      <cdr:y>0.30761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5633508" y="1400175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72%</a:t>
          </a:r>
        </a:p>
      </cdr:txBody>
    </cdr:sp>
  </cdr:relSizeAnchor>
  <cdr:relSizeAnchor xmlns:cdr="http://schemas.openxmlformats.org/drawingml/2006/chartDrawing">
    <cdr:from>
      <cdr:x>0.71244</cdr:x>
      <cdr:y>0.36051</cdr:y>
    </cdr:from>
    <cdr:to>
      <cdr:x>0.77936</cdr:x>
      <cdr:y>0.41814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421967" y="2019300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88%</a:t>
          </a:r>
        </a:p>
      </cdr:txBody>
    </cdr:sp>
  </cdr:relSizeAnchor>
  <cdr:relSizeAnchor xmlns:cdr="http://schemas.openxmlformats.org/drawingml/2006/chartDrawing">
    <cdr:from>
      <cdr:x>0.75118</cdr:x>
      <cdr:y>0.52017</cdr:y>
    </cdr:from>
    <cdr:to>
      <cdr:x>0.8181</cdr:x>
      <cdr:y>0.5778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771217" y="2913591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96%</a:t>
          </a:r>
        </a:p>
      </cdr:txBody>
    </cdr:sp>
  </cdr:relSizeAnchor>
  <cdr:relSizeAnchor xmlns:cdr="http://schemas.openxmlformats.org/drawingml/2006/chartDrawing">
    <cdr:from>
      <cdr:x>0.74649</cdr:x>
      <cdr:y>0.69589</cdr:y>
    </cdr:from>
    <cdr:to>
      <cdr:x>0.82001</cdr:x>
      <cdr:y>0.75352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728883" y="389784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108%</a:t>
          </a:r>
        </a:p>
      </cdr:txBody>
    </cdr:sp>
  </cdr:relSizeAnchor>
  <cdr:relSizeAnchor xmlns:cdr="http://schemas.openxmlformats.org/drawingml/2006/chartDrawing">
    <cdr:from>
      <cdr:x>0.70657</cdr:x>
      <cdr:y>0.8376</cdr:y>
    </cdr:from>
    <cdr:to>
      <cdr:x>0.78009</cdr:x>
      <cdr:y>0.89523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369050" y="469159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75%</a:t>
          </a:r>
        </a:p>
      </cdr:txBody>
    </cdr:sp>
  </cdr:relSizeAnchor>
  <cdr:relSizeAnchor xmlns:cdr="http://schemas.openxmlformats.org/drawingml/2006/chartDrawing">
    <cdr:from>
      <cdr:x>0.61968</cdr:x>
      <cdr:y>0.91979</cdr:y>
    </cdr:from>
    <cdr:to>
      <cdr:x>0.69321</cdr:x>
      <cdr:y>0.97742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585883" y="51519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0.32264</cdr:x>
      <cdr:y>0.92074</cdr:y>
    </cdr:from>
    <cdr:to>
      <cdr:x>0.39617</cdr:x>
      <cdr:y>0.97837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908300" y="515725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112%</a:t>
          </a:r>
        </a:p>
      </cdr:txBody>
    </cdr:sp>
  </cdr:relSizeAnchor>
  <cdr:relSizeAnchor xmlns:cdr="http://schemas.openxmlformats.org/drawingml/2006/chartDrawing">
    <cdr:from>
      <cdr:x>0.22519</cdr:x>
      <cdr:y>0.83666</cdr:y>
    </cdr:from>
    <cdr:to>
      <cdr:x>0.29872</cdr:x>
      <cdr:y>0.89428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029883" y="46863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125%</a:t>
          </a:r>
        </a:p>
      </cdr:txBody>
    </cdr:sp>
  </cdr:relSizeAnchor>
  <cdr:relSizeAnchor xmlns:cdr="http://schemas.openxmlformats.org/drawingml/2006/chartDrawing">
    <cdr:from>
      <cdr:x>0.20464</cdr:x>
      <cdr:y>0.69495</cdr:y>
    </cdr:from>
    <cdr:to>
      <cdr:x>0.27817</cdr:x>
      <cdr:y>0.75257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844675" y="38925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98%</a:t>
          </a:r>
        </a:p>
      </cdr:txBody>
    </cdr:sp>
  </cdr:relSizeAnchor>
  <cdr:relSizeAnchor xmlns:cdr="http://schemas.openxmlformats.org/drawingml/2006/chartDrawing">
    <cdr:from>
      <cdr:x>0.1976</cdr:x>
      <cdr:y>0.523</cdr:y>
    </cdr:from>
    <cdr:to>
      <cdr:x>0.27113</cdr:x>
      <cdr:y>0.58063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81175" y="29294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100%</a:t>
          </a:r>
        </a:p>
      </cdr:txBody>
    </cdr:sp>
  </cdr:relSizeAnchor>
  <cdr:relSizeAnchor xmlns:cdr="http://schemas.openxmlformats.org/drawingml/2006/chartDrawing">
    <cdr:from>
      <cdr:x>0.18703</cdr:x>
      <cdr:y>0.35862</cdr:y>
    </cdr:from>
    <cdr:to>
      <cdr:x>0.26056</cdr:x>
      <cdr:y>0.41625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685925" y="200871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114%</a:t>
          </a:r>
        </a:p>
      </cdr:txBody>
    </cdr:sp>
  </cdr:relSizeAnchor>
  <cdr:relSizeAnchor xmlns:cdr="http://schemas.openxmlformats.org/drawingml/2006/chartDrawing">
    <cdr:from>
      <cdr:x>0.26922</cdr:x>
      <cdr:y>0.24809</cdr:y>
    </cdr:from>
    <cdr:to>
      <cdr:x>0.34275</cdr:x>
      <cdr:y>0.30572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426758" y="1389591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128%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0.43238</cdr:x>
      <cdr:y>0.45798</cdr:y>
    </cdr:from>
    <cdr:to>
      <cdr:x>0.56386</cdr:x>
      <cdr:y>0.66886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9D7FD66-7565-45A4-9973-A69778F038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99958" y="2575455"/>
          <a:ext cx="1185861" cy="11858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0.00578</cdr:x>
      <cdr:y>0.47059</cdr:y>
    </cdr:from>
    <cdr:to>
      <cdr:x>0.14952</cdr:x>
      <cdr:y>0.96274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:a16="http://schemas.microsoft.com/office/drawing/2014/main" id="{4F78855A-D9DD-43EE-BC08-D0CC9225E582}"/>
            </a:ext>
          </a:extLst>
        </cdr:cNvPr>
        <cdr:cNvSpPr/>
      </cdr:nvSpPr>
      <cdr:spPr>
        <a:xfrm xmlns:a="http://schemas.openxmlformats.org/drawingml/2006/main">
          <a:off x="52121" y="2646364"/>
          <a:ext cx="1296458" cy="2767542"/>
        </a:xfrm>
        <a:prstGeom xmlns:a="http://schemas.openxmlformats.org/drawingml/2006/main" prst="roundRect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/>
            <a:t>Rivales</a:t>
          </a:r>
          <a:endParaRPr lang="es-MX" sz="1200" b="1"/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</a:t>
          </a:r>
        </a:p>
        <a:p xmlns:a="http://schemas.openxmlformats.org/drawingml/2006/main">
          <a:pPr algn="ctr"/>
          <a:r>
            <a:rPr lang="es-MX" sz="1200"/>
            <a:t>81%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 a puerta</a:t>
          </a:r>
        </a:p>
        <a:p xmlns:a="http://schemas.openxmlformats.org/drawingml/2006/main">
          <a:pPr algn="ctr"/>
          <a:r>
            <a:rPr lang="es-MX" sz="1200"/>
            <a:t>36%</a:t>
          </a:r>
        </a:p>
        <a:p xmlns:a="http://schemas.openxmlformats.org/drawingml/2006/main">
          <a:pPr algn="ctr"/>
          <a:r>
            <a:rPr lang="es-MX" sz="1200"/>
            <a:t>(51 / 140)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 desviados</a:t>
          </a:r>
        </a:p>
        <a:p xmlns:a="http://schemas.openxmlformats.org/drawingml/2006/main">
          <a:pPr algn="ctr"/>
          <a:r>
            <a:rPr lang="es-MX" sz="1200"/>
            <a:t>64%</a:t>
          </a:r>
        </a:p>
        <a:p xmlns:a="http://schemas.openxmlformats.org/drawingml/2006/main">
          <a:pPr algn="ctr"/>
          <a:r>
            <a:rPr lang="es-MX" sz="1200"/>
            <a:t>(89 / 140)</a:t>
          </a:r>
        </a:p>
      </cdr:txBody>
    </cdr:sp>
  </cdr:relSizeAnchor>
  <cdr:relSizeAnchor xmlns:cdr="http://schemas.openxmlformats.org/drawingml/2006/chartDrawing">
    <cdr:from>
      <cdr:x>0.84048</cdr:x>
      <cdr:y>0.4673</cdr:y>
    </cdr:from>
    <cdr:to>
      <cdr:x>0.98422</cdr:x>
      <cdr:y>0.95944</cdr:y>
    </cdr:to>
    <cdr:sp macro="" textlink="">
      <cdr:nvSpPr>
        <cdr:cNvPr id="5" name="Rectangle: Rounded Corners 4">
          <a:extLst xmlns:a="http://schemas.openxmlformats.org/drawingml/2006/main">
            <a:ext uri="{FF2B5EF4-FFF2-40B4-BE49-F238E27FC236}">
              <a16:creationId xmlns:a16="http://schemas.microsoft.com/office/drawing/2014/main" id="{38E41B3D-A06D-4553-BC36-A6524C0B236D}"/>
            </a:ext>
          </a:extLst>
        </cdr:cNvPr>
        <cdr:cNvSpPr/>
      </cdr:nvSpPr>
      <cdr:spPr>
        <a:xfrm xmlns:a="http://schemas.openxmlformats.org/drawingml/2006/main">
          <a:off x="7580841" y="2627842"/>
          <a:ext cx="1296458" cy="2767542"/>
        </a:xfrm>
        <a:prstGeom xmlns:a="http://schemas.openxmlformats.org/drawingml/2006/main" prst="roundRect">
          <a:avLst/>
        </a:prstGeom>
        <a:ln xmlns:a="http://schemas.openxmlformats.org/drawingml/2006/main" w="6350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>
              <a:solidFill>
                <a:schemeClr val="accent4">
                  <a:lumMod val="50000"/>
                </a:schemeClr>
              </a:solidFill>
            </a:rPr>
            <a:t>América</a:t>
          </a:r>
          <a:endParaRPr lang="es-MX" sz="1200" b="1">
            <a:solidFill>
              <a:schemeClr val="accent4">
                <a:lumMod val="50000"/>
              </a:schemeClr>
            </a:solidFill>
          </a:endParaRP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chemeClr val="accent4">
                  <a:lumMod val="50000"/>
                </a:schemeClr>
              </a:solidFill>
            </a:rPr>
            <a:t>Disparos</a:t>
          </a:r>
        </a:p>
        <a:p xmlns:a="http://schemas.openxmlformats.org/drawingml/2006/main">
          <a:pPr algn="ctr"/>
          <a:r>
            <a:rPr lang="es-MX" sz="1200"/>
            <a:t>104%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chemeClr val="accent4">
                  <a:lumMod val="50000"/>
                </a:schemeClr>
              </a:solidFill>
            </a:rPr>
            <a:t>Disparos a puerta</a:t>
          </a:r>
        </a:p>
        <a:p xmlns:a="http://schemas.openxmlformats.org/drawingml/2006/main">
          <a:pPr algn="ctr"/>
          <a:r>
            <a:rPr lang="es-MX" sz="1200"/>
            <a:t>34%</a:t>
          </a:r>
        </a:p>
        <a:p xmlns:a="http://schemas.openxmlformats.org/drawingml/2006/main">
          <a:pPr algn="ctr"/>
          <a:r>
            <a:rPr lang="es-MX" sz="1200"/>
            <a:t>(77 / 224)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chemeClr val="accent4">
                  <a:lumMod val="50000"/>
                </a:schemeClr>
              </a:solidFill>
            </a:rPr>
            <a:t>Disparos desviados</a:t>
          </a:r>
        </a:p>
        <a:p xmlns:a="http://schemas.openxmlformats.org/drawingml/2006/main">
          <a:pPr algn="ctr"/>
          <a:r>
            <a:rPr lang="es-MX" sz="1200"/>
            <a:t>66%</a:t>
          </a:r>
        </a:p>
        <a:p xmlns:a="http://schemas.openxmlformats.org/drawingml/2006/main">
          <a:pPr algn="ctr"/>
          <a:r>
            <a:rPr lang="es-MX" sz="1200"/>
            <a:t>(147 / 224)</a:t>
          </a:r>
        </a:p>
      </cdr:txBody>
    </cdr:sp>
  </cdr:relSizeAnchor>
  <cdr:relSizeAnchor xmlns:cdr="http://schemas.openxmlformats.org/drawingml/2006/chartDrawing">
    <cdr:from>
      <cdr:x>0.00563</cdr:x>
      <cdr:y>0.00903</cdr:y>
    </cdr:from>
    <cdr:to>
      <cdr:x>0.14937</cdr:x>
      <cdr:y>0.28145</cdr:y>
    </cdr:to>
    <cdr:sp macro="" textlink="">
      <cdr:nvSpPr>
        <cdr:cNvPr id="6" name="Rectangle: Rounded Corners 5">
          <a:extLst xmlns:a="http://schemas.openxmlformats.org/drawingml/2006/main">
            <a:ext uri="{FF2B5EF4-FFF2-40B4-BE49-F238E27FC236}">
              <a16:creationId xmlns:a16="http://schemas.microsoft.com/office/drawing/2014/main" id="{711F99A6-5F31-4112-8CE6-643A532B992F}"/>
            </a:ext>
          </a:extLst>
        </cdr:cNvPr>
        <cdr:cNvSpPr/>
      </cdr:nvSpPr>
      <cdr:spPr>
        <a:xfrm xmlns:a="http://schemas.openxmlformats.org/drawingml/2006/main">
          <a:off x="50781" y="50780"/>
          <a:ext cx="1296484" cy="1531941"/>
        </a:xfrm>
        <a:prstGeom xmlns:a="http://schemas.openxmlformats.org/drawingml/2006/main" prst="roundRect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/>
            <a:t>Rivales</a:t>
          </a:r>
          <a:endParaRPr lang="es-MX" sz="1200" b="1"/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Tarjetas rojas</a:t>
          </a:r>
        </a:p>
        <a:p xmlns:a="http://schemas.openxmlformats.org/drawingml/2006/main">
          <a:pPr algn="ctr"/>
          <a:r>
            <a:rPr lang="es-MX" sz="1200"/>
            <a:t>5 de 1.97</a:t>
          </a:r>
        </a:p>
      </cdr:txBody>
    </cdr:sp>
  </cdr:relSizeAnchor>
  <cdr:relSizeAnchor xmlns:cdr="http://schemas.openxmlformats.org/drawingml/2006/chartDrawing">
    <cdr:from>
      <cdr:x>0.84215</cdr:x>
      <cdr:y>0.00903</cdr:y>
    </cdr:from>
    <cdr:to>
      <cdr:x>0.98589</cdr:x>
      <cdr:y>0.28145</cdr:y>
    </cdr:to>
    <cdr:sp macro="" textlink="">
      <cdr:nvSpPr>
        <cdr:cNvPr id="7" name="Rectangle: Rounded Corners 6">
          <a:extLst xmlns:a="http://schemas.openxmlformats.org/drawingml/2006/main">
            <a:ext uri="{FF2B5EF4-FFF2-40B4-BE49-F238E27FC236}">
              <a16:creationId xmlns:a16="http://schemas.microsoft.com/office/drawing/2014/main" id="{21BA6D4F-59C7-40D5-9472-70F7508398CD}"/>
            </a:ext>
          </a:extLst>
        </cdr:cNvPr>
        <cdr:cNvSpPr/>
      </cdr:nvSpPr>
      <cdr:spPr>
        <a:xfrm xmlns:a="http://schemas.openxmlformats.org/drawingml/2006/main">
          <a:off x="7595924" y="50800"/>
          <a:ext cx="1296458" cy="1531939"/>
        </a:xfrm>
        <a:prstGeom xmlns:a="http://schemas.openxmlformats.org/drawingml/2006/main" prst="roundRect">
          <a:avLst/>
        </a:prstGeom>
        <a:ln xmlns:a="http://schemas.openxmlformats.org/drawingml/2006/main" w="6350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>
              <a:solidFill>
                <a:schemeClr val="accent4">
                  <a:lumMod val="50000"/>
                </a:schemeClr>
              </a:solidFill>
            </a:rPr>
            <a:t>América</a:t>
          </a:r>
          <a:endParaRPr lang="es-MX" sz="1200" b="1">
            <a:solidFill>
              <a:schemeClr val="accent4">
                <a:lumMod val="50000"/>
              </a:schemeClr>
            </a:solidFill>
          </a:endParaRP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Tarjetas rojas</a:t>
          </a:r>
        </a:p>
        <a:p xmlns:a="http://schemas.openxmlformats.org/drawingml/2006/main">
          <a:pPr algn="ctr"/>
          <a:r>
            <a:rPr lang="es-MX" sz="1200"/>
            <a:t>4 de 1.58</a:t>
          </a:r>
        </a:p>
      </cdr:txBody>
    </cdr:sp>
  </cdr:relSizeAnchor>
  <cdr:relSizeAnchor xmlns:cdr="http://schemas.openxmlformats.org/drawingml/2006/chartDrawing">
    <cdr:from>
      <cdr:x>0.46676</cdr:x>
      <cdr:y>0.18688</cdr:y>
    </cdr:from>
    <cdr:to>
      <cdr:x>0.54025</cdr:x>
      <cdr:y>0.24428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4210050" y="10509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120%</a:t>
          </a:r>
        </a:p>
      </cdr:txBody>
    </cdr:sp>
  </cdr:relSizeAnchor>
  <cdr:relSizeAnchor xmlns:cdr="http://schemas.openxmlformats.org/drawingml/2006/chartDrawing">
    <cdr:from>
      <cdr:x>0.624</cdr:x>
      <cdr:y>0.24522</cdr:y>
    </cdr:from>
    <cdr:to>
      <cdr:x>0.69748</cdr:x>
      <cdr:y>0.30263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628217" y="137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79%</a:t>
          </a:r>
        </a:p>
      </cdr:txBody>
    </cdr:sp>
  </cdr:relSizeAnchor>
  <cdr:relSizeAnchor xmlns:cdr="http://schemas.openxmlformats.org/drawingml/2006/chartDrawing">
    <cdr:from>
      <cdr:x>0.71376</cdr:x>
      <cdr:y>0.36003</cdr:y>
    </cdr:from>
    <cdr:to>
      <cdr:x>0.78724</cdr:x>
      <cdr:y>0.41743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437842" y="2024591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55%</a:t>
          </a:r>
        </a:p>
      </cdr:txBody>
    </cdr:sp>
  </cdr:relSizeAnchor>
  <cdr:relSizeAnchor xmlns:cdr="http://schemas.openxmlformats.org/drawingml/2006/chartDrawing">
    <cdr:from>
      <cdr:x>0.74309</cdr:x>
      <cdr:y>0.52658</cdr:y>
    </cdr:from>
    <cdr:to>
      <cdr:x>0.81657</cdr:x>
      <cdr:y>0.58398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702425" y="296121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104%</a:t>
          </a:r>
        </a:p>
      </cdr:txBody>
    </cdr:sp>
  </cdr:relSizeAnchor>
  <cdr:relSizeAnchor xmlns:cdr="http://schemas.openxmlformats.org/drawingml/2006/chartDrawing">
    <cdr:from>
      <cdr:x>0.75013</cdr:x>
      <cdr:y>0.6969</cdr:y>
    </cdr:from>
    <cdr:to>
      <cdr:x>0.82361</cdr:x>
      <cdr:y>0.7543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765924" y="391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81%</a:t>
          </a:r>
        </a:p>
      </cdr:txBody>
    </cdr:sp>
  </cdr:relSizeAnchor>
  <cdr:relSizeAnchor xmlns:cdr="http://schemas.openxmlformats.org/drawingml/2006/chartDrawing">
    <cdr:from>
      <cdr:x>0.71082</cdr:x>
      <cdr:y>0.83899</cdr:y>
    </cdr:from>
    <cdr:to>
      <cdr:x>0.78431</cdr:x>
      <cdr:y>0.8964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411384" y="4718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0.62634</cdr:x>
      <cdr:y>0.9218</cdr:y>
    </cdr:from>
    <cdr:to>
      <cdr:x>0.69982</cdr:x>
      <cdr:y>0.9792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649383" y="518371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71%</a:t>
          </a:r>
        </a:p>
      </cdr:txBody>
    </cdr:sp>
  </cdr:relSizeAnchor>
  <cdr:relSizeAnchor xmlns:cdr="http://schemas.openxmlformats.org/drawingml/2006/chartDrawing">
    <cdr:from>
      <cdr:x>0.31657</cdr:x>
      <cdr:y>0.91992</cdr:y>
    </cdr:from>
    <cdr:to>
      <cdr:x>0.39006</cdr:x>
      <cdr:y>0.97732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855383" y="5173133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120%</a:t>
          </a:r>
        </a:p>
      </cdr:txBody>
    </cdr:sp>
  </cdr:relSizeAnchor>
  <cdr:relSizeAnchor xmlns:cdr="http://schemas.openxmlformats.org/drawingml/2006/chartDrawing">
    <cdr:from>
      <cdr:x>0.23209</cdr:x>
      <cdr:y>0.83711</cdr:y>
    </cdr:from>
    <cdr:to>
      <cdr:x>0.30557</cdr:x>
      <cdr:y>0.89451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093384" y="470746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88%</a:t>
          </a:r>
        </a:p>
      </cdr:txBody>
    </cdr:sp>
  </cdr:relSizeAnchor>
  <cdr:relSizeAnchor xmlns:cdr="http://schemas.openxmlformats.org/drawingml/2006/chartDrawing">
    <cdr:from>
      <cdr:x>0.21566</cdr:x>
      <cdr:y>0.69502</cdr:y>
    </cdr:from>
    <cdr:to>
      <cdr:x>0.28915</cdr:x>
      <cdr:y>0.75242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945217" y="39084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97%</a:t>
          </a:r>
        </a:p>
      </cdr:txBody>
    </cdr:sp>
  </cdr:relSizeAnchor>
  <cdr:relSizeAnchor xmlns:cdr="http://schemas.openxmlformats.org/drawingml/2006/chartDrawing">
    <cdr:from>
      <cdr:x>0.18985</cdr:x>
      <cdr:y>0.52752</cdr:y>
    </cdr:from>
    <cdr:to>
      <cdr:x>0.26333</cdr:x>
      <cdr:y>0.58493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12384" y="29665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106%</a:t>
          </a:r>
        </a:p>
      </cdr:txBody>
    </cdr:sp>
  </cdr:relSizeAnchor>
  <cdr:relSizeAnchor xmlns:cdr="http://schemas.openxmlformats.org/drawingml/2006/chartDrawing">
    <cdr:from>
      <cdr:x>0.1922</cdr:x>
      <cdr:y>0.36473</cdr:y>
    </cdr:from>
    <cdr:to>
      <cdr:x>0.26568</cdr:x>
      <cdr:y>0.42213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33551" y="2051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98%</a:t>
          </a:r>
        </a:p>
      </cdr:txBody>
    </cdr:sp>
  </cdr:relSizeAnchor>
  <cdr:relSizeAnchor xmlns:cdr="http://schemas.openxmlformats.org/drawingml/2006/chartDrawing">
    <cdr:from>
      <cdr:x>0.25615</cdr:x>
      <cdr:y>0.24522</cdr:y>
    </cdr:from>
    <cdr:to>
      <cdr:x>0.32963</cdr:x>
      <cdr:y>0.30263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310342" y="137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108%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0.4532</cdr:x>
      <cdr:y>0.4667</cdr:y>
    </cdr:from>
    <cdr:to>
      <cdr:x>0.54738</cdr:x>
      <cdr:y>0.68408</cdr:y>
    </cdr:to>
    <cdr:pic>
      <cdr:nvPicPr>
        <cdr:cNvPr id="32" name="Picture 31">
          <a:extLst xmlns:a="http://schemas.openxmlformats.org/drawingml/2006/main">
            <a:ext uri="{FF2B5EF4-FFF2-40B4-BE49-F238E27FC236}">
              <a16:creationId xmlns:a16="http://schemas.microsoft.com/office/drawing/2014/main" id="{3A039E24-F25D-4519-8A02-0DA333F026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85168" y="2614084"/>
          <a:ext cx="848936" cy="12176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0.47307</cdr:x>
      <cdr:y>0.12196</cdr:y>
    </cdr:from>
    <cdr:to>
      <cdr:x>0.53999</cdr:x>
      <cdr:y>0.17959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A87FA5-1475-4807-8531-C6F5A95C1472}"/>
            </a:ext>
          </a:extLst>
        </cdr:cNvPr>
        <cdr:cNvSpPr txBox="1"/>
      </cdr:nvSpPr>
      <cdr:spPr>
        <a:xfrm xmlns:a="http://schemas.openxmlformats.org/drawingml/2006/main">
          <a:off x="4264275" y="683147"/>
          <a:ext cx="603223" cy="322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600"/>
            <a:t>76%</a:t>
          </a:r>
        </a:p>
      </cdr:txBody>
    </cdr:sp>
  </cdr:relSizeAnchor>
  <cdr:relSizeAnchor xmlns:cdr="http://schemas.openxmlformats.org/drawingml/2006/chartDrawing">
    <cdr:from>
      <cdr:x>0.62497</cdr:x>
      <cdr:y>0.24998</cdr:y>
    </cdr:from>
    <cdr:to>
      <cdr:x>0.69189</cdr:x>
      <cdr:y>0.30761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5633508" y="1400175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72%</a:t>
          </a:r>
        </a:p>
      </cdr:txBody>
    </cdr:sp>
  </cdr:relSizeAnchor>
  <cdr:relSizeAnchor xmlns:cdr="http://schemas.openxmlformats.org/drawingml/2006/chartDrawing">
    <cdr:from>
      <cdr:x>0.71244</cdr:x>
      <cdr:y>0.36051</cdr:y>
    </cdr:from>
    <cdr:to>
      <cdr:x>0.77936</cdr:x>
      <cdr:y>0.41814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421967" y="2019300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88%</a:t>
          </a:r>
        </a:p>
      </cdr:txBody>
    </cdr:sp>
  </cdr:relSizeAnchor>
  <cdr:relSizeAnchor xmlns:cdr="http://schemas.openxmlformats.org/drawingml/2006/chartDrawing">
    <cdr:from>
      <cdr:x>0.75118</cdr:x>
      <cdr:y>0.52017</cdr:y>
    </cdr:from>
    <cdr:to>
      <cdr:x>0.8181</cdr:x>
      <cdr:y>0.5778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771217" y="2913591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96%</a:t>
          </a:r>
        </a:p>
      </cdr:txBody>
    </cdr:sp>
  </cdr:relSizeAnchor>
  <cdr:relSizeAnchor xmlns:cdr="http://schemas.openxmlformats.org/drawingml/2006/chartDrawing">
    <cdr:from>
      <cdr:x>0.74649</cdr:x>
      <cdr:y>0.69589</cdr:y>
    </cdr:from>
    <cdr:to>
      <cdr:x>0.82001</cdr:x>
      <cdr:y>0.75352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728883" y="389784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108%</a:t>
          </a:r>
        </a:p>
      </cdr:txBody>
    </cdr:sp>
  </cdr:relSizeAnchor>
  <cdr:relSizeAnchor xmlns:cdr="http://schemas.openxmlformats.org/drawingml/2006/chartDrawing">
    <cdr:from>
      <cdr:x>0.70657</cdr:x>
      <cdr:y>0.8376</cdr:y>
    </cdr:from>
    <cdr:to>
      <cdr:x>0.78009</cdr:x>
      <cdr:y>0.89523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369050" y="469159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75%</a:t>
          </a:r>
        </a:p>
      </cdr:txBody>
    </cdr:sp>
  </cdr:relSizeAnchor>
  <cdr:relSizeAnchor xmlns:cdr="http://schemas.openxmlformats.org/drawingml/2006/chartDrawing">
    <cdr:from>
      <cdr:x>0.61968</cdr:x>
      <cdr:y>0.91979</cdr:y>
    </cdr:from>
    <cdr:to>
      <cdr:x>0.69321</cdr:x>
      <cdr:y>0.97742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585883" y="51519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0.32264</cdr:x>
      <cdr:y>0.92074</cdr:y>
    </cdr:from>
    <cdr:to>
      <cdr:x>0.39617</cdr:x>
      <cdr:y>0.97837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908300" y="515725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112%</a:t>
          </a:r>
        </a:p>
      </cdr:txBody>
    </cdr:sp>
  </cdr:relSizeAnchor>
  <cdr:relSizeAnchor xmlns:cdr="http://schemas.openxmlformats.org/drawingml/2006/chartDrawing">
    <cdr:from>
      <cdr:x>0.22519</cdr:x>
      <cdr:y>0.83666</cdr:y>
    </cdr:from>
    <cdr:to>
      <cdr:x>0.29872</cdr:x>
      <cdr:y>0.89428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029883" y="46863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125%</a:t>
          </a:r>
        </a:p>
      </cdr:txBody>
    </cdr:sp>
  </cdr:relSizeAnchor>
  <cdr:relSizeAnchor xmlns:cdr="http://schemas.openxmlformats.org/drawingml/2006/chartDrawing">
    <cdr:from>
      <cdr:x>0.20464</cdr:x>
      <cdr:y>0.69495</cdr:y>
    </cdr:from>
    <cdr:to>
      <cdr:x>0.27817</cdr:x>
      <cdr:y>0.75257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844675" y="38925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98%</a:t>
          </a:r>
        </a:p>
      </cdr:txBody>
    </cdr:sp>
  </cdr:relSizeAnchor>
  <cdr:relSizeAnchor xmlns:cdr="http://schemas.openxmlformats.org/drawingml/2006/chartDrawing">
    <cdr:from>
      <cdr:x>0.1976</cdr:x>
      <cdr:y>0.523</cdr:y>
    </cdr:from>
    <cdr:to>
      <cdr:x>0.27113</cdr:x>
      <cdr:y>0.58063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81175" y="29294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100%</a:t>
          </a:r>
        </a:p>
      </cdr:txBody>
    </cdr:sp>
  </cdr:relSizeAnchor>
  <cdr:relSizeAnchor xmlns:cdr="http://schemas.openxmlformats.org/drawingml/2006/chartDrawing">
    <cdr:from>
      <cdr:x>0.18703</cdr:x>
      <cdr:y>0.35862</cdr:y>
    </cdr:from>
    <cdr:to>
      <cdr:x>0.26056</cdr:x>
      <cdr:y>0.41625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685925" y="200871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114%</a:t>
          </a:r>
        </a:p>
      </cdr:txBody>
    </cdr:sp>
  </cdr:relSizeAnchor>
  <cdr:relSizeAnchor xmlns:cdr="http://schemas.openxmlformats.org/drawingml/2006/chartDrawing">
    <cdr:from>
      <cdr:x>0.26922</cdr:x>
      <cdr:y>0.24809</cdr:y>
    </cdr:from>
    <cdr:to>
      <cdr:x>0.34275</cdr:x>
      <cdr:y>0.30572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426758" y="1389591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128%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0.43238</cdr:x>
      <cdr:y>0.45798</cdr:y>
    </cdr:from>
    <cdr:to>
      <cdr:x>0.56386</cdr:x>
      <cdr:y>0.66886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9D7FD66-7565-45A4-9973-A69778F038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99958" y="2575455"/>
          <a:ext cx="1185861" cy="11858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0.46676</cdr:x>
      <cdr:y>0.12195</cdr:y>
    </cdr:from>
    <cdr:to>
      <cdr:x>0.54025</cdr:x>
      <cdr:y>0.17935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4210010" y="685786"/>
          <a:ext cx="662854" cy="322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120%</a:t>
          </a:r>
        </a:p>
      </cdr:txBody>
    </cdr:sp>
  </cdr:relSizeAnchor>
  <cdr:relSizeAnchor xmlns:cdr="http://schemas.openxmlformats.org/drawingml/2006/chartDrawing">
    <cdr:from>
      <cdr:x>0.624</cdr:x>
      <cdr:y>0.24522</cdr:y>
    </cdr:from>
    <cdr:to>
      <cdr:x>0.69748</cdr:x>
      <cdr:y>0.30263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628217" y="137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79%</a:t>
          </a:r>
        </a:p>
      </cdr:txBody>
    </cdr:sp>
  </cdr:relSizeAnchor>
  <cdr:relSizeAnchor xmlns:cdr="http://schemas.openxmlformats.org/drawingml/2006/chartDrawing">
    <cdr:from>
      <cdr:x>0.71376</cdr:x>
      <cdr:y>0.36003</cdr:y>
    </cdr:from>
    <cdr:to>
      <cdr:x>0.78724</cdr:x>
      <cdr:y>0.41743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437842" y="2024591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55%</a:t>
          </a:r>
        </a:p>
      </cdr:txBody>
    </cdr:sp>
  </cdr:relSizeAnchor>
  <cdr:relSizeAnchor xmlns:cdr="http://schemas.openxmlformats.org/drawingml/2006/chartDrawing">
    <cdr:from>
      <cdr:x>0.74309</cdr:x>
      <cdr:y>0.52658</cdr:y>
    </cdr:from>
    <cdr:to>
      <cdr:x>0.81657</cdr:x>
      <cdr:y>0.58398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702425" y="296121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104%</a:t>
          </a:r>
        </a:p>
      </cdr:txBody>
    </cdr:sp>
  </cdr:relSizeAnchor>
  <cdr:relSizeAnchor xmlns:cdr="http://schemas.openxmlformats.org/drawingml/2006/chartDrawing">
    <cdr:from>
      <cdr:x>0.75013</cdr:x>
      <cdr:y>0.6969</cdr:y>
    </cdr:from>
    <cdr:to>
      <cdr:x>0.82361</cdr:x>
      <cdr:y>0.7543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765924" y="391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81%</a:t>
          </a:r>
        </a:p>
      </cdr:txBody>
    </cdr:sp>
  </cdr:relSizeAnchor>
  <cdr:relSizeAnchor xmlns:cdr="http://schemas.openxmlformats.org/drawingml/2006/chartDrawing">
    <cdr:from>
      <cdr:x>0.71082</cdr:x>
      <cdr:y>0.83899</cdr:y>
    </cdr:from>
    <cdr:to>
      <cdr:x>0.78431</cdr:x>
      <cdr:y>0.8964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411384" y="4718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0.62634</cdr:x>
      <cdr:y>0.9218</cdr:y>
    </cdr:from>
    <cdr:to>
      <cdr:x>0.69982</cdr:x>
      <cdr:y>0.9792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649383" y="518371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71%</a:t>
          </a:r>
        </a:p>
      </cdr:txBody>
    </cdr:sp>
  </cdr:relSizeAnchor>
  <cdr:relSizeAnchor xmlns:cdr="http://schemas.openxmlformats.org/drawingml/2006/chartDrawing">
    <cdr:from>
      <cdr:x>0.31657</cdr:x>
      <cdr:y>0.91992</cdr:y>
    </cdr:from>
    <cdr:to>
      <cdr:x>0.39006</cdr:x>
      <cdr:y>0.97732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855383" y="5173133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120%</a:t>
          </a:r>
        </a:p>
      </cdr:txBody>
    </cdr:sp>
  </cdr:relSizeAnchor>
  <cdr:relSizeAnchor xmlns:cdr="http://schemas.openxmlformats.org/drawingml/2006/chartDrawing">
    <cdr:from>
      <cdr:x>0.23209</cdr:x>
      <cdr:y>0.83711</cdr:y>
    </cdr:from>
    <cdr:to>
      <cdr:x>0.30557</cdr:x>
      <cdr:y>0.89451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093384" y="470746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88%</a:t>
          </a:r>
        </a:p>
      </cdr:txBody>
    </cdr:sp>
  </cdr:relSizeAnchor>
  <cdr:relSizeAnchor xmlns:cdr="http://schemas.openxmlformats.org/drawingml/2006/chartDrawing">
    <cdr:from>
      <cdr:x>0.21566</cdr:x>
      <cdr:y>0.69502</cdr:y>
    </cdr:from>
    <cdr:to>
      <cdr:x>0.28915</cdr:x>
      <cdr:y>0.75242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945217" y="39084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97%</a:t>
          </a:r>
        </a:p>
      </cdr:txBody>
    </cdr:sp>
  </cdr:relSizeAnchor>
  <cdr:relSizeAnchor xmlns:cdr="http://schemas.openxmlformats.org/drawingml/2006/chartDrawing">
    <cdr:from>
      <cdr:x>0.18985</cdr:x>
      <cdr:y>0.52752</cdr:y>
    </cdr:from>
    <cdr:to>
      <cdr:x>0.26333</cdr:x>
      <cdr:y>0.58493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12384" y="29665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106%</a:t>
          </a:r>
        </a:p>
      </cdr:txBody>
    </cdr:sp>
  </cdr:relSizeAnchor>
  <cdr:relSizeAnchor xmlns:cdr="http://schemas.openxmlformats.org/drawingml/2006/chartDrawing">
    <cdr:from>
      <cdr:x>0.1922</cdr:x>
      <cdr:y>0.36473</cdr:y>
    </cdr:from>
    <cdr:to>
      <cdr:x>0.26568</cdr:x>
      <cdr:y>0.42213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33551" y="2051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98%</a:t>
          </a:r>
        </a:p>
      </cdr:txBody>
    </cdr:sp>
  </cdr:relSizeAnchor>
  <cdr:relSizeAnchor xmlns:cdr="http://schemas.openxmlformats.org/drawingml/2006/chartDrawing">
    <cdr:from>
      <cdr:x>0.25615</cdr:x>
      <cdr:y>0.24522</cdr:y>
    </cdr:from>
    <cdr:to>
      <cdr:x>0.32963</cdr:x>
      <cdr:y>0.30263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310342" y="137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108%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0.46555</cdr:x>
      <cdr:y>0.12207</cdr:y>
    </cdr:from>
    <cdr:to>
      <cdr:x>0.53912</cdr:x>
      <cdr:y>0.17952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67127-19A9-458B-8B59-D687F2976C42}"/>
            </a:ext>
          </a:extLst>
        </cdr:cNvPr>
        <cdr:cNvSpPr txBox="1"/>
      </cdr:nvSpPr>
      <cdr:spPr>
        <a:xfrm xmlns:a="http://schemas.openxmlformats.org/drawingml/2006/main">
          <a:off x="4194175" y="6858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113%</a:t>
          </a:r>
        </a:p>
      </cdr:txBody>
    </cdr:sp>
  </cdr:relSizeAnchor>
  <cdr:relSizeAnchor xmlns:cdr="http://schemas.openxmlformats.org/drawingml/2006/chartDrawing">
    <cdr:from>
      <cdr:x>0.62355</cdr:x>
      <cdr:y>0.2464</cdr:y>
    </cdr:from>
    <cdr:to>
      <cdr:x>0.69712</cdr:x>
      <cdr:y>0.30385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5617633" y="13843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78%</a:t>
          </a:r>
        </a:p>
      </cdr:txBody>
    </cdr:sp>
  </cdr:relSizeAnchor>
  <cdr:relSizeAnchor xmlns:cdr="http://schemas.openxmlformats.org/drawingml/2006/chartDrawing">
    <cdr:from>
      <cdr:x>0.71401</cdr:x>
      <cdr:y>0.36319</cdr:y>
    </cdr:from>
    <cdr:to>
      <cdr:x>0.78758</cdr:x>
      <cdr:y>0.42065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6432550" y="204046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69%</a:t>
          </a:r>
        </a:p>
      </cdr:txBody>
    </cdr:sp>
  </cdr:relSizeAnchor>
  <cdr:relSizeAnchor xmlns:cdr="http://schemas.openxmlformats.org/drawingml/2006/chartDrawing">
    <cdr:from>
      <cdr:x>0.74338</cdr:x>
      <cdr:y>0.52143</cdr:y>
    </cdr:from>
    <cdr:to>
      <cdr:x>0.81695</cdr:x>
      <cdr:y>0.57888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6697133" y="29294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119%</a:t>
          </a:r>
        </a:p>
      </cdr:txBody>
    </cdr:sp>
  </cdr:relSizeAnchor>
  <cdr:relSizeAnchor xmlns:cdr="http://schemas.openxmlformats.org/drawingml/2006/chartDrawing">
    <cdr:from>
      <cdr:x>0.74279</cdr:x>
      <cdr:y>0.69756</cdr:y>
    </cdr:from>
    <cdr:to>
      <cdr:x>0.81636</cdr:x>
      <cdr:y>0.75502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6691842" y="391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104%</a:t>
          </a:r>
        </a:p>
      </cdr:txBody>
    </cdr:sp>
  </cdr:relSizeAnchor>
  <cdr:relSizeAnchor xmlns:cdr="http://schemas.openxmlformats.org/drawingml/2006/chartDrawing">
    <cdr:from>
      <cdr:x>0.70579</cdr:x>
      <cdr:y>0.83696</cdr:y>
    </cdr:from>
    <cdr:to>
      <cdr:x>0.77935</cdr:x>
      <cdr:y>0.89441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6358466" y="470217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84%</a:t>
          </a:r>
        </a:p>
      </cdr:txBody>
    </cdr:sp>
  </cdr:relSizeAnchor>
  <cdr:relSizeAnchor xmlns:cdr="http://schemas.openxmlformats.org/drawingml/2006/chartDrawing">
    <cdr:from>
      <cdr:x>0.62355</cdr:x>
      <cdr:y>0.92173</cdr:y>
    </cdr:from>
    <cdr:to>
      <cdr:x>0.69712</cdr:x>
      <cdr:y>0.97918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5617633" y="51784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67%</a:t>
          </a:r>
        </a:p>
      </cdr:txBody>
    </cdr:sp>
  </cdr:relSizeAnchor>
  <cdr:relSizeAnchor xmlns:cdr="http://schemas.openxmlformats.org/drawingml/2006/chartDrawing">
    <cdr:from>
      <cdr:x>0.31988</cdr:x>
      <cdr:y>0.92079</cdr:y>
    </cdr:from>
    <cdr:to>
      <cdr:x>0.39345</cdr:x>
      <cdr:y>0.97824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2881842" y="5173134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114%</a:t>
          </a:r>
        </a:p>
      </cdr:txBody>
    </cdr:sp>
  </cdr:relSizeAnchor>
  <cdr:relSizeAnchor xmlns:cdr="http://schemas.openxmlformats.org/drawingml/2006/chartDrawing">
    <cdr:from>
      <cdr:x>0.23001</cdr:x>
      <cdr:y>0.83884</cdr:y>
    </cdr:from>
    <cdr:to>
      <cdr:x>0.30358</cdr:x>
      <cdr:y>0.8963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2072217" y="471275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132%</a:t>
          </a:r>
        </a:p>
      </cdr:txBody>
    </cdr:sp>
  </cdr:relSizeAnchor>
  <cdr:relSizeAnchor xmlns:cdr="http://schemas.openxmlformats.org/drawingml/2006/chartDrawing">
    <cdr:from>
      <cdr:x>0.20476</cdr:x>
      <cdr:y>0.69662</cdr:y>
    </cdr:from>
    <cdr:to>
      <cdr:x>0.27833</cdr:x>
      <cdr:y>0.75407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1844675" y="391371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114%</a:t>
          </a:r>
        </a:p>
      </cdr:txBody>
    </cdr:sp>
  </cdr:relSizeAnchor>
  <cdr:relSizeAnchor xmlns:cdr="http://schemas.openxmlformats.org/drawingml/2006/chartDrawing">
    <cdr:from>
      <cdr:x>0.20358</cdr:x>
      <cdr:y>0.52331</cdr:y>
    </cdr:from>
    <cdr:to>
      <cdr:x>0.27715</cdr:x>
      <cdr:y>0.58077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1834092" y="2940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97%</a:t>
          </a:r>
        </a:p>
      </cdr:txBody>
    </cdr:sp>
  </cdr:relSizeAnchor>
  <cdr:relSizeAnchor xmlns:cdr="http://schemas.openxmlformats.org/drawingml/2006/chartDrawing">
    <cdr:from>
      <cdr:x>0.1889</cdr:x>
      <cdr:y>0.36319</cdr:y>
    </cdr:from>
    <cdr:to>
      <cdr:x>0.26247</cdr:x>
      <cdr:y>0.42065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1701800" y="20404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110%</a:t>
          </a:r>
        </a:p>
      </cdr:txBody>
    </cdr:sp>
  </cdr:relSizeAnchor>
  <cdr:relSizeAnchor xmlns:cdr="http://schemas.openxmlformats.org/drawingml/2006/chartDrawing">
    <cdr:from>
      <cdr:x>0.26584</cdr:x>
      <cdr:y>0.24734</cdr:y>
    </cdr:from>
    <cdr:to>
      <cdr:x>0.33941</cdr:x>
      <cdr:y>0.30479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2395008" y="138959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100%</a:t>
          </a:r>
        </a:p>
      </cdr:txBody>
    </cdr:sp>
  </cdr:relSizeAnchor>
  <cdr:relSizeAnchor xmlns:cdr="http://schemas.openxmlformats.org/drawingml/2006/chartDrawing">
    <cdr:from>
      <cdr:x>0.44464</cdr:x>
      <cdr:y>0.45022</cdr:y>
    </cdr:from>
    <cdr:to>
      <cdr:x>0.55565</cdr:x>
      <cdr:y>0.65367</cdr:y>
    </cdr:to>
    <cdr:pic>
      <cdr:nvPicPr>
        <cdr:cNvPr id="17" name="Picture 16">
          <a:extLst xmlns:a="http://schemas.openxmlformats.org/drawingml/2006/main">
            <a:ext uri="{FF2B5EF4-FFF2-40B4-BE49-F238E27FC236}">
              <a16:creationId xmlns:a16="http://schemas.microsoft.com/office/drawing/2014/main" id="{61D88C40-579C-4B25-A6D9-E8825B514A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05793" y="2529416"/>
          <a:ext cx="1000125" cy="11430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0.47139</cdr:x>
      <cdr:y>0.12172</cdr:y>
    </cdr:from>
    <cdr:to>
      <cdr:x>0.54505</cdr:x>
      <cdr:y>0.17902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4241800" y="6858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69%</a:t>
          </a:r>
        </a:p>
      </cdr:txBody>
    </cdr:sp>
  </cdr:relSizeAnchor>
  <cdr:relSizeAnchor xmlns:cdr="http://schemas.openxmlformats.org/drawingml/2006/chartDrawing">
    <cdr:from>
      <cdr:x>0.6237</cdr:x>
      <cdr:y>0.24664</cdr:y>
    </cdr:from>
    <cdr:to>
      <cdr:x>0.69735</cdr:x>
      <cdr:y>0.30394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5612341" y="138959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79%</a:t>
          </a:r>
        </a:p>
      </cdr:txBody>
    </cdr:sp>
  </cdr:relSizeAnchor>
  <cdr:relSizeAnchor xmlns:cdr="http://schemas.openxmlformats.org/drawingml/2006/chartDrawing">
    <cdr:from>
      <cdr:x>0.70544</cdr:x>
      <cdr:y>0.36123</cdr:y>
    </cdr:from>
    <cdr:to>
      <cdr:x>0.77909</cdr:x>
      <cdr:y>0.41852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6347883" y="203517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106%</a:t>
          </a:r>
        </a:p>
      </cdr:txBody>
    </cdr:sp>
  </cdr:relSizeAnchor>
  <cdr:relSizeAnchor xmlns:cdr="http://schemas.openxmlformats.org/drawingml/2006/chartDrawing">
    <cdr:from>
      <cdr:x>0.74308</cdr:x>
      <cdr:y>0.52372</cdr:y>
    </cdr:from>
    <cdr:to>
      <cdr:x>0.81673</cdr:x>
      <cdr:y>0.58101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6686550" y="2950633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133%</a:t>
          </a:r>
        </a:p>
      </cdr:txBody>
    </cdr:sp>
  </cdr:relSizeAnchor>
  <cdr:relSizeAnchor xmlns:cdr="http://schemas.openxmlformats.org/drawingml/2006/chartDrawing">
    <cdr:from>
      <cdr:x>0.74131</cdr:x>
      <cdr:y>0.69559</cdr:y>
    </cdr:from>
    <cdr:to>
      <cdr:x>0.81497</cdr:x>
      <cdr:y>0.75289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6670675" y="391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124%</a:t>
          </a:r>
        </a:p>
      </cdr:txBody>
    </cdr:sp>
  </cdr:relSizeAnchor>
  <cdr:relSizeAnchor xmlns:cdr="http://schemas.openxmlformats.org/drawingml/2006/chartDrawing">
    <cdr:from>
      <cdr:x>0.71191</cdr:x>
      <cdr:y>0.8393</cdr:y>
    </cdr:from>
    <cdr:to>
      <cdr:x>0.78556</cdr:x>
      <cdr:y>0.89659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6406091" y="4728634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84%</a:t>
          </a:r>
        </a:p>
      </cdr:txBody>
    </cdr:sp>
  </cdr:relSizeAnchor>
  <cdr:relSizeAnchor xmlns:cdr="http://schemas.openxmlformats.org/drawingml/2006/chartDrawing">
    <cdr:from>
      <cdr:x>0.62782</cdr:x>
      <cdr:y>0.92101</cdr:y>
    </cdr:from>
    <cdr:to>
      <cdr:x>0.70147</cdr:x>
      <cdr:y>0.9783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5649383" y="518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86%</a:t>
          </a:r>
        </a:p>
      </cdr:txBody>
    </cdr:sp>
  </cdr:relSizeAnchor>
  <cdr:relSizeAnchor xmlns:cdr="http://schemas.openxmlformats.org/drawingml/2006/chartDrawing">
    <cdr:from>
      <cdr:x>0.31967</cdr:x>
      <cdr:y>0.92101</cdr:y>
    </cdr:from>
    <cdr:to>
      <cdr:x>0.39333</cdr:x>
      <cdr:y>0.9783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2876550" y="518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171%</a:t>
          </a:r>
        </a:p>
      </cdr:txBody>
    </cdr:sp>
  </cdr:relSizeAnchor>
  <cdr:relSizeAnchor xmlns:cdr="http://schemas.openxmlformats.org/drawingml/2006/chartDrawing">
    <cdr:from>
      <cdr:x>0.23499</cdr:x>
      <cdr:y>0.83836</cdr:y>
    </cdr:from>
    <cdr:to>
      <cdr:x>0.30864</cdr:x>
      <cdr:y>0.89565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2114550" y="472334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151%</a:t>
          </a:r>
        </a:p>
      </cdr:txBody>
    </cdr:sp>
  </cdr:relSizeAnchor>
  <cdr:relSizeAnchor xmlns:cdr="http://schemas.openxmlformats.org/drawingml/2006/chartDrawing">
    <cdr:from>
      <cdr:x>0.21147</cdr:x>
      <cdr:y>0.69372</cdr:y>
    </cdr:from>
    <cdr:to>
      <cdr:x>0.28512</cdr:x>
      <cdr:y>0.75101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1902884" y="39084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0.19971</cdr:x>
      <cdr:y>0.52653</cdr:y>
    </cdr:from>
    <cdr:to>
      <cdr:x>0.27336</cdr:x>
      <cdr:y>0.58383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1797050" y="29665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89%</a:t>
          </a:r>
        </a:p>
      </cdr:txBody>
    </cdr:sp>
  </cdr:relSizeAnchor>
  <cdr:relSizeAnchor xmlns:cdr="http://schemas.openxmlformats.org/drawingml/2006/chartDrawing">
    <cdr:from>
      <cdr:x>0.18442</cdr:x>
      <cdr:y>0.36405</cdr:y>
    </cdr:from>
    <cdr:to>
      <cdr:x>0.25807</cdr:x>
      <cdr:y>0.42134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1659467" y="2051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116%</a:t>
          </a:r>
        </a:p>
      </cdr:txBody>
    </cdr:sp>
  </cdr:relSizeAnchor>
  <cdr:relSizeAnchor xmlns:cdr="http://schemas.openxmlformats.org/drawingml/2006/chartDrawing">
    <cdr:from>
      <cdr:x>0.2738</cdr:x>
      <cdr:y>0.24758</cdr:y>
    </cdr:from>
    <cdr:to>
      <cdr:x>0.34746</cdr:x>
      <cdr:y>0.30487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2463800" y="1394884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82%</a:t>
          </a:r>
        </a:p>
      </cdr:txBody>
    </cdr:sp>
  </cdr:relSizeAnchor>
  <cdr:relSizeAnchor xmlns:cdr="http://schemas.openxmlformats.org/drawingml/2006/chartDrawing">
    <cdr:from>
      <cdr:x>0.45575</cdr:x>
      <cdr:y>0.45177</cdr:y>
    </cdr:from>
    <cdr:to>
      <cdr:x>0.54366</cdr:x>
      <cdr:y>0.68978</cdr:y>
    </cdr:to>
    <cdr:pic>
      <cdr:nvPicPr>
        <cdr:cNvPr id="16" name="Picture 15">
          <a:extLst xmlns:a="http://schemas.openxmlformats.org/drawingml/2006/main">
            <a:ext uri="{FF2B5EF4-FFF2-40B4-BE49-F238E27FC236}">
              <a16:creationId xmlns:a16="http://schemas.microsoft.com/office/drawing/2014/main" id="{3C096F75-160D-4584-BE5A-3CD90E64E50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01042" y="2545292"/>
          <a:ext cx="791105" cy="134095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30954</xdr:colOff>
      <xdr:row>0</xdr:row>
      <xdr:rowOff>23811</xdr:rowOff>
    </xdr:from>
    <xdr:to>
      <xdr:col>19</xdr:col>
      <xdr:colOff>552450</xdr:colOff>
      <xdr:row>31</xdr:row>
      <xdr:rowOff>152398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54907-61AE-4AA6-921D-9AD83F7B7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614362</xdr:colOff>
      <xdr:row>35</xdr:row>
      <xdr:rowOff>161925</xdr:rowOff>
    </xdr:from>
    <xdr:to>
      <xdr:col>19</xdr:col>
      <xdr:colOff>488158</xdr:colOff>
      <xdr:row>67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3F3EC-55A5-481A-8341-C1755160A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0.07755</cdr:x>
      <cdr:y>0.14274</cdr:y>
    </cdr:from>
    <cdr:to>
      <cdr:x>0.16786</cdr:x>
      <cdr:y>0.20083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2B89B7-5CB0-4450-8CD7-B66B36A72ABC}"/>
            </a:ext>
          </a:extLst>
        </cdr:cNvPr>
        <cdr:cNvSpPr txBox="1"/>
      </cdr:nvSpPr>
      <cdr:spPr>
        <a:xfrm xmlns:a="http://schemas.openxmlformats.org/drawingml/2006/main">
          <a:off x="592933" y="819150"/>
          <a:ext cx="690563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0.44877</cdr:x>
      <cdr:y>0.21991</cdr:y>
    </cdr:from>
    <cdr:to>
      <cdr:x>0.55901</cdr:x>
      <cdr:y>0.28298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F14489-C9B0-4E9D-87BA-4D11295C1973}"/>
            </a:ext>
          </a:extLst>
        </cdr:cNvPr>
        <cdr:cNvSpPr txBox="1"/>
      </cdr:nvSpPr>
      <cdr:spPr>
        <a:xfrm xmlns:a="http://schemas.openxmlformats.org/drawingml/2006/main">
          <a:off x="3431406" y="1262044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>
              <a:solidFill>
                <a:srgbClr val="C00000"/>
              </a:solidFill>
            </a:rPr>
            <a:t>405 / 416</a:t>
          </a:r>
        </a:p>
      </cdr:txBody>
    </cdr:sp>
  </cdr:relSizeAnchor>
  <cdr:relSizeAnchor xmlns:cdr="http://schemas.openxmlformats.org/drawingml/2006/chartDrawing">
    <cdr:from>
      <cdr:x>0.62328</cdr:x>
      <cdr:y>0.36155</cdr:y>
    </cdr:from>
    <cdr:to>
      <cdr:x>0.73352</cdr:x>
      <cdr:y>0.42462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4765699" y="2074846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99 / 110</a:t>
          </a:r>
        </a:p>
      </cdr:txBody>
    </cdr:sp>
  </cdr:relSizeAnchor>
  <cdr:relSizeAnchor xmlns:cdr="http://schemas.openxmlformats.org/drawingml/2006/chartDrawing">
    <cdr:from>
      <cdr:x>0.71235</cdr:x>
      <cdr:y>0.4935</cdr:y>
    </cdr:from>
    <cdr:to>
      <cdr:x>0.82259</cdr:x>
      <cdr:y>0.55657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446745" y="2832118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54 / 43</a:t>
          </a:r>
        </a:p>
      </cdr:txBody>
    </cdr:sp>
  </cdr:relSizeAnchor>
  <cdr:relSizeAnchor xmlns:cdr="http://schemas.openxmlformats.org/drawingml/2006/chartDrawing">
    <cdr:from>
      <cdr:x>0.70798</cdr:x>
      <cdr:y>0.66861</cdr:y>
    </cdr:from>
    <cdr:to>
      <cdr:x>0.81823</cdr:x>
      <cdr:y>0.73168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413375" y="3837015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332 / 397</a:t>
          </a:r>
        </a:p>
      </cdr:txBody>
    </cdr:sp>
  </cdr:relSizeAnchor>
  <cdr:relSizeAnchor xmlns:cdr="http://schemas.openxmlformats.org/drawingml/2006/chartDrawing">
    <cdr:from>
      <cdr:x>0.55476</cdr:x>
      <cdr:y>0.92089</cdr:y>
    </cdr:from>
    <cdr:to>
      <cdr:x>0.665</cdr:x>
      <cdr:y>0.98396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4241828" y="5284810"/>
          <a:ext cx="842916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178 / 223</a:t>
          </a:r>
        </a:p>
      </cdr:txBody>
    </cdr:sp>
  </cdr:relSizeAnchor>
  <cdr:relSizeAnchor xmlns:cdr="http://schemas.openxmlformats.org/drawingml/2006/chartDrawing">
    <cdr:from>
      <cdr:x>0.66687</cdr:x>
      <cdr:y>0.82794</cdr:y>
    </cdr:from>
    <cdr:to>
      <cdr:x>0.77712</cdr:x>
      <cdr:y>0.89101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099030" y="4751393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154 / 174</a:t>
          </a:r>
        </a:p>
      </cdr:txBody>
    </cdr:sp>
  </cdr:relSizeAnchor>
  <cdr:relSizeAnchor xmlns:cdr="http://schemas.openxmlformats.org/drawingml/2006/chartDrawing">
    <cdr:from>
      <cdr:x>0.33738</cdr:x>
      <cdr:y>0.91674</cdr:y>
    </cdr:from>
    <cdr:to>
      <cdr:x>0.46247</cdr:x>
      <cdr:y>0.97981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2579708" y="5260983"/>
          <a:ext cx="95646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3772 / 3469</a:t>
          </a:r>
        </a:p>
      </cdr:txBody>
    </cdr:sp>
  </cdr:relSizeAnchor>
  <cdr:relSizeAnchor xmlns:cdr="http://schemas.openxmlformats.org/drawingml/2006/chartDrawing">
    <cdr:from>
      <cdr:x>0.19351</cdr:x>
      <cdr:y>0.8213</cdr:y>
    </cdr:from>
    <cdr:to>
      <cdr:x>0.31673</cdr:x>
      <cdr:y>0.88438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1479583" y="4713261"/>
          <a:ext cx="942165" cy="3620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1158 / 1472</a:t>
          </a:r>
        </a:p>
      </cdr:txBody>
    </cdr:sp>
  </cdr:relSizeAnchor>
  <cdr:relSizeAnchor xmlns:cdr="http://schemas.openxmlformats.org/drawingml/2006/chartDrawing">
    <cdr:from>
      <cdr:x>0.20596</cdr:x>
      <cdr:y>0.49765</cdr:y>
    </cdr:from>
    <cdr:to>
      <cdr:x>0.32669</cdr:x>
      <cdr:y>0.56072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1574812" y="2855932"/>
          <a:ext cx="923125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3921 / 3998</a:t>
          </a:r>
        </a:p>
      </cdr:txBody>
    </cdr:sp>
  </cdr:relSizeAnchor>
  <cdr:relSizeAnchor xmlns:cdr="http://schemas.openxmlformats.org/drawingml/2006/chartDrawing">
    <cdr:from>
      <cdr:x>0.26949</cdr:x>
      <cdr:y>0.3657</cdr:y>
    </cdr:from>
    <cdr:to>
      <cdr:x>0.37974</cdr:x>
      <cdr:y>0.42877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2060574" y="2098663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655 / 564</a:t>
          </a:r>
        </a:p>
      </cdr:txBody>
    </cdr:sp>
  </cdr:relSizeAnchor>
  <cdr:relSizeAnchor xmlns:cdr="http://schemas.openxmlformats.org/drawingml/2006/chartDrawing">
    <cdr:from>
      <cdr:x>0.01837</cdr:x>
      <cdr:y>0.08216</cdr:y>
    </cdr:from>
    <cdr:to>
      <cdr:x>0.22828</cdr:x>
      <cdr:y>0.30788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59FF9528-6BAF-4213-9EC1-21872FFAA206}"/>
            </a:ext>
          </a:extLst>
        </cdr:cNvPr>
        <cdr:cNvSpPr/>
      </cdr:nvSpPr>
      <cdr:spPr>
        <a:xfrm xmlns:a="http://schemas.openxmlformats.org/drawingml/2006/main">
          <a:off x="140461" y="471501"/>
          <a:ext cx="1605013" cy="1295388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Tarjetas Rojas 168%</a:t>
          </a:r>
          <a:r>
            <a:rPr lang="es-MX"/>
            <a:t> (54/32)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chemeClr val="accent4">
                  <a:lumMod val="50000"/>
                </a:schemeClr>
              </a:solidFill>
            </a:rPr>
            <a:t>Tarjetas Amarillas 113%</a:t>
          </a:r>
          <a:r>
            <a:rPr lang="es-MX" baseline="0"/>
            <a:t> </a:t>
          </a:r>
        </a:p>
        <a:p xmlns:a="http://schemas.openxmlformats.org/drawingml/2006/main">
          <a:pPr algn="ctr"/>
          <a:r>
            <a:rPr lang="es-MX" baseline="0"/>
            <a:t>(601/532)</a:t>
          </a:r>
          <a:endParaRPr lang="es-MX"/>
        </a:p>
      </cdr:txBody>
    </cdr:sp>
  </cdr:relSizeAnchor>
  <cdr:relSizeAnchor xmlns:cdr="http://schemas.openxmlformats.org/drawingml/2006/chartDrawing">
    <cdr:from>
      <cdr:x>0.79134</cdr:x>
      <cdr:y>0.70788</cdr:y>
    </cdr:from>
    <cdr:to>
      <cdr:x>0.96263</cdr:x>
      <cdr:y>0.97925</cdr:y>
    </cdr:to>
    <cdr:sp macro="" textlink="">
      <cdr:nvSpPr>
        <cdr:cNvPr id="14" name="Rectangle: Rounded Corners 13">
          <a:extLst xmlns:a="http://schemas.openxmlformats.org/drawingml/2006/main">
            <a:ext uri="{FF2B5EF4-FFF2-40B4-BE49-F238E27FC236}">
              <a16:creationId xmlns:a16="http://schemas.microsoft.com/office/drawing/2014/main" id="{9C542807-AC7D-43CA-A148-4A221F119740}"/>
            </a:ext>
          </a:extLst>
        </cdr:cNvPr>
        <cdr:cNvSpPr/>
      </cdr:nvSpPr>
      <cdr:spPr>
        <a:xfrm xmlns:a="http://schemas.openxmlformats.org/drawingml/2006/main">
          <a:off x="6050759" y="4062410"/>
          <a:ext cx="1309687" cy="155734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Goles anotados</a:t>
          </a: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84%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(332/397)</a:t>
          </a:r>
          <a:endParaRPr lang="es-MX">
            <a:effectLst/>
          </a:endParaRPr>
        </a:p>
        <a:p xmlns:a="http://schemas.openxmlformats.org/drawingml/2006/main">
          <a:pPr algn="ctr"/>
          <a:endParaRPr lang="es-MX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Goles</a:t>
          </a:r>
          <a:r>
            <a:rPr lang="es-MX" b="1" baseline="0">
              <a:solidFill>
                <a:srgbClr val="FF0000"/>
              </a:solidFill>
            </a:rPr>
            <a:t> por debajo de lo esperado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65</a:t>
          </a:r>
        </a:p>
      </cdr:txBody>
    </cdr:sp>
  </cdr:relSizeAnchor>
  <cdr:relSizeAnchor xmlns:cdr="http://schemas.openxmlformats.org/drawingml/2006/chartDrawing">
    <cdr:from>
      <cdr:x>0.01412</cdr:x>
      <cdr:y>0.71618</cdr:y>
    </cdr:from>
    <cdr:to>
      <cdr:x>0.15354</cdr:x>
      <cdr:y>0.98257</cdr:y>
    </cdr:to>
    <cdr:sp macro="" textlink="">
      <cdr:nvSpPr>
        <cdr:cNvPr id="15" name="Rectangle: Rounded Corners 14">
          <a:extLst xmlns:a="http://schemas.openxmlformats.org/drawingml/2006/main">
            <a:ext uri="{FF2B5EF4-FFF2-40B4-BE49-F238E27FC236}">
              <a16:creationId xmlns:a16="http://schemas.microsoft.com/office/drawing/2014/main" id="{96B13D25-7D04-40D8-A09B-314C99A815BC}"/>
            </a:ext>
          </a:extLst>
        </cdr:cNvPr>
        <cdr:cNvSpPr/>
      </cdr:nvSpPr>
      <cdr:spPr>
        <a:xfrm xmlns:a="http://schemas.openxmlformats.org/drawingml/2006/main">
          <a:off x="107931" y="4110039"/>
          <a:ext cx="1066028" cy="1528752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Disparos Desviados 69%</a:t>
          </a:r>
          <a:endParaRPr lang="es-MX"/>
        </a:p>
        <a:p xmlns:a="http://schemas.openxmlformats.org/drawingml/2006/main">
          <a:pPr algn="ctr"/>
          <a:r>
            <a:rPr lang="es-MX"/>
            <a:t>(2614/3772)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rgbClr val="0070C0"/>
              </a:solidFill>
            </a:rPr>
            <a:t>Disparos</a:t>
          </a:r>
          <a:r>
            <a:rPr lang="es-MX" b="1" baseline="0">
              <a:solidFill>
                <a:srgbClr val="0070C0"/>
              </a:solidFill>
            </a:rPr>
            <a:t> a puerta 31%</a:t>
          </a:r>
        </a:p>
        <a:p xmlns:a="http://schemas.openxmlformats.org/drawingml/2006/main">
          <a:pPr algn="ctr"/>
          <a:r>
            <a:rPr lang="es-MX" baseline="0"/>
            <a:t>(1158/3772)</a:t>
          </a:r>
          <a:endParaRPr lang="es-MX"/>
        </a:p>
      </cdr:txBody>
    </cdr:sp>
  </cdr:relSizeAnchor>
  <cdr:relSizeAnchor xmlns:cdr="http://schemas.openxmlformats.org/drawingml/2006/chartDrawing">
    <cdr:from>
      <cdr:x>0.78459</cdr:x>
      <cdr:y>0.03817</cdr:y>
    </cdr:from>
    <cdr:to>
      <cdr:x>0.97083</cdr:x>
      <cdr:y>0.44979</cdr:y>
    </cdr:to>
    <cdr:sp macro="" textlink="">
      <cdr:nvSpPr>
        <cdr:cNvPr id="16" name="Rectangle: Rounded Corners 15">
          <a:extLst xmlns:a="http://schemas.openxmlformats.org/drawingml/2006/main">
            <a:ext uri="{FF2B5EF4-FFF2-40B4-BE49-F238E27FC236}">
              <a16:creationId xmlns:a16="http://schemas.microsoft.com/office/drawing/2014/main" id="{16F7CCA2-E145-4002-BF6C-A52B7DAAD710}"/>
            </a:ext>
          </a:extLst>
        </cdr:cNvPr>
        <cdr:cNvSpPr/>
      </cdr:nvSpPr>
      <cdr:spPr>
        <a:xfrm xmlns:a="http://schemas.openxmlformats.org/drawingml/2006/main">
          <a:off x="5999129" y="219075"/>
          <a:ext cx="1424027" cy="236220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Máximo</a:t>
          </a:r>
          <a:r>
            <a:rPr lang="es-MX" b="1" baseline="0">
              <a:solidFill>
                <a:srgbClr val="FF0000"/>
              </a:solidFill>
            </a:rPr>
            <a:t> % de empates</a:t>
          </a:r>
          <a:endParaRPr lang="es-MX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Apertura 2013 134%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(112/84)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rgbClr val="0070C0"/>
              </a:solidFill>
            </a:rPr>
            <a:t>Menor</a:t>
          </a:r>
          <a:r>
            <a:rPr lang="es-MX" b="1" baseline="0">
              <a:solidFill>
                <a:srgbClr val="0070C0"/>
              </a:solidFill>
            </a:rPr>
            <a:t> % de empates</a:t>
          </a:r>
        </a:p>
        <a:p xmlns:a="http://schemas.openxmlformats.org/drawingml/2006/main">
          <a:pPr algn="ctr"/>
          <a:r>
            <a:rPr lang="es-MX" b="1" baseline="0">
              <a:solidFill>
                <a:srgbClr val="0070C0"/>
              </a:solidFill>
            </a:rPr>
            <a:t>Apertura 2015</a:t>
          </a:r>
        </a:p>
        <a:p xmlns:a="http://schemas.openxmlformats.org/drawingml/2006/main">
          <a:pPr algn="ctr"/>
          <a:r>
            <a:rPr lang="es-MX" b="1" baseline="0">
              <a:solidFill>
                <a:srgbClr val="0070C0"/>
              </a:solidFill>
            </a:rPr>
            <a:t>68%</a:t>
          </a:r>
        </a:p>
        <a:p xmlns:a="http://schemas.openxmlformats.org/drawingml/2006/main">
          <a:pPr algn="ctr"/>
          <a:r>
            <a:rPr lang="es-MX" baseline="0"/>
            <a:t>(56/84)</a:t>
          </a:r>
          <a:endParaRPr lang="es-MX"/>
        </a:p>
      </cdr:txBody>
    </cdr:sp>
  </cdr:relSizeAnchor>
  <cdr:relSizeAnchor xmlns:cdr="http://schemas.openxmlformats.org/drawingml/2006/chartDrawing">
    <cdr:from>
      <cdr:x>0.12872</cdr:x>
      <cdr:y>0.66694</cdr:y>
    </cdr:from>
    <cdr:to>
      <cdr:x>0.25194</cdr:x>
      <cdr:y>0.73002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463103CE-A95A-46AD-A78A-425C1C5183C2}"/>
            </a:ext>
          </a:extLst>
        </cdr:cNvPr>
        <cdr:cNvSpPr txBox="1"/>
      </cdr:nvSpPr>
      <cdr:spPr>
        <a:xfrm xmlns:a="http://schemas.openxmlformats.org/drawingml/2006/main">
          <a:off x="984250" y="3827463"/>
          <a:ext cx="942165" cy="3620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2614 / 1997</a:t>
          </a:r>
        </a:p>
      </cdr:txBody>
    </cdr:sp>
  </cdr:relSizeAnchor>
  <cdr:relSizeAnchor xmlns:cdr="http://schemas.openxmlformats.org/drawingml/2006/chartDrawing">
    <cdr:from>
      <cdr:x>0.43258</cdr:x>
      <cdr:y>0.5508</cdr:y>
    </cdr:from>
    <cdr:to>
      <cdr:x>0.56711</cdr:x>
      <cdr:y>0.69231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FF6F4E99-4D76-4CA4-81F6-1E0841540B6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307560" y="3160924"/>
          <a:ext cx="1028700" cy="812132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N20" totalsRowCount="1">
  <autoFilter ref="A1:BN19" xr:uid="{00000000-0009-0000-0100-000001000000}"/>
  <sortState xmlns:xlrd2="http://schemas.microsoft.com/office/spreadsheetml/2017/richdata2" ref="A2:BN19">
    <sortCondition descending="1" ref="D1:D19"/>
  </sortState>
  <tableColumns count="66">
    <tableColumn id="1" xr3:uid="{00000000-0010-0000-0000-000001000000}" name="Rank"/>
    <tableColumn id="2" xr3:uid="{00000000-0010-0000-0000-000002000000}" name="team"/>
    <tableColumn id="57" xr3:uid="{00000000-0010-0000-0000-000039000000}" name="Ratio Pts" totalsRowFunction="average" totalsRowDxfId="35" dataCellStyle="Percent">
      <calculatedColumnFormula>Table1[[#This Row],[Points]]/Table1[[#This Row],[xPoints]]</calculatedColumnFormula>
    </tableColumn>
    <tableColumn id="58" xr3:uid="{5351872D-856E-4E5E-98A8-AAFBDCD5618B}" name="xPPM" dataDxfId="34" dataCellStyle="Percent">
      <calculatedColumnFormula>(Table1[[#This Row],[xWins]]*3+Table1[[#This Row],[xDraws]])/(Table1[[#This Row],[Wins]]+Table1[[#This Row],[Draws]]+Table1[[#This Row],[Losses]])</calculatedColumnFormula>
    </tableColumn>
    <tableColumn id="3" xr3:uid="{00000000-0010-0000-0000-000003000000}" name="Points" totalsRowFunction="sum"/>
    <tableColumn id="4" xr3:uid="{00000000-0010-0000-0000-000004000000}" name="xPoints" totalsRowFunction="sum"/>
    <tableColumn id="5" xr3:uid="{00000000-0010-0000-0000-000005000000}" name="Wins" totalsRowFunction="sum"/>
    <tableColumn id="6" xr3:uid="{00000000-0010-0000-0000-000006000000}" name="Draws" totalsRowFunction="sum"/>
    <tableColumn id="7" xr3:uid="{00000000-0010-0000-0000-000007000000}" name="Losses" totalsRowFunction="sum"/>
    <tableColumn id="8" xr3:uid="{00000000-0010-0000-0000-000008000000}" name="xWins" totalsRowFunction="sum"/>
    <tableColumn id="9" xr3:uid="{00000000-0010-0000-0000-000009000000}" name="xDraws" totalsRowFunction="sum"/>
    <tableColumn id="10" xr3:uid="{00000000-0010-0000-0000-00000A000000}" name="xLosses" totalsRowFunction="sum"/>
    <tableColumn id="11" xr3:uid="{00000000-0010-0000-0000-00000B000000}" name="GoalDiff"/>
    <tableColumn id="12" xr3:uid="{00000000-0010-0000-0000-00000C000000}" name="xGoalDiff"/>
    <tableColumn id="13" xr3:uid="{00000000-0010-0000-0000-00000D000000}" name="GoalsF_Diff"/>
    <tableColumn id="14" xr3:uid="{00000000-0010-0000-0000-00000E000000}" name="GoalsA_Diff"/>
    <tableColumn id="60" xr3:uid="{00000000-0010-0000-0000-00003C000000}" name="RGoalsF" totalsRowFunction="average" totalsRowDxfId="33" dataCellStyle="Percent">
      <calculatedColumnFormula>Table1[[#This Row],[GoalsF]]/Table1[[#This Row],[xGoalsF]]</calculatedColumnFormula>
    </tableColumn>
    <tableColumn id="15" xr3:uid="{00000000-0010-0000-0000-00000F000000}" name="GoalsF" totalsRowFunction="sum"/>
    <tableColumn id="16" xr3:uid="{00000000-0010-0000-0000-000010000000}" name="xGoalsF" totalsRowFunction="custom">
      <totalsRowFormula>SUM(Table1[xGoalsF])</totalsRowFormula>
    </tableColumn>
    <tableColumn id="61" xr3:uid="{00000000-0010-0000-0000-00003D000000}" name="RGoalsA" dataCellStyle="Percent">
      <calculatedColumnFormula>Table1[[#This Row],[GoalsA]]/Table1[[#This Row],[xGoalsA]]</calculatedColumnFormula>
    </tableColumn>
    <tableColumn id="17" xr3:uid="{00000000-0010-0000-0000-000011000000}" name="GoalsA" totalsRowFunction="sum"/>
    <tableColumn id="18" xr3:uid="{00000000-0010-0000-0000-000012000000}" name="xGoalsA"/>
    <tableColumn id="53" xr3:uid="{00000000-0010-0000-0000-000035000000}" name="2HTGoalsF" totalsRowFunction="sum" dataDxfId="32">
      <calculatedColumnFormula>Table1[[#This Row],[GoalsF]]-Table1[[#This Row],[HTGoalsF]]</calculatedColumnFormula>
    </tableColumn>
    <tableColumn id="54" xr3:uid="{00000000-0010-0000-0000-000036000000}" name="x2HTGoalsF" totalsRowFunction="sum" dataDxfId="31">
      <calculatedColumnFormula>Table1[[#This Row],[xGoalsF]]-Table1[[#This Row],[xHTGoalsF]]</calculatedColumnFormula>
    </tableColumn>
    <tableColumn id="55" xr3:uid="{00000000-0010-0000-0000-000037000000}" name="2HTGoalsA" dataDxfId="30">
      <calculatedColumnFormula>Table1[[#This Row],[GoalsA]]-Table1[[#This Row],[HTGoalsA]]</calculatedColumnFormula>
    </tableColumn>
    <tableColumn id="56" xr3:uid="{00000000-0010-0000-0000-000038000000}" name="x2HTGoalsA" dataDxfId="29">
      <calculatedColumnFormula>Table1[[#This Row],[xGoalsA]]-Table1[[#This Row],[xHTGoalsA]]</calculatedColumnFormula>
    </tableColumn>
    <tableColumn id="19" xr3:uid="{00000000-0010-0000-0000-000013000000}" name="HTGoalsF" totalsRowFunction="sum"/>
    <tableColumn id="20" xr3:uid="{00000000-0010-0000-0000-000014000000}" name="xHTGoalsF" totalsRowFunction="sum"/>
    <tableColumn id="21" xr3:uid="{00000000-0010-0000-0000-000015000000}" name="HTGoalsA"/>
    <tableColumn id="22" xr3:uid="{00000000-0010-0000-0000-000016000000}" name="xHTGoalsA"/>
    <tableColumn id="62" xr3:uid="{00000000-0010-0000-0000-00003E000000}" name="Shots_Diff" dataDxfId="28">
      <calculatedColumnFormula>Table1[[#This Row],[ShotsF100]]-Table1[[#This Row],[ShotsTF100]]</calculatedColumnFormula>
    </tableColumn>
    <tableColumn id="23" xr3:uid="{00000000-0010-0000-0000-000017000000}" name="ShotsF100" totalsRowFunction="average" dataCellStyle="Percent"/>
    <tableColumn id="24" xr3:uid="{00000000-0010-0000-0000-000018000000}" name="ShotsF" totalsRowFunction="sum"/>
    <tableColumn id="25" xr3:uid="{00000000-0010-0000-0000-000019000000}" name="xShotsF" totalsRowFunction="sum"/>
    <tableColumn id="63" xr3:uid="{00000000-0010-0000-0000-00003F000000}" name="ShotsA_Diff" dataDxfId="27">
      <calculatedColumnFormula>Table1[[#This Row],[ShotsA100]]-Table1[[#This Row],[ShotsTA100]]</calculatedColumnFormula>
    </tableColumn>
    <tableColumn id="26" xr3:uid="{00000000-0010-0000-0000-00001A000000}" name="ShotsA100" totalsRowFunction="average" totalsRowDxfId="26" dataCellStyle="Percent"/>
    <tableColumn id="27" xr3:uid="{00000000-0010-0000-0000-00001B000000}" name="ShotsA"/>
    <tableColumn id="28" xr3:uid="{00000000-0010-0000-0000-00001C000000}" name="xShotsA" totalsRowFunction="stdDev"/>
    <tableColumn id="29" xr3:uid="{00000000-0010-0000-0000-00001D000000}" name="ShotsTF100" totalsRowFunction="average" dataCellStyle="Percent"/>
    <tableColumn id="30" xr3:uid="{00000000-0010-0000-0000-00001E000000}" name="ShotsTF" totalsRowFunction="sum"/>
    <tableColumn id="31" xr3:uid="{00000000-0010-0000-0000-00001F000000}" name="xShotsTF" totalsRowFunction="sum"/>
    <tableColumn id="59" xr3:uid="{CE03A508-13F7-429C-B2FD-6A5877E842D0}" name="ShotsMT" totalsRowFunction="sum" dataDxfId="25">
      <calculatedColumnFormula>Table1[[#This Row],[ShotsF]]-Table1[[#This Row],[ShotsTF]]</calculatedColumnFormula>
    </tableColumn>
    <tableColumn id="64" xr3:uid="{1DFD9D08-EFEC-4F83-8643-AB3FEC7B1AF9}" name="xShotsMT" totalsRowFunction="sum" dataDxfId="24">
      <calculatedColumnFormula>Table1[[#This Row],[xShotsF]]-Table1[[#This Row],[xShotsTF]]</calculatedColumnFormula>
    </tableColumn>
    <tableColumn id="32" xr3:uid="{00000000-0010-0000-0000-000020000000}" name="ShotsTA100" dataCellStyle="Percent"/>
    <tableColumn id="33" xr3:uid="{00000000-0010-0000-0000-000021000000}" name="ShotsTA"/>
    <tableColumn id="34" xr3:uid="{00000000-0010-0000-0000-000022000000}" name="xShotsTA"/>
    <tableColumn id="66" xr3:uid="{83CE19A3-E18D-4EC8-9DD7-3B25D5FFAB45}" name="ShotsMTA" dataDxfId="23">
      <calculatedColumnFormula>Table1[[#This Row],[ShotsA]]-Table1[[#This Row],[ShotsTA]]</calculatedColumnFormula>
    </tableColumn>
    <tableColumn id="65" xr3:uid="{CE3D5BDD-4BE3-4818-90ED-7199DCBB5BE8}" name="xShotsMTA" dataDxfId="22">
      <calculatedColumnFormula>Table1[[#This Row],[xShotsA]]-Table1[[#This Row],[xShotsTA]]</calculatedColumnFormula>
    </tableColumn>
    <tableColumn id="35" xr3:uid="{00000000-0010-0000-0000-000023000000}" name="Fouls100" totalsRowFunction="average" totalsRowDxfId="21" dataCellStyle="Percent"/>
    <tableColumn id="36" xr3:uid="{00000000-0010-0000-0000-000024000000}" name="Fouls" totalsRowFunction="stdDev"/>
    <tableColumn id="37" xr3:uid="{00000000-0010-0000-0000-000025000000}" name="xFouls" totalsRowFunction="stdDev"/>
    <tableColumn id="38" xr3:uid="{00000000-0010-0000-0000-000026000000}" name="FoulsA100" totalsRowFunction="average" totalsRowDxfId="20" dataCellStyle="Percent"/>
    <tableColumn id="39" xr3:uid="{00000000-0010-0000-0000-000027000000}" name="FoulsA"/>
    <tableColumn id="40" xr3:uid="{00000000-0010-0000-0000-000028000000}" name="xFoulsA"/>
    <tableColumn id="41" xr3:uid="{00000000-0010-0000-0000-000029000000}" name="YCard100" totalsRowFunction="average" totalsRowDxfId="19" dataCellStyle="Percent"/>
    <tableColumn id="42" xr3:uid="{00000000-0010-0000-0000-00002A000000}" name="YCard" totalsRowFunction="sum" totalsRowDxfId="1"/>
    <tableColumn id="43" xr3:uid="{00000000-0010-0000-0000-00002B000000}" name="xYCard" totalsRowFunction="sum" totalsRowDxfId="0"/>
    <tableColumn id="44" xr3:uid="{00000000-0010-0000-0000-00002C000000}" name="YCardA100" dataCellStyle="Percent"/>
    <tableColumn id="45" xr3:uid="{00000000-0010-0000-0000-00002D000000}" name="YCardA"/>
    <tableColumn id="46" xr3:uid="{00000000-0010-0000-0000-00002E000000}" name="xYCardA"/>
    <tableColumn id="47" xr3:uid="{00000000-0010-0000-0000-00002F000000}" name="RCard100" totalsRowFunction="average"/>
    <tableColumn id="48" xr3:uid="{00000000-0010-0000-0000-000030000000}" name="RCard" totalsRowFunction="sum" totalsRowDxfId="18"/>
    <tableColumn id="49" xr3:uid="{00000000-0010-0000-0000-000031000000}" name="xRCard" totalsRowFunction="sum"/>
    <tableColumn id="50" xr3:uid="{00000000-0010-0000-0000-000032000000}" name="RCardA100"/>
    <tableColumn id="51" xr3:uid="{00000000-0010-0000-0000-000033000000}" name="RCardA" totalsRowFunction="average"/>
    <tableColumn id="52" xr3:uid="{00000000-0010-0000-0000-000034000000}" name="xRCard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1:D20" totalsRowCount="1">
  <autoFilter ref="A1:D19" xr:uid="{00000000-0009-0000-0100-000007000000}"/>
  <tableColumns count="4">
    <tableColumn id="1" xr3:uid="{00000000-0010-0000-0100-000001000000}" name="team"/>
    <tableColumn id="2" xr3:uid="{00000000-0010-0000-0100-000002000000}" name="Disparos" totalsRowFunction="custom" totalsRowDxfId="17" dataCellStyle="Percent" totalsRowCellStyle="Percent">
      <totalsRowFormula>AVERAGE(Table7[Disparos])</totalsRowFormula>
    </tableColumn>
    <tableColumn id="3" xr3:uid="{00000000-0010-0000-0100-000003000000}" name="Disparos a puerta" totalsRowFunction="average" totalsRowDxfId="16" dataCellStyle="Percent" totalsRowCellStyle="Percent"/>
    <tableColumn id="4" xr3:uid="{00000000-0010-0000-0100-000004000000}" name="Gap" dataDxfId="15">
      <calculatedColumnFormula>Table7[[#This Row],[Disparos]]-Table7[[#This Row],[Disparos a puerta]]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1:E19" totalsRowShown="0">
  <autoFilter ref="B1:E19" xr:uid="{00000000-0009-0000-0100-000002000000}"/>
  <sortState xmlns:xlrd2="http://schemas.microsoft.com/office/spreadsheetml/2017/richdata2" ref="B2:E19">
    <sortCondition descending="1" ref="E1:E19"/>
  </sortState>
  <tableColumns count="4">
    <tableColumn id="1" xr3:uid="{00000000-0010-0000-0200-000001000000}" name="team" dataDxfId="14"/>
    <tableColumn id="2" xr3:uid="{00000000-0010-0000-0200-000002000000}" name="Puntos Obtenidos"/>
    <tableColumn id="3" xr3:uid="{00000000-0010-0000-0200-000003000000}" name="Puntos Esperados" dataDxfId="13"/>
    <tableColumn id="4" xr3:uid="{00000000-0010-0000-0200-000004000000}" name="Difference" dataDxfId="12" dataCellStyle="Percent">
      <calculatedColumnFormula>Table2[[#This Row],[Puntos Obtenidos]]-Table2[[#This Row],[Puntos Esperados]]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24" displayName="Table24" ref="B1:E19" totalsRowShown="0">
  <autoFilter ref="B1:E19" xr:uid="{00000000-0009-0000-0100-000003000000}"/>
  <sortState xmlns:xlrd2="http://schemas.microsoft.com/office/spreadsheetml/2017/richdata2" ref="B2:E19">
    <sortCondition descending="1" ref="C1:C19"/>
  </sortState>
  <tableColumns count="4">
    <tableColumn id="1" xr3:uid="{00000000-0010-0000-0300-000001000000}" name="team" dataDxfId="11"/>
    <tableColumn id="2" xr3:uid="{00000000-0010-0000-0300-000002000000}" name="Goles anotados"/>
    <tableColumn id="3" xr3:uid="{00000000-0010-0000-0300-000003000000}" name="Goles esperados" dataDxfId="10"/>
    <tableColumn id="4" xr3:uid="{00000000-0010-0000-0300-000004000000}" name="Difference" dataDxfId="9" dataCellStyle="Percent">
      <calculatedColumnFormula>Table24[[#This Row],[Goles anotados]]-Table24[[#This Row],[Goles esperados]]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245" displayName="Table245" ref="B1:F19" totalsRowShown="0">
  <autoFilter ref="B1:F19" xr:uid="{00000000-0009-0000-0100-000004000000}"/>
  <sortState xmlns:xlrd2="http://schemas.microsoft.com/office/spreadsheetml/2017/richdata2" ref="B2:F19">
    <sortCondition ref="C1:C19"/>
  </sortState>
  <tableColumns count="5">
    <tableColumn id="1" xr3:uid="{00000000-0010-0000-0400-000001000000}" name="team" dataDxfId="8"/>
    <tableColumn id="2" xr3:uid="{00000000-0010-0000-0400-000002000000}" name="Goles en contra"/>
    <tableColumn id="3" xr3:uid="{00000000-0010-0000-0400-000003000000}" name="Goles en contra esperados" dataDxfId="7"/>
    <tableColumn id="4" xr3:uid="{00000000-0010-0000-0400-000004000000}" name="Ratio" dataCellStyle="Percent">
      <calculatedColumnFormula>Table245[[#This Row],[Goles en contra]]/Table245[[#This Row],[Goles en contra esperados]]</calculatedColumnFormula>
    </tableColumn>
    <tableColumn id="5" xr3:uid="{00000000-0010-0000-0400-000005000000}" name="Difference" dataDxfId="6">
      <calculatedColumnFormula>Table245[[#This Row],[Goles en contra]]-Table245[[#This Row],[Goles en contra esperados]]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26" displayName="Table26" ref="B1:E19" totalsRowShown="0">
  <autoFilter ref="B1:E19" xr:uid="{00000000-0009-0000-0100-000005000000}"/>
  <sortState xmlns:xlrd2="http://schemas.microsoft.com/office/spreadsheetml/2017/richdata2" ref="B2:E19">
    <sortCondition descending="1" ref="E1:E19"/>
  </sortState>
  <tableColumns count="4">
    <tableColumn id="1" xr3:uid="{00000000-0010-0000-0500-000001000000}" name="team" dataDxfId="5"/>
    <tableColumn id="2" xr3:uid="{00000000-0010-0000-0500-000002000000}" name="Shots"/>
    <tableColumn id="3" xr3:uid="{00000000-0010-0000-0500-000003000000}" name="Expected Shots" dataDxfId="4"/>
    <tableColumn id="4" xr3:uid="{00000000-0010-0000-0500-000004000000}" name="Ratio" dataCellStyle="Percent">
      <calculatedColumnFormula>Table26[[#This Row],[Shots]]/Table26[[#This Row],[Expected Shots]]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267" displayName="Table267" ref="B1:E19" totalsRowShown="0">
  <autoFilter ref="B1:E19" xr:uid="{00000000-0009-0000-0100-000006000000}"/>
  <sortState xmlns:xlrd2="http://schemas.microsoft.com/office/spreadsheetml/2017/richdata2" ref="B2:E19">
    <sortCondition descending="1" ref="E1:E19"/>
  </sortState>
  <tableColumns count="4">
    <tableColumn id="1" xr3:uid="{00000000-0010-0000-0600-000001000000}" name="team" dataDxfId="3"/>
    <tableColumn id="2" xr3:uid="{00000000-0010-0000-0600-000002000000}" name="Disparos en contra"/>
    <tableColumn id="3" xr3:uid="{00000000-0010-0000-0600-000003000000}" name="Disparos en contra esperados" dataDxfId="2"/>
    <tableColumn id="4" xr3:uid="{00000000-0010-0000-0600-000004000000}" name="Ratio" dataCellStyle="Percent">
      <calculatedColumnFormula>Table267[[#This Row],[Disparos en contra]]/Table267[[#This Row],[Disparos en contra esperados]]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2"/>
  <sheetViews>
    <sheetView topLeftCell="A72" zoomScale="90" zoomScaleNormal="90" workbookViewId="0">
      <pane xSplit="2" topLeftCell="BW1" activePane="topRight" state="frozen"/>
      <selection pane="topRight" activeCell="CO112" sqref="CO112"/>
    </sheetView>
  </sheetViews>
  <sheetFormatPr defaultRowHeight="14.25" x14ac:dyDescent="0.45"/>
  <cols>
    <col min="2" max="2" width="15.73046875" bestFit="1" customWidth="1"/>
    <col min="3" max="3" width="10.06640625" bestFit="1" customWidth="1"/>
    <col min="4" max="4" width="10.06640625" customWidth="1"/>
    <col min="14" max="14" width="9.9296875" customWidth="1"/>
    <col min="15" max="15" width="11.59765625" customWidth="1"/>
    <col min="16" max="16" width="11.86328125" customWidth="1"/>
    <col min="17" max="17" width="9.33203125" bestFit="1" customWidth="1"/>
    <col min="20" max="20" width="9.6640625" bestFit="1" customWidth="1"/>
    <col min="23" max="23" width="11.3984375" bestFit="1" customWidth="1"/>
    <col min="24" max="24" width="12.265625" bestFit="1" customWidth="1"/>
    <col min="25" max="25" width="11.73046875" bestFit="1" customWidth="1"/>
    <col min="26" max="26" width="12.59765625" bestFit="1" customWidth="1"/>
    <col min="27" max="27" width="9.9296875" customWidth="1"/>
    <col min="28" max="28" width="10.796875" customWidth="1"/>
    <col min="29" max="29" width="10.19921875" customWidth="1"/>
    <col min="30" max="30" width="11.06640625" customWidth="1"/>
    <col min="31" max="31" width="11.265625" bestFit="1" customWidth="1"/>
    <col min="32" max="32" width="11.73046875" bestFit="1" customWidth="1"/>
    <col min="35" max="35" width="12.46484375" hidden="1" customWidth="1"/>
    <col min="36" max="36" width="11.6640625" hidden="1" customWidth="1"/>
    <col min="37" max="37" width="8.796875" bestFit="1" customWidth="1"/>
    <col min="38" max="38" width="11.73046875" bestFit="1" customWidth="1"/>
    <col min="39" max="39" width="12.265625" bestFit="1" customWidth="1"/>
    <col min="41" max="41" width="9.53125" customWidth="1"/>
    <col min="42" max="42" width="10.06640625" bestFit="1" customWidth="1"/>
    <col min="43" max="43" width="10.9296875" bestFit="1" customWidth="1"/>
    <col min="44" max="44" width="12.59765625" bestFit="1" customWidth="1"/>
    <col min="45" max="45" width="10.6640625" customWidth="1"/>
    <col min="46" max="46" width="11.73046875" bestFit="1" customWidth="1"/>
    <col min="47" max="48" width="11.73046875" customWidth="1"/>
    <col min="49" max="49" width="10.19921875" bestFit="1" customWidth="1"/>
    <col min="52" max="52" width="11.3984375" bestFit="1" customWidth="1"/>
    <col min="55" max="55" width="10.59765625" bestFit="1" customWidth="1"/>
    <col min="58" max="58" width="11.796875" bestFit="1" customWidth="1"/>
    <col min="60" max="60" width="9.1328125" customWidth="1"/>
    <col min="61" max="61" width="10.265625" customWidth="1"/>
    <col min="64" max="64" width="11.3984375" customWidth="1"/>
    <col min="66" max="66" width="9.265625" customWidth="1"/>
    <col min="69" max="69" width="10.19921875" bestFit="1" customWidth="1"/>
    <col min="75" max="75" width="23.59765625" bestFit="1" customWidth="1"/>
  </cols>
  <sheetData>
    <row r="1" spans="1:66" x14ac:dyDescent="0.45">
      <c r="A1" t="s">
        <v>69</v>
      </c>
      <c r="B1" t="s">
        <v>0</v>
      </c>
      <c r="C1" s="13" t="s">
        <v>98</v>
      </c>
      <c r="D1" s="10" t="s">
        <v>156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s="13" t="s">
        <v>100</v>
      </c>
      <c r="R1" t="s">
        <v>13</v>
      </c>
      <c r="S1" t="s">
        <v>14</v>
      </c>
      <c r="T1" s="13" t="s">
        <v>101</v>
      </c>
      <c r="U1" t="s">
        <v>15</v>
      </c>
      <c r="V1" t="s">
        <v>16</v>
      </c>
      <c r="W1" t="s">
        <v>71</v>
      </c>
      <c r="X1" t="s">
        <v>72</v>
      </c>
      <c r="Y1" t="s">
        <v>73</v>
      </c>
      <c r="Z1" t="s">
        <v>74</v>
      </c>
      <c r="AA1" t="s">
        <v>17</v>
      </c>
      <c r="AB1" t="s">
        <v>18</v>
      </c>
      <c r="AC1" t="s">
        <v>19</v>
      </c>
      <c r="AD1" t="s">
        <v>20</v>
      </c>
      <c r="AE1" s="8" t="s">
        <v>111</v>
      </c>
      <c r="AF1" s="10" t="s">
        <v>21</v>
      </c>
      <c r="AG1" t="s">
        <v>22</v>
      </c>
      <c r="AH1" t="s">
        <v>23</v>
      </c>
      <c r="AI1" s="8" t="s">
        <v>113</v>
      </c>
      <c r="AJ1" s="10" t="s">
        <v>24</v>
      </c>
      <c r="AK1" t="s">
        <v>25</v>
      </c>
      <c r="AL1" t="s">
        <v>26</v>
      </c>
      <c r="AM1" s="10" t="s">
        <v>27</v>
      </c>
      <c r="AN1" t="s">
        <v>28</v>
      </c>
      <c r="AO1" t="s">
        <v>29</v>
      </c>
      <c r="AP1" t="s">
        <v>169</v>
      </c>
      <c r="AQ1" t="s">
        <v>170</v>
      </c>
      <c r="AR1" s="10" t="s">
        <v>30</v>
      </c>
      <c r="AS1" t="s">
        <v>31</v>
      </c>
      <c r="AT1" t="s">
        <v>32</v>
      </c>
      <c r="AU1" t="s">
        <v>184</v>
      </c>
      <c r="AV1" t="s">
        <v>185</v>
      </c>
      <c r="AW1" s="10" t="s">
        <v>33</v>
      </c>
      <c r="AX1" t="s">
        <v>34</v>
      </c>
      <c r="AY1" t="s">
        <v>35</v>
      </c>
      <c r="AZ1" s="10" t="s">
        <v>36</v>
      </c>
      <c r="BA1" t="s">
        <v>37</v>
      </c>
      <c r="BB1" t="s">
        <v>38</v>
      </c>
      <c r="BC1" s="10" t="s">
        <v>39</v>
      </c>
      <c r="BD1" t="s">
        <v>40</v>
      </c>
      <c r="BE1" t="s">
        <v>41</v>
      </c>
      <c r="BF1" s="10" t="s">
        <v>42</v>
      </c>
      <c r="BG1" t="s">
        <v>43</v>
      </c>
      <c r="BH1" t="s">
        <v>44</v>
      </c>
      <c r="BI1" s="10" t="s">
        <v>45</v>
      </c>
      <c r="BJ1" t="s">
        <v>46</v>
      </c>
      <c r="BK1" t="s">
        <v>47</v>
      </c>
      <c r="BL1" s="10" t="s">
        <v>48</v>
      </c>
      <c r="BM1" t="s">
        <v>49</v>
      </c>
      <c r="BN1" t="s">
        <v>50</v>
      </c>
    </row>
    <row r="2" spans="1:66" x14ac:dyDescent="0.45">
      <c r="A2">
        <v>8</v>
      </c>
      <c r="B2" t="s">
        <v>59</v>
      </c>
      <c r="C2" s="9">
        <f>Table1[[#This Row],[Points]]/Table1[[#This Row],[xPoints]]</f>
        <v>1.2038378808674994</v>
      </c>
      <c r="D2" s="18">
        <f>(Table1[[#This Row],[xWins]]*3+Table1[[#This Row],[xDraws]])/(Table1[[#This Row],[Wins]]+Table1[[#This Row],[Draws]]+Table1[[#This Row],[Losses]])</f>
        <v>1.710216601531227</v>
      </c>
      <c r="E2">
        <v>35</v>
      </c>
      <c r="F2">
        <v>29.073682226030801</v>
      </c>
      <c r="G2">
        <v>10</v>
      </c>
      <c r="H2">
        <v>5</v>
      </c>
      <c r="I2">
        <v>2</v>
      </c>
      <c r="J2">
        <v>8.1315693261090498</v>
      </c>
      <c r="K2">
        <v>4.6789742477037102</v>
      </c>
      <c r="L2">
        <v>4.1894564261872196</v>
      </c>
      <c r="M2">
        <v>11</v>
      </c>
      <c r="N2">
        <v>8.4725686582388295</v>
      </c>
      <c r="O2">
        <v>-5.5425877104761998</v>
      </c>
      <c r="P2">
        <v>8.0700190522373703</v>
      </c>
      <c r="Q2" s="9">
        <f>Table1[[#This Row],[GoalsF]]/Table1[[#This Row],[xGoalsF]]</f>
        <v>0.79118133578631544</v>
      </c>
      <c r="R2">
        <v>21</v>
      </c>
      <c r="S2">
        <v>26.542587710476202</v>
      </c>
      <c r="T2" s="9">
        <f>Table1[[#This Row],[GoalsA]]/Table1[[#This Row],[xGoalsA]]</f>
        <v>0.55340284761691338</v>
      </c>
      <c r="U2">
        <v>10</v>
      </c>
      <c r="V2">
        <v>18.070019052237299</v>
      </c>
      <c r="W2">
        <f>Table1[[#This Row],[GoalsF]]-Table1[[#This Row],[HTGoalsF]]</f>
        <v>13</v>
      </c>
      <c r="X2">
        <f>Table1[[#This Row],[xGoalsF]]-Table1[[#This Row],[xHTGoalsF]]</f>
        <v>14.972459475816201</v>
      </c>
      <c r="Y2">
        <f>Table1[[#This Row],[GoalsA]]-Table1[[#This Row],[HTGoalsA]]</f>
        <v>4</v>
      </c>
      <c r="Z2">
        <f>Table1[[#This Row],[xGoalsA]]-Table1[[#This Row],[xHTGoalsA]]</f>
        <v>10.129681165239079</v>
      </c>
      <c r="AA2">
        <v>8</v>
      </c>
      <c r="AB2">
        <v>11.57012823466</v>
      </c>
      <c r="AC2">
        <v>6</v>
      </c>
      <c r="AD2">
        <v>7.9403378869982202</v>
      </c>
      <c r="AE2" s="16">
        <f>Table1[[#This Row],[ShotsF100]]-Table1[[#This Row],[ShotsTF100]]</f>
        <v>0.2095989252240571</v>
      </c>
      <c r="AF2" s="9">
        <v>1.04178272700795</v>
      </c>
      <c r="AG2">
        <v>224</v>
      </c>
      <c r="AH2">
        <v>215.01604335803901</v>
      </c>
      <c r="AI2" s="16">
        <f>Table1[[#This Row],[ShotsA100]]-Table1[[#This Row],[ShotsTA100]]</f>
        <v>9.9774033855740019E-2</v>
      </c>
      <c r="AJ2" s="9">
        <v>0.81074089014261297</v>
      </c>
      <c r="AK2">
        <v>140</v>
      </c>
      <c r="AL2">
        <v>172.68155794556401</v>
      </c>
      <c r="AM2" s="9">
        <v>0.83218380178389295</v>
      </c>
      <c r="AN2">
        <v>77</v>
      </c>
      <c r="AO2">
        <v>92.527636124303996</v>
      </c>
      <c r="AP2">
        <f>Table1[[#This Row],[ShotsF]]-Table1[[#This Row],[ShotsTF]]</f>
        <v>147</v>
      </c>
      <c r="AQ2">
        <f>Table1[[#This Row],[xShotsF]]-Table1[[#This Row],[xShotsTF]]</f>
        <v>122.48840723373502</v>
      </c>
      <c r="AR2" s="9">
        <v>0.71096685628687295</v>
      </c>
      <c r="AS2">
        <v>51</v>
      </c>
      <c r="AT2">
        <v>71.733301698977598</v>
      </c>
      <c r="AU2">
        <f>Table1[[#This Row],[ShotsA]]-Table1[[#This Row],[ShotsTA]]</f>
        <v>89</v>
      </c>
      <c r="AV2">
        <f>Table1[[#This Row],[xShotsA]]-Table1[[#This Row],[xShotsTA]]</f>
        <v>100.94825624658641</v>
      </c>
      <c r="AW2" s="9">
        <v>0.96995289042377197</v>
      </c>
      <c r="AX2">
        <v>212</v>
      </c>
      <c r="AY2">
        <v>218.567316096534</v>
      </c>
      <c r="AZ2" s="9">
        <v>1.05531455230947</v>
      </c>
      <c r="BA2">
        <v>238</v>
      </c>
      <c r="BB2">
        <v>225.52517586264199</v>
      </c>
      <c r="BC2" s="9">
        <v>0.98110248712893999</v>
      </c>
      <c r="BD2">
        <v>27</v>
      </c>
      <c r="BE2">
        <v>27.520060701315401</v>
      </c>
      <c r="BF2" s="9">
        <v>1.08006225637414</v>
      </c>
      <c r="BG2">
        <v>34</v>
      </c>
      <c r="BH2">
        <v>31.479666842669499</v>
      </c>
      <c r="BI2">
        <v>2.5261006616098598</v>
      </c>
      <c r="BJ2">
        <v>4</v>
      </c>
      <c r="BK2">
        <v>1.58346817321635</v>
      </c>
      <c r="BL2">
        <v>2.5404769869616501</v>
      </c>
      <c r="BM2">
        <v>5</v>
      </c>
      <c r="BN2">
        <v>1.96813434077978</v>
      </c>
    </row>
    <row r="3" spans="1:66" x14ac:dyDescent="0.45">
      <c r="A3">
        <v>0</v>
      </c>
      <c r="B3" t="s">
        <v>51</v>
      </c>
      <c r="C3" s="9">
        <f>Table1[[#This Row],[Points]]/Table1[[#This Row],[xPoints]]</f>
        <v>0.76423204821912893</v>
      </c>
      <c r="D3" s="18">
        <f>(Table1[[#This Row],[xWins]]*3+Table1[[#This Row],[xDraws]])/(Table1[[#This Row],[Wins]]+Table1[[#This Row],[Draws]]+Table1[[#This Row],[Losses]])</f>
        <v>1.6933569458052369</v>
      </c>
      <c r="E3">
        <v>22</v>
      </c>
      <c r="F3">
        <v>28.787068078689</v>
      </c>
      <c r="G3">
        <v>5</v>
      </c>
      <c r="H3">
        <v>7</v>
      </c>
      <c r="I3">
        <v>5</v>
      </c>
      <c r="J3">
        <v>8.0652760488726791</v>
      </c>
      <c r="K3">
        <v>4.59123993207099</v>
      </c>
      <c r="L3">
        <v>4.3434840190563202</v>
      </c>
      <c r="M3">
        <v>3</v>
      </c>
      <c r="N3">
        <v>8.22704451042088</v>
      </c>
      <c r="O3">
        <v>-7.5015774162334896</v>
      </c>
      <c r="P3">
        <v>2.27453290581261</v>
      </c>
      <c r="Q3" s="9">
        <f>Table1[[#This Row],[GoalsF]]/Table1[[#This Row],[xGoalsF]]</f>
        <v>0.71693845621286123</v>
      </c>
      <c r="R3">
        <v>19</v>
      </c>
      <c r="S3">
        <v>26.501577416233399</v>
      </c>
      <c r="T3" s="9">
        <f>Table1[[#This Row],[GoalsA]]/Table1[[#This Row],[xGoalsA]]</f>
        <v>0.87553537387053348</v>
      </c>
      <c r="U3">
        <v>16</v>
      </c>
      <c r="V3">
        <v>18.274532905812599</v>
      </c>
      <c r="W3">
        <f>Table1[[#This Row],[GoalsF]]-Table1[[#This Row],[HTGoalsF]]</f>
        <v>8</v>
      </c>
      <c r="X3">
        <f>Table1[[#This Row],[xGoalsF]]-Table1[[#This Row],[xHTGoalsF]]</f>
        <v>14.950644231587999</v>
      </c>
      <c r="Y3">
        <f>Table1[[#This Row],[GoalsA]]-Table1[[#This Row],[HTGoalsA]]</f>
        <v>10</v>
      </c>
      <c r="Z3">
        <f>Table1[[#This Row],[xGoalsA]]-Table1[[#This Row],[xHTGoalsA]]</f>
        <v>10.20489424391624</v>
      </c>
      <c r="AA3">
        <v>11</v>
      </c>
      <c r="AB3">
        <v>11.5509331846454</v>
      </c>
      <c r="AC3">
        <v>6</v>
      </c>
      <c r="AD3">
        <v>8.0696386618963594</v>
      </c>
      <c r="AE3" s="16">
        <f>Table1[[#This Row],[ShotsF100]]-Table1[[#This Row],[ShotsTF100]]</f>
        <v>0.20942529149568201</v>
      </c>
      <c r="AF3" s="9">
        <v>0.96128359474101099</v>
      </c>
      <c r="AG3">
        <v>205</v>
      </c>
      <c r="AH3">
        <v>213.25652608815301</v>
      </c>
      <c r="AI3" s="16">
        <f>Table1[[#This Row],[ShotsA100]]-Table1[[#This Row],[ShotsTA100]]</f>
        <v>0.24524686940166096</v>
      </c>
      <c r="AJ3" s="9">
        <v>1.07859873624223</v>
      </c>
      <c r="AK3">
        <v>188</v>
      </c>
      <c r="AL3">
        <v>174.300222764008</v>
      </c>
      <c r="AM3" s="9">
        <v>0.75185830324532898</v>
      </c>
      <c r="AN3">
        <v>69</v>
      </c>
      <c r="AO3">
        <v>91.772611544179995</v>
      </c>
      <c r="AP3">
        <f>Table1[[#This Row],[ShotsF]]-Table1[[#This Row],[ShotsTF]]</f>
        <v>136</v>
      </c>
      <c r="AQ3">
        <f>Table1[[#This Row],[xShotsF]]-Table1[[#This Row],[xShotsTF]]</f>
        <v>121.48391454397301</v>
      </c>
      <c r="AR3" s="9">
        <v>0.83335186684056906</v>
      </c>
      <c r="AS3">
        <v>60</v>
      </c>
      <c r="AT3">
        <v>71.998398740587106</v>
      </c>
      <c r="AU3">
        <f>Table1[[#This Row],[ShotsA]]-Table1[[#This Row],[ShotsTA]]</f>
        <v>128</v>
      </c>
      <c r="AV3">
        <f>Table1[[#This Row],[xShotsA]]-Table1[[#This Row],[xShotsTA]]</f>
        <v>102.30182402342089</v>
      </c>
      <c r="AW3" s="9">
        <v>0.98221637692366104</v>
      </c>
      <c r="AX3">
        <v>215</v>
      </c>
      <c r="AY3">
        <v>218.89270536639501</v>
      </c>
      <c r="AZ3" s="9">
        <v>1.0044619681009599</v>
      </c>
      <c r="BA3">
        <v>226</v>
      </c>
      <c r="BB3">
        <v>224.996074691883</v>
      </c>
      <c r="BC3" s="9">
        <v>1.1446817298001699</v>
      </c>
      <c r="BD3">
        <v>32</v>
      </c>
      <c r="BE3">
        <v>27.955368874094098</v>
      </c>
      <c r="BF3" s="9">
        <v>1.2769723722303301</v>
      </c>
      <c r="BG3">
        <v>40</v>
      </c>
      <c r="BH3">
        <v>31.324091945808298</v>
      </c>
      <c r="BI3">
        <v>3.6602315301732302</v>
      </c>
      <c r="BJ3">
        <v>6</v>
      </c>
      <c r="BK3">
        <v>1.63924056457598</v>
      </c>
      <c r="BL3">
        <v>2.0272640330730098</v>
      </c>
      <c r="BM3">
        <v>4</v>
      </c>
      <c r="BN3">
        <v>1.97310263228841</v>
      </c>
    </row>
    <row r="4" spans="1:66" x14ac:dyDescent="0.45">
      <c r="A4">
        <v>6</v>
      </c>
      <c r="B4" t="s">
        <v>57</v>
      </c>
      <c r="C4" s="9">
        <f>Table1[[#This Row],[Points]]/Table1[[#This Row],[xPoints]]</f>
        <v>1.0434184309739134</v>
      </c>
      <c r="D4" s="18">
        <f>(Table1[[#This Row],[xWins]]*3+Table1[[#This Row],[xDraws]])/(Table1[[#This Row],[Wins]]+Table1[[#This Row],[Draws]]+Table1[[#This Row],[Losses]])</f>
        <v>1.6348976616686057</v>
      </c>
      <c r="E4">
        <v>29</v>
      </c>
      <c r="F4">
        <v>27.793260248366298</v>
      </c>
      <c r="G4">
        <v>8</v>
      </c>
      <c r="H4">
        <v>5</v>
      </c>
      <c r="I4">
        <v>4</v>
      </c>
      <c r="J4">
        <v>7.6104900438632397</v>
      </c>
      <c r="K4">
        <v>4.9617901167765801</v>
      </c>
      <c r="L4">
        <v>4.4277198393601704</v>
      </c>
      <c r="M4">
        <v>11</v>
      </c>
      <c r="N4">
        <v>7.07267299656346</v>
      </c>
      <c r="O4">
        <v>-4.7167619649000398</v>
      </c>
      <c r="P4">
        <v>8.6440889683365807</v>
      </c>
      <c r="Q4" s="9">
        <f>Table1[[#This Row],[GoalsF]]/Table1[[#This Row],[xGoalsF]]</f>
        <v>0.81658803035398619</v>
      </c>
      <c r="R4">
        <v>21</v>
      </c>
      <c r="S4">
        <v>25.716761964900002</v>
      </c>
      <c r="T4" s="9">
        <f>Table1[[#This Row],[GoalsA]]/Table1[[#This Row],[xGoalsA]]</f>
        <v>0.53636302728350682</v>
      </c>
      <c r="U4">
        <v>10</v>
      </c>
      <c r="V4">
        <v>18.644088968336501</v>
      </c>
      <c r="W4">
        <f>Table1[[#This Row],[GoalsF]]-Table1[[#This Row],[HTGoalsF]]</f>
        <v>11</v>
      </c>
      <c r="X4">
        <f>Table1[[#This Row],[xGoalsF]]-Table1[[#This Row],[xHTGoalsF]]</f>
        <v>14.400691361486802</v>
      </c>
      <c r="Y4">
        <f>Table1[[#This Row],[GoalsA]]-Table1[[#This Row],[HTGoalsA]]</f>
        <v>5</v>
      </c>
      <c r="Z4">
        <f>Table1[[#This Row],[xGoalsA]]-Table1[[#This Row],[xHTGoalsA]]</f>
        <v>10.457849010303001</v>
      </c>
      <c r="AA4">
        <v>10</v>
      </c>
      <c r="AB4">
        <v>11.3160706034132</v>
      </c>
      <c r="AC4">
        <v>5</v>
      </c>
      <c r="AD4">
        <v>8.1862399580335001</v>
      </c>
      <c r="AE4" s="16">
        <f>Table1[[#This Row],[ShotsF100]]-Table1[[#This Row],[ShotsTF100]]</f>
        <v>0.36864646243365295</v>
      </c>
      <c r="AF4" s="9">
        <v>1.1258396641560899</v>
      </c>
      <c r="AG4">
        <v>237</v>
      </c>
      <c r="AH4">
        <v>210.509549046355</v>
      </c>
      <c r="AI4" s="16">
        <f>Table1[[#This Row],[ShotsA100]]-Table1[[#This Row],[ShotsTA100]]</f>
        <v>0.350367762126507</v>
      </c>
      <c r="AJ4" s="9">
        <v>0.99751922758650302</v>
      </c>
      <c r="AK4">
        <v>174</v>
      </c>
      <c r="AL4">
        <v>174.432727899383</v>
      </c>
      <c r="AM4" s="9">
        <v>0.75719320172243698</v>
      </c>
      <c r="AN4">
        <v>69</v>
      </c>
      <c r="AO4">
        <v>91.126016243993007</v>
      </c>
      <c r="AP4">
        <f>Table1[[#This Row],[ShotsF]]-Table1[[#This Row],[ShotsTF]]</f>
        <v>168</v>
      </c>
      <c r="AQ4">
        <f>Table1[[#This Row],[xShotsF]]-Table1[[#This Row],[xShotsTF]]</f>
        <v>119.383532802362</v>
      </c>
      <c r="AR4" s="9">
        <v>0.64715146545999602</v>
      </c>
      <c r="AS4">
        <v>47</v>
      </c>
      <c r="AT4">
        <v>72.625965494171197</v>
      </c>
      <c r="AU4">
        <f>Table1[[#This Row],[ShotsA]]-Table1[[#This Row],[ShotsTA]]</f>
        <v>127</v>
      </c>
      <c r="AV4">
        <f>Table1[[#This Row],[xShotsA]]-Table1[[#This Row],[xShotsTA]]</f>
        <v>101.8067624052118</v>
      </c>
      <c r="AW4" s="9">
        <v>0.91540357270477501</v>
      </c>
      <c r="AX4">
        <v>200</v>
      </c>
      <c r="AY4">
        <v>218.48287024820399</v>
      </c>
      <c r="AZ4" s="9">
        <v>0.96534349169798594</v>
      </c>
      <c r="BA4">
        <v>217</v>
      </c>
      <c r="BB4">
        <v>224.79045217190901</v>
      </c>
      <c r="BC4" s="9">
        <v>0.97167593251731599</v>
      </c>
      <c r="BD4">
        <v>27</v>
      </c>
      <c r="BE4">
        <v>27.787042054289799</v>
      </c>
      <c r="BF4" s="9">
        <v>0.89309548409281803</v>
      </c>
      <c r="BG4">
        <v>28</v>
      </c>
      <c r="BH4">
        <v>31.351630927169602</v>
      </c>
      <c r="BI4">
        <v>0.62642726153847705</v>
      </c>
      <c r="BJ4">
        <v>1</v>
      </c>
      <c r="BK4">
        <v>1.5963545353119599</v>
      </c>
      <c r="BL4">
        <v>2.0436057863801702</v>
      </c>
      <c r="BM4">
        <v>4</v>
      </c>
      <c r="BN4">
        <v>1.9573246595103599</v>
      </c>
    </row>
    <row r="5" spans="1:66" x14ac:dyDescent="0.45">
      <c r="A5">
        <v>12</v>
      </c>
      <c r="B5" t="s">
        <v>63</v>
      </c>
      <c r="C5" s="9">
        <f>Table1[[#This Row],[Points]]/Table1[[#This Row],[xPoints]]</f>
        <v>0.85378852408321515</v>
      </c>
      <c r="D5" s="18">
        <f>(Table1[[#This Row],[xWins]]*3+Table1[[#This Row],[xDraws]])/(Table1[[#This Row],[Wins]]+Table1[[#This Row],[Draws]]+Table1[[#This Row],[Losses]])</f>
        <v>1.5846326558714965</v>
      </c>
      <c r="E5">
        <v>23</v>
      </c>
      <c r="F5">
        <v>26.9387551498154</v>
      </c>
      <c r="G5">
        <v>5</v>
      </c>
      <c r="H5">
        <v>8</v>
      </c>
      <c r="I5">
        <v>4</v>
      </c>
      <c r="J5">
        <v>7.29531044139231</v>
      </c>
      <c r="K5">
        <v>5.0528238256385096</v>
      </c>
      <c r="L5">
        <v>4.65186573296916</v>
      </c>
      <c r="M5">
        <v>4</v>
      </c>
      <c r="N5">
        <v>5.9328396792332398</v>
      </c>
      <c r="O5">
        <v>-3.7342091657610399</v>
      </c>
      <c r="P5">
        <v>1.8013694865278</v>
      </c>
      <c r="Q5" s="9">
        <f>Table1[[#This Row],[GoalsF]]/Table1[[#This Row],[xGoalsF]]</f>
        <v>0.84902653888242441</v>
      </c>
      <c r="R5">
        <v>21</v>
      </c>
      <c r="S5">
        <v>24.734209165761001</v>
      </c>
      <c r="T5" s="9">
        <f>Table1[[#This Row],[GoalsA]]/Table1[[#This Row],[xGoalsA]]</f>
        <v>0.90418945344281543</v>
      </c>
      <c r="U5">
        <v>17</v>
      </c>
      <c r="V5">
        <v>18.8013694865278</v>
      </c>
      <c r="W5">
        <f>Table1[[#This Row],[GoalsF]]-Table1[[#This Row],[HTGoalsF]]</f>
        <v>6</v>
      </c>
      <c r="X5">
        <f>Table1[[#This Row],[xGoalsF]]-Table1[[#This Row],[xHTGoalsF]]</f>
        <v>13.943475538416601</v>
      </c>
      <c r="Y5">
        <f>Table1[[#This Row],[GoalsA]]-Table1[[#This Row],[HTGoalsA]]</f>
        <v>7</v>
      </c>
      <c r="Z5">
        <f>Table1[[#This Row],[xGoalsA]]-Table1[[#This Row],[xHTGoalsA]]</f>
        <v>10.527644338578671</v>
      </c>
      <c r="AA5">
        <v>15</v>
      </c>
      <c r="AB5">
        <v>10.7907336273444</v>
      </c>
      <c r="AC5">
        <v>10</v>
      </c>
      <c r="AD5">
        <v>8.2737251479491292</v>
      </c>
      <c r="AE5" s="16">
        <f>Table1[[#This Row],[ShotsF100]]-Table1[[#This Row],[ShotsTF100]]</f>
        <v>0.18353997254317</v>
      </c>
      <c r="AF5" s="9">
        <v>0.82045197867403097</v>
      </c>
      <c r="AG5">
        <v>169</v>
      </c>
      <c r="AH5">
        <v>205.98402391950799</v>
      </c>
      <c r="AI5" s="16">
        <f>Table1[[#This Row],[ShotsA100]]-Table1[[#This Row],[ShotsTA100]]</f>
        <v>0.24010808880466605</v>
      </c>
      <c r="AJ5" s="9">
        <v>1.0655286417364001</v>
      </c>
      <c r="AK5">
        <v>190</v>
      </c>
      <c r="AL5">
        <v>178.315244243807</v>
      </c>
      <c r="AM5" s="9">
        <v>0.63691200613086096</v>
      </c>
      <c r="AN5">
        <v>56</v>
      </c>
      <c r="AO5">
        <v>87.924233584778904</v>
      </c>
      <c r="AP5">
        <f>Table1[[#This Row],[ShotsF]]-Table1[[#This Row],[ShotsTF]]</f>
        <v>113</v>
      </c>
      <c r="AQ5">
        <f>Table1[[#This Row],[xShotsF]]-Table1[[#This Row],[xShotsTF]]</f>
        <v>118.05979033472909</v>
      </c>
      <c r="AR5" s="9">
        <v>0.825420552931734</v>
      </c>
      <c r="AS5">
        <v>61</v>
      </c>
      <c r="AT5">
        <v>73.901721714270096</v>
      </c>
      <c r="AU5">
        <f>Table1[[#This Row],[ShotsA]]-Table1[[#This Row],[ShotsTA]]</f>
        <v>129</v>
      </c>
      <c r="AV5">
        <f>Table1[[#This Row],[xShotsA]]-Table1[[#This Row],[xShotsTA]]</f>
        <v>104.41352252953691</v>
      </c>
      <c r="AW5" s="9">
        <v>0.97854428311196395</v>
      </c>
      <c r="AX5">
        <v>216</v>
      </c>
      <c r="AY5">
        <v>220.736050200075</v>
      </c>
      <c r="AZ5" s="9">
        <v>0.94832517162611196</v>
      </c>
      <c r="BA5">
        <v>213</v>
      </c>
      <c r="BB5">
        <v>224.60650246662101</v>
      </c>
      <c r="BC5" s="9">
        <v>1.3676277338715199</v>
      </c>
      <c r="BD5">
        <v>39</v>
      </c>
      <c r="BE5">
        <v>28.516531972920301</v>
      </c>
      <c r="BF5" s="9">
        <v>1.0957436508879901</v>
      </c>
      <c r="BG5">
        <v>34</v>
      </c>
      <c r="BH5">
        <v>31.0291553799524</v>
      </c>
      <c r="BI5">
        <v>1.2214584765784</v>
      </c>
      <c r="BJ5">
        <v>2</v>
      </c>
      <c r="BK5">
        <v>1.6373868112180701</v>
      </c>
      <c r="BL5">
        <v>1.0247243580882299</v>
      </c>
      <c r="BM5">
        <v>2</v>
      </c>
      <c r="BN5">
        <v>1.9517443732198201</v>
      </c>
    </row>
    <row r="6" spans="1:66" x14ac:dyDescent="0.45">
      <c r="A6">
        <v>5</v>
      </c>
      <c r="B6" t="s">
        <v>56</v>
      </c>
      <c r="C6" s="9">
        <f>Table1[[#This Row],[Points]]/Table1[[#This Row],[xPoints]]</f>
        <v>1.0787752975938683</v>
      </c>
      <c r="D6" s="18">
        <f>(Table1[[#This Row],[xWins]]*3+Table1[[#This Row],[xDraws]])/(Table1[[#This Row],[Wins]]+Table1[[#This Row],[Draws]]+Table1[[#This Row],[Losses]])</f>
        <v>1.5813138813486276</v>
      </c>
      <c r="E6">
        <v>29</v>
      </c>
      <c r="F6">
        <v>26.882335982926602</v>
      </c>
      <c r="G6">
        <v>8</v>
      </c>
      <c r="H6">
        <v>5</v>
      </c>
      <c r="I6">
        <v>4</v>
      </c>
      <c r="J6">
        <v>7.4621555470203296</v>
      </c>
      <c r="K6">
        <v>4.4958693418656797</v>
      </c>
      <c r="L6">
        <v>5.0419751111139801</v>
      </c>
      <c r="M6">
        <v>6</v>
      </c>
      <c r="N6">
        <v>5.1354687260355698</v>
      </c>
      <c r="O6">
        <v>-4.5403212884384896</v>
      </c>
      <c r="P6">
        <v>5.40485256240291</v>
      </c>
      <c r="Q6" s="9">
        <f>Table1[[#This Row],[GoalsF]]/Table1[[#This Row],[xGoalsF]]</f>
        <v>0.81498525487612639</v>
      </c>
      <c r="R6">
        <v>20</v>
      </c>
      <c r="S6">
        <v>24.540321288438399</v>
      </c>
      <c r="T6" s="9">
        <f>Table1[[#This Row],[GoalsA]]/Table1[[#This Row],[xGoalsA]]</f>
        <v>0.72146902198706431</v>
      </c>
      <c r="U6">
        <v>14</v>
      </c>
      <c r="V6">
        <v>19.404852562402901</v>
      </c>
      <c r="W6">
        <f>Table1[[#This Row],[GoalsF]]-Table1[[#This Row],[HTGoalsF]]</f>
        <v>9</v>
      </c>
      <c r="X6">
        <f>Table1[[#This Row],[xGoalsF]]-Table1[[#This Row],[xHTGoalsF]]</f>
        <v>13.820791566726898</v>
      </c>
      <c r="Y6">
        <f>Table1[[#This Row],[GoalsA]]-Table1[[#This Row],[HTGoalsA]]</f>
        <v>10</v>
      </c>
      <c r="Z6">
        <f>Table1[[#This Row],[xGoalsA]]-Table1[[#This Row],[xHTGoalsA]]</f>
        <v>10.865036800677791</v>
      </c>
      <c r="AA6">
        <v>11</v>
      </c>
      <c r="AB6">
        <v>10.719529721711501</v>
      </c>
      <c r="AC6">
        <v>4</v>
      </c>
      <c r="AD6">
        <v>8.5398157617251105</v>
      </c>
      <c r="AE6" s="16">
        <f>Table1[[#This Row],[ShotsF100]]-Table1[[#This Row],[ShotsTF100]]</f>
        <v>0.30189508844934099</v>
      </c>
      <c r="AF6" s="9">
        <v>0.92636470226312295</v>
      </c>
      <c r="AG6">
        <v>189</v>
      </c>
      <c r="AH6">
        <v>204.02331774761001</v>
      </c>
      <c r="AI6" s="16">
        <f>Table1[[#This Row],[ShotsA100]]-Table1[[#This Row],[ShotsTA100]]</f>
        <v>0.17747987259380305</v>
      </c>
      <c r="AJ6" s="9">
        <v>1.04572411251424</v>
      </c>
      <c r="AK6">
        <v>189</v>
      </c>
      <c r="AL6">
        <v>180.73600650326901</v>
      </c>
      <c r="AM6" s="9">
        <v>0.62446961381378197</v>
      </c>
      <c r="AN6">
        <v>55</v>
      </c>
      <c r="AO6">
        <v>88.0747418022505</v>
      </c>
      <c r="AP6">
        <f>Table1[[#This Row],[ShotsF]]-Table1[[#This Row],[ShotsTF]]</f>
        <v>134</v>
      </c>
      <c r="AQ6">
        <f>Table1[[#This Row],[xShotsF]]-Table1[[#This Row],[xShotsTF]]</f>
        <v>115.94857594535951</v>
      </c>
      <c r="AR6" s="9">
        <v>0.86824423992043698</v>
      </c>
      <c r="AS6">
        <v>66</v>
      </c>
      <c r="AT6">
        <v>76.015476942349693</v>
      </c>
      <c r="AU6">
        <f>Table1[[#This Row],[ShotsA]]-Table1[[#This Row],[ShotsTA]]</f>
        <v>123</v>
      </c>
      <c r="AV6">
        <f>Table1[[#This Row],[xShotsA]]-Table1[[#This Row],[xShotsTA]]</f>
        <v>104.72052956091932</v>
      </c>
      <c r="AW6" s="9">
        <v>0.90542355275272601</v>
      </c>
      <c r="AX6">
        <v>199</v>
      </c>
      <c r="AY6">
        <v>219.78663951803199</v>
      </c>
      <c r="AZ6" s="9">
        <v>1.0555583416835299</v>
      </c>
      <c r="BA6">
        <v>236</v>
      </c>
      <c r="BB6">
        <v>223.578357235656</v>
      </c>
      <c r="BC6" s="9">
        <v>1.2746884617193399</v>
      </c>
      <c r="BD6">
        <v>36</v>
      </c>
      <c r="BE6">
        <v>28.242194921449201</v>
      </c>
      <c r="BF6" s="9">
        <v>1.57834349246221</v>
      </c>
      <c r="BG6">
        <v>48</v>
      </c>
      <c r="BH6">
        <v>30.411631073487001</v>
      </c>
      <c r="BI6">
        <v>1.2001843529159499</v>
      </c>
      <c r="BJ6">
        <v>2</v>
      </c>
      <c r="BK6">
        <v>1.66641066027967</v>
      </c>
      <c r="BL6">
        <v>1.6175735564273801</v>
      </c>
      <c r="BM6">
        <v>3</v>
      </c>
      <c r="BN6">
        <v>1.85462972492322</v>
      </c>
    </row>
    <row r="7" spans="1:66" x14ac:dyDescent="0.45">
      <c r="A7">
        <v>7</v>
      </c>
      <c r="B7" t="s">
        <v>58</v>
      </c>
      <c r="C7" s="9">
        <f>Table1[[#This Row],[Points]]/Table1[[#This Row],[xPoints]]</f>
        <v>1.071937124705278</v>
      </c>
      <c r="D7" s="18">
        <f>(Table1[[#This Row],[xWins]]*3+Table1[[#This Row],[xDraws]])/(Table1[[#This Row],[Wins]]+Table1[[#This Row],[Draws]]+Table1[[#This Row],[Losses]])</f>
        <v>1.5365255905119088</v>
      </c>
      <c r="E7">
        <v>28</v>
      </c>
      <c r="F7">
        <v>26.120935038702399</v>
      </c>
      <c r="G7">
        <v>7</v>
      </c>
      <c r="H7">
        <v>7</v>
      </c>
      <c r="I7">
        <v>3</v>
      </c>
      <c r="J7">
        <v>7.1310255583584796</v>
      </c>
      <c r="K7">
        <v>4.7278583636270097</v>
      </c>
      <c r="L7">
        <v>5.1411160780145</v>
      </c>
      <c r="M7">
        <v>12</v>
      </c>
      <c r="N7">
        <v>4.4595297318115703</v>
      </c>
      <c r="O7">
        <v>1.87263810220315</v>
      </c>
      <c r="P7">
        <v>5.6678321659852697</v>
      </c>
      <c r="Q7" s="9">
        <f>Table1[[#This Row],[GoalsF]]/Table1[[#This Row],[xGoalsF]]</f>
        <v>1.0776147060808252</v>
      </c>
      <c r="R7">
        <v>26</v>
      </c>
      <c r="S7">
        <v>24.127361897796799</v>
      </c>
      <c r="T7" s="9">
        <f>Table1[[#This Row],[GoalsA]]/Table1[[#This Row],[xGoalsA]]</f>
        <v>0.71182222228906811</v>
      </c>
      <c r="U7">
        <v>14</v>
      </c>
      <c r="V7">
        <v>19.6678321659852</v>
      </c>
      <c r="W7">
        <f>Table1[[#This Row],[GoalsF]]-Table1[[#This Row],[HTGoalsF]]</f>
        <v>12</v>
      </c>
      <c r="X7">
        <f>Table1[[#This Row],[xGoalsF]]-Table1[[#This Row],[xHTGoalsF]]</f>
        <v>13.569491343630999</v>
      </c>
      <c r="Y7">
        <f>Table1[[#This Row],[GoalsA]]-Table1[[#This Row],[HTGoalsA]]</f>
        <v>7</v>
      </c>
      <c r="Z7">
        <f>Table1[[#This Row],[xGoalsA]]-Table1[[#This Row],[xHTGoalsA]]</f>
        <v>11.0331950182981</v>
      </c>
      <c r="AA7">
        <v>14</v>
      </c>
      <c r="AB7">
        <v>10.557870554165801</v>
      </c>
      <c r="AC7">
        <v>7</v>
      </c>
      <c r="AD7">
        <v>8.6346371476870996</v>
      </c>
      <c r="AE7" s="16">
        <f>Table1[[#This Row],[ShotsF100]]-Table1[[#This Row],[ShotsTF100]]</f>
        <v>0.24475143029974888</v>
      </c>
      <c r="AF7" s="9">
        <v>1.1138047971520899</v>
      </c>
      <c r="AG7">
        <v>227</v>
      </c>
      <c r="AH7">
        <v>203.80590977918101</v>
      </c>
      <c r="AI7" s="16">
        <f>Table1[[#This Row],[ShotsA100]]-Table1[[#This Row],[ShotsTA100]]</f>
        <v>0.25702290946314399</v>
      </c>
      <c r="AJ7" s="9">
        <v>1.10888027036645</v>
      </c>
      <c r="AK7">
        <v>201</v>
      </c>
      <c r="AL7">
        <v>181.263933872297</v>
      </c>
      <c r="AM7" s="9">
        <v>0.86905336685234102</v>
      </c>
      <c r="AN7">
        <v>76</v>
      </c>
      <c r="AO7">
        <v>87.451476398126601</v>
      </c>
      <c r="AP7">
        <f>Table1[[#This Row],[ShotsF]]-Table1[[#This Row],[ShotsTF]]</f>
        <v>151</v>
      </c>
      <c r="AQ7">
        <f>Table1[[#This Row],[xShotsF]]-Table1[[#This Row],[xShotsTF]]</f>
        <v>116.35443338105441</v>
      </c>
      <c r="AR7" s="9">
        <v>0.85185736090330599</v>
      </c>
      <c r="AS7">
        <v>65</v>
      </c>
      <c r="AT7">
        <v>76.303854357816704</v>
      </c>
      <c r="AU7">
        <f>Table1[[#This Row],[ShotsA]]-Table1[[#This Row],[ShotsTA]]</f>
        <v>136</v>
      </c>
      <c r="AV7">
        <f>Table1[[#This Row],[xShotsA]]-Table1[[#This Row],[xShotsTA]]</f>
        <v>104.9600795144803</v>
      </c>
      <c r="AW7" s="9">
        <v>0.96511772525380302</v>
      </c>
      <c r="AX7">
        <v>213</v>
      </c>
      <c r="AY7">
        <v>220.69846447384</v>
      </c>
      <c r="AZ7" s="9">
        <v>0.91965781319917705</v>
      </c>
      <c r="BA7">
        <v>207</v>
      </c>
      <c r="BB7">
        <v>225.083718127634</v>
      </c>
      <c r="BC7" s="9">
        <v>0.98364258643459701</v>
      </c>
      <c r="BD7">
        <v>28</v>
      </c>
      <c r="BE7">
        <v>28.465623983901899</v>
      </c>
      <c r="BF7" s="9">
        <v>1.08387481576004</v>
      </c>
      <c r="BG7">
        <v>33</v>
      </c>
      <c r="BH7">
        <v>30.446320479233002</v>
      </c>
      <c r="BI7">
        <v>1.7651485829852001</v>
      </c>
      <c r="BJ7">
        <v>3</v>
      </c>
      <c r="BK7">
        <v>1.69957363868282</v>
      </c>
      <c r="BL7">
        <v>1.6244140175847599</v>
      </c>
      <c r="BM7">
        <v>3</v>
      </c>
      <c r="BN7">
        <v>1.8468198178075901</v>
      </c>
    </row>
    <row r="8" spans="1:66" x14ac:dyDescent="0.45">
      <c r="A8">
        <v>11</v>
      </c>
      <c r="B8" t="s">
        <v>62</v>
      </c>
      <c r="C8" s="9">
        <f>Table1[[#This Row],[Points]]/Table1[[#This Row],[xPoints]]</f>
        <v>0.69047457009415236</v>
      </c>
      <c r="D8" s="18">
        <f>(Table1[[#This Row],[xWins]]*3+Table1[[#This Row],[xDraws]])/(Table1[[#This Row],[Wins]]+Table1[[#This Row],[Draws]]+Table1[[#This Row],[Losses]])</f>
        <v>1.5334721585291504</v>
      </c>
      <c r="E8">
        <v>18</v>
      </c>
      <c r="F8">
        <v>26.0690266949955</v>
      </c>
      <c r="G8">
        <v>4</v>
      </c>
      <c r="H8">
        <v>6</v>
      </c>
      <c r="I8">
        <v>7</v>
      </c>
      <c r="J8">
        <v>7.0896955603608696</v>
      </c>
      <c r="K8">
        <v>4.7999400139129502</v>
      </c>
      <c r="L8">
        <v>5.1103644257261696</v>
      </c>
      <c r="M8">
        <v>-2</v>
      </c>
      <c r="N8">
        <v>4.2835034289706204</v>
      </c>
      <c r="O8">
        <v>-5.1197049802741503</v>
      </c>
      <c r="P8">
        <v>-1.1637984486964701</v>
      </c>
      <c r="Q8" s="9">
        <f>Table1[[#This Row],[GoalsF]]/Table1[[#This Row],[xGoalsF]]</f>
        <v>0.78773766161480141</v>
      </c>
      <c r="R8">
        <v>19</v>
      </c>
      <c r="S8">
        <v>24.119704980274101</v>
      </c>
      <c r="T8" s="9">
        <f>Table1[[#This Row],[GoalsA]]/Table1[[#This Row],[xGoalsA]]</f>
        <v>1.0586704286950555</v>
      </c>
      <c r="U8">
        <v>21</v>
      </c>
      <c r="V8">
        <v>19.8362015513035</v>
      </c>
      <c r="W8">
        <f>Table1[[#This Row],[GoalsF]]-Table1[[#This Row],[HTGoalsF]]</f>
        <v>11</v>
      </c>
      <c r="X8">
        <f>Table1[[#This Row],[xGoalsF]]-Table1[[#This Row],[xHTGoalsF]]</f>
        <v>13.522180153305001</v>
      </c>
      <c r="Y8">
        <f>Table1[[#This Row],[GoalsA]]-Table1[[#This Row],[HTGoalsA]]</f>
        <v>10</v>
      </c>
      <c r="Z8">
        <f>Table1[[#This Row],[xGoalsA]]-Table1[[#This Row],[xHTGoalsA]]</f>
        <v>11.09141490326116</v>
      </c>
      <c r="AA8">
        <v>8</v>
      </c>
      <c r="AB8">
        <v>10.597524826969099</v>
      </c>
      <c r="AC8">
        <v>11</v>
      </c>
      <c r="AD8">
        <v>8.7447866480423393</v>
      </c>
      <c r="AE8" s="16">
        <f>Table1[[#This Row],[ShotsF100]]-Table1[[#This Row],[ShotsTF100]]</f>
        <v>0.49723273187074502</v>
      </c>
      <c r="AF8" s="9">
        <v>1.33486073042159</v>
      </c>
      <c r="AG8">
        <v>271</v>
      </c>
      <c r="AH8">
        <v>203.017433822036</v>
      </c>
      <c r="AI8" s="16">
        <f>Table1[[#This Row],[ShotsA100]]-Table1[[#This Row],[ShotsTA100]]</f>
        <v>0.37649892225728809</v>
      </c>
      <c r="AJ8" s="9">
        <v>1.23948620013855</v>
      </c>
      <c r="AK8">
        <v>225</v>
      </c>
      <c r="AL8">
        <v>181.52682940305999</v>
      </c>
      <c r="AM8" s="9">
        <v>0.83762799855084502</v>
      </c>
      <c r="AN8">
        <v>73</v>
      </c>
      <c r="AO8">
        <v>87.150859482126904</v>
      </c>
      <c r="AP8">
        <f>Table1[[#This Row],[ShotsF]]-Table1[[#This Row],[ShotsTF]]</f>
        <v>198</v>
      </c>
      <c r="AQ8">
        <f>Table1[[#This Row],[xShotsF]]-Table1[[#This Row],[xShotsTF]]</f>
        <v>115.86657433990909</v>
      </c>
      <c r="AR8" s="9">
        <v>0.86298727788126195</v>
      </c>
      <c r="AS8">
        <v>66</v>
      </c>
      <c r="AT8">
        <v>76.478531829620806</v>
      </c>
      <c r="AU8">
        <f>Table1[[#This Row],[ShotsA]]-Table1[[#This Row],[ShotsTA]]</f>
        <v>159</v>
      </c>
      <c r="AV8">
        <f>Table1[[#This Row],[xShotsA]]-Table1[[#This Row],[xShotsTA]]</f>
        <v>105.04829757343919</v>
      </c>
      <c r="AW8" s="9">
        <v>0.83136321395562596</v>
      </c>
      <c r="AX8">
        <v>182</v>
      </c>
      <c r="AY8">
        <v>218.91755245465299</v>
      </c>
      <c r="AZ8" s="9">
        <v>0.88578342156004197</v>
      </c>
      <c r="BA8">
        <v>197</v>
      </c>
      <c r="BB8">
        <v>222.40199489514401</v>
      </c>
      <c r="BC8" s="9">
        <v>1.1627049349099301</v>
      </c>
      <c r="BD8">
        <v>33</v>
      </c>
      <c r="BE8">
        <v>28.382093349037198</v>
      </c>
      <c r="BF8" s="9">
        <v>0.81773211703015602</v>
      </c>
      <c r="BG8">
        <v>25</v>
      </c>
      <c r="BH8">
        <v>30.572359186276199</v>
      </c>
      <c r="BI8">
        <v>1.80845039074281</v>
      </c>
      <c r="BJ8">
        <v>3</v>
      </c>
      <c r="BK8">
        <v>1.65887879222817</v>
      </c>
      <c r="BL8">
        <v>0.52465179700429598</v>
      </c>
      <c r="BM8">
        <v>1</v>
      </c>
      <c r="BN8">
        <v>1.90602606473453</v>
      </c>
    </row>
    <row r="9" spans="1:66" x14ac:dyDescent="0.45">
      <c r="A9">
        <v>17</v>
      </c>
      <c r="B9" t="s">
        <v>68</v>
      </c>
      <c r="C9" s="9">
        <f>Table1[[#This Row],[Points]]/Table1[[#This Row],[xPoints]]</f>
        <v>0.94570308592200003</v>
      </c>
      <c r="D9" s="18">
        <f>(Table1[[#This Row],[xWins]]*3+Table1[[#This Row],[xDraws]])/(Table1[[#This Row],[Wins]]+Table1[[#This Row],[Draws]]+Table1[[#This Row],[Losses]])</f>
        <v>1.4928202380834712</v>
      </c>
      <c r="E9">
        <v>24</v>
      </c>
      <c r="F9">
        <v>25.377944047419</v>
      </c>
      <c r="G9">
        <v>5</v>
      </c>
      <c r="H9">
        <v>9</v>
      </c>
      <c r="I9">
        <v>3</v>
      </c>
      <c r="J9">
        <v>6.92474707154458</v>
      </c>
      <c r="K9">
        <v>4.6037028327852703</v>
      </c>
      <c r="L9">
        <v>5.4715500956701302</v>
      </c>
      <c r="M9">
        <v>7</v>
      </c>
      <c r="N9">
        <v>3.33325149751537</v>
      </c>
      <c r="O9">
        <v>-0.78471236763768804</v>
      </c>
      <c r="P9">
        <v>4.4514608701223102</v>
      </c>
      <c r="Q9" s="9">
        <f>Table1[[#This Row],[GoalsF]]/Table1[[#This Row],[xGoalsF]]</f>
        <v>0.96700769992470836</v>
      </c>
      <c r="R9">
        <v>23</v>
      </c>
      <c r="S9">
        <v>23.784712367637599</v>
      </c>
      <c r="T9" s="9">
        <f>Table1[[#This Row],[GoalsA]]/Table1[[#This Row],[xGoalsA]]</f>
        <v>0.78234020061493625</v>
      </c>
      <c r="U9">
        <v>16</v>
      </c>
      <c r="V9">
        <v>20.4514608701223</v>
      </c>
      <c r="W9">
        <f>Table1[[#This Row],[GoalsF]]-Table1[[#This Row],[HTGoalsF]]</f>
        <v>13</v>
      </c>
      <c r="X9">
        <f>Table1[[#This Row],[xGoalsF]]-Table1[[#This Row],[xHTGoalsF]]</f>
        <v>13.359496800033499</v>
      </c>
      <c r="Y9">
        <f>Table1[[#This Row],[GoalsA]]-Table1[[#This Row],[HTGoalsA]]</f>
        <v>12</v>
      </c>
      <c r="Z9">
        <f>Table1[[#This Row],[xGoalsA]]-Table1[[#This Row],[xHTGoalsA]]</f>
        <v>11.505687076866501</v>
      </c>
      <c r="AA9">
        <v>10</v>
      </c>
      <c r="AB9">
        <v>10.4252155676041</v>
      </c>
      <c r="AC9">
        <v>4</v>
      </c>
      <c r="AD9">
        <v>8.9457737932557997</v>
      </c>
      <c r="AE9" s="16">
        <f>Table1[[#This Row],[ShotsF100]]-Table1[[#This Row],[ShotsTF100]]</f>
        <v>0.38588533792437696</v>
      </c>
      <c r="AF9" s="9">
        <v>1.24569857598571</v>
      </c>
      <c r="AG9">
        <v>250</v>
      </c>
      <c r="AH9">
        <v>200.69060430784899</v>
      </c>
      <c r="AI9" s="16">
        <f>Table1[[#This Row],[ShotsA100]]-Table1[[#This Row],[ShotsTA100]]</f>
        <v>0.42256613026834189</v>
      </c>
      <c r="AJ9" s="9">
        <v>1.2172415030771699</v>
      </c>
      <c r="AK9">
        <v>224</v>
      </c>
      <c r="AL9">
        <v>184.02264417843901</v>
      </c>
      <c r="AM9" s="9">
        <v>0.85981323806133303</v>
      </c>
      <c r="AN9">
        <v>74</v>
      </c>
      <c r="AO9">
        <v>86.065201981364794</v>
      </c>
      <c r="AP9">
        <f>Table1[[#This Row],[ShotsF]]-Table1[[#This Row],[ShotsTF]]</f>
        <v>176</v>
      </c>
      <c r="AQ9">
        <f>Table1[[#This Row],[xShotsF]]-Table1[[#This Row],[xShotsTF]]</f>
        <v>114.62540232648419</v>
      </c>
      <c r="AR9" s="9">
        <v>0.79467537280882805</v>
      </c>
      <c r="AS9">
        <v>62</v>
      </c>
      <c r="AT9">
        <v>78.019279471134496</v>
      </c>
      <c r="AU9">
        <f>Table1[[#This Row],[ShotsA]]-Table1[[#This Row],[ShotsTA]]</f>
        <v>162</v>
      </c>
      <c r="AV9">
        <f>Table1[[#This Row],[xShotsA]]-Table1[[#This Row],[xShotsTA]]</f>
        <v>106.00336470730451</v>
      </c>
      <c r="AW9" s="9">
        <v>1.0312845081305599</v>
      </c>
      <c r="AX9">
        <v>229</v>
      </c>
      <c r="AY9">
        <v>222.05317562184101</v>
      </c>
      <c r="AZ9" s="9">
        <v>1.20192123271443</v>
      </c>
      <c r="BA9">
        <v>270</v>
      </c>
      <c r="BB9">
        <v>224.64034468400899</v>
      </c>
      <c r="BC9" s="9">
        <v>1.1132221375142399</v>
      </c>
      <c r="BD9">
        <v>32</v>
      </c>
      <c r="BE9">
        <v>28.745385958146599</v>
      </c>
      <c r="BF9" s="9">
        <v>1.6142123252571601</v>
      </c>
      <c r="BG9">
        <v>49</v>
      </c>
      <c r="BH9">
        <v>30.355362323350899</v>
      </c>
      <c r="BI9">
        <v>1.1498246221492601</v>
      </c>
      <c r="BJ9">
        <v>2</v>
      </c>
      <c r="BK9">
        <v>1.7393956969381801</v>
      </c>
      <c r="BL9">
        <v>2.70931422830275</v>
      </c>
      <c r="BM9">
        <v>5</v>
      </c>
      <c r="BN9">
        <v>1.84548545449902</v>
      </c>
    </row>
    <row r="10" spans="1:66" x14ac:dyDescent="0.45">
      <c r="A10">
        <v>9</v>
      </c>
      <c r="B10" t="s">
        <v>60</v>
      </c>
      <c r="C10" s="9">
        <f>Table1[[#This Row],[Points]]/Table1[[#This Row],[xPoints]]</f>
        <v>0.9792376815803967</v>
      </c>
      <c r="D10" s="18">
        <f>(Table1[[#This Row],[xWins]]*3+Table1[[#This Row],[xDraws]])/(Table1[[#This Row],[Wins]]+Table1[[#This Row],[Draws]]+Table1[[#This Row],[Losses]])</f>
        <v>1.321556218067754</v>
      </c>
      <c r="E10">
        <v>22</v>
      </c>
      <c r="F10">
        <v>22.466455707151798</v>
      </c>
      <c r="G10">
        <v>5</v>
      </c>
      <c r="H10">
        <v>7</v>
      </c>
      <c r="I10">
        <v>5</v>
      </c>
      <c r="J10">
        <v>5.8137905069036702</v>
      </c>
      <c r="K10">
        <v>5.02508418644081</v>
      </c>
      <c r="L10">
        <v>6.1611253066555101</v>
      </c>
      <c r="M10">
        <v>0</v>
      </c>
      <c r="N10">
        <v>-0.65521109637723596</v>
      </c>
      <c r="O10">
        <v>-8.4772312324110697</v>
      </c>
      <c r="P10">
        <v>9.1324423287883008</v>
      </c>
      <c r="Q10" s="9">
        <f>Table1[[#This Row],[GoalsF]]/Table1[[#This Row],[xGoalsF]]</f>
        <v>0.60529217473721075</v>
      </c>
      <c r="R10">
        <v>13</v>
      </c>
      <c r="S10">
        <v>21.477231232411</v>
      </c>
      <c r="T10" s="9">
        <f>Table1[[#This Row],[GoalsA]]/Table1[[#This Row],[xGoalsA]]</f>
        <v>0.58737304301435045</v>
      </c>
      <c r="U10">
        <v>13</v>
      </c>
      <c r="V10">
        <v>22.132442328788301</v>
      </c>
      <c r="W10">
        <f>Table1[[#This Row],[GoalsF]]-Table1[[#This Row],[HTGoalsF]]</f>
        <v>10</v>
      </c>
      <c r="X10">
        <f>Table1[[#This Row],[xGoalsF]]-Table1[[#This Row],[xHTGoalsF]]</f>
        <v>12.096760905921601</v>
      </c>
      <c r="Y10">
        <f>Table1[[#This Row],[GoalsA]]-Table1[[#This Row],[HTGoalsA]]</f>
        <v>7</v>
      </c>
      <c r="Z10">
        <f>Table1[[#This Row],[xGoalsA]]-Table1[[#This Row],[xHTGoalsA]]</f>
        <v>12.464084822101261</v>
      </c>
      <c r="AA10">
        <v>3</v>
      </c>
      <c r="AB10">
        <v>9.3804703264893998</v>
      </c>
      <c r="AC10">
        <v>6</v>
      </c>
      <c r="AD10">
        <v>9.6683575066870393</v>
      </c>
      <c r="AE10" s="16">
        <f>Table1[[#This Row],[ShotsF100]]-Table1[[#This Row],[ShotsTF100]]</f>
        <v>0.2009186865130641</v>
      </c>
      <c r="AF10" s="9">
        <v>1.0834323766251801</v>
      </c>
      <c r="AG10">
        <v>206</v>
      </c>
      <c r="AH10">
        <v>190.13646300812599</v>
      </c>
      <c r="AI10" s="16">
        <f>Table1[[#This Row],[ShotsA100]]-Table1[[#This Row],[ShotsTA100]]</f>
        <v>0.31352912622335605</v>
      </c>
      <c r="AJ10" s="9">
        <v>0.959201724131585</v>
      </c>
      <c r="AK10">
        <v>186</v>
      </c>
      <c r="AL10">
        <v>193.91124444484799</v>
      </c>
      <c r="AM10" s="9">
        <v>0.882513690112116</v>
      </c>
      <c r="AN10">
        <v>71</v>
      </c>
      <c r="AO10">
        <v>80.452009748403995</v>
      </c>
      <c r="AP10">
        <f>Table1[[#This Row],[ShotsF]]-Table1[[#This Row],[ShotsTF]]</f>
        <v>135</v>
      </c>
      <c r="AQ10">
        <f>Table1[[#This Row],[xShotsF]]-Table1[[#This Row],[xShotsTF]]</f>
        <v>109.68445325972199</v>
      </c>
      <c r="AR10" s="9">
        <v>0.64567259790822895</v>
      </c>
      <c r="AS10">
        <v>53</v>
      </c>
      <c r="AT10">
        <v>82.084945484294707</v>
      </c>
      <c r="AU10">
        <f>Table1[[#This Row],[ShotsA]]-Table1[[#This Row],[ShotsTA]]</f>
        <v>133</v>
      </c>
      <c r="AV10">
        <f>Table1[[#This Row],[xShotsA]]-Table1[[#This Row],[xShotsTA]]</f>
        <v>111.82629896055329</v>
      </c>
      <c r="AW10" s="9">
        <v>1.05349906066424</v>
      </c>
      <c r="AX10">
        <v>235</v>
      </c>
      <c r="AY10">
        <v>223.066169467516</v>
      </c>
      <c r="AZ10" s="9">
        <v>1.01614916024263</v>
      </c>
      <c r="BA10">
        <v>226</v>
      </c>
      <c r="BB10">
        <v>222.40829283964101</v>
      </c>
      <c r="BC10" s="9">
        <v>1.2984727683572199</v>
      </c>
      <c r="BD10">
        <v>39</v>
      </c>
      <c r="BE10">
        <v>30.035285260037501</v>
      </c>
      <c r="BF10" s="9">
        <v>1.18924400655868</v>
      </c>
      <c r="BG10">
        <v>35</v>
      </c>
      <c r="BH10">
        <v>29.430461542774001</v>
      </c>
      <c r="BI10">
        <v>1.1090584404782</v>
      </c>
      <c r="BJ10">
        <v>2</v>
      </c>
      <c r="BK10">
        <v>1.8033314810152199</v>
      </c>
      <c r="BL10">
        <v>1.1329342695123099</v>
      </c>
      <c r="BM10">
        <v>2</v>
      </c>
      <c r="BN10">
        <v>1.76532748087928</v>
      </c>
    </row>
    <row r="11" spans="1:66" x14ac:dyDescent="0.45">
      <c r="A11">
        <v>15</v>
      </c>
      <c r="B11" t="s">
        <v>66</v>
      </c>
      <c r="C11" s="9">
        <f>Table1[[#This Row],[Points]]/Table1[[#This Row],[xPoints]]</f>
        <v>0.91226220314025286</v>
      </c>
      <c r="D11" s="18">
        <f>(Table1[[#This Row],[xWins]]*3+Table1[[#This Row],[xDraws]])/(Table1[[#This Row],[Wins]]+Table1[[#This Row],[Draws]]+Table1[[#This Row],[Losses]])</f>
        <v>1.2896189102053857</v>
      </c>
      <c r="E11">
        <v>20</v>
      </c>
      <c r="F11">
        <v>21.923521473491501</v>
      </c>
      <c r="G11">
        <v>6</v>
      </c>
      <c r="H11">
        <v>2</v>
      </c>
      <c r="I11">
        <v>9</v>
      </c>
      <c r="J11">
        <v>5.7371053540668298</v>
      </c>
      <c r="K11">
        <v>4.7122054112910696</v>
      </c>
      <c r="L11">
        <v>6.5506892346420802</v>
      </c>
      <c r="M11">
        <v>-6</v>
      </c>
      <c r="N11">
        <v>-1.7454843141062599</v>
      </c>
      <c r="O11">
        <v>-5.1224031220548101</v>
      </c>
      <c r="P11">
        <v>0.867887436161076</v>
      </c>
      <c r="Q11" s="9">
        <f>Table1[[#This Row],[GoalsF]]/Table1[[#This Row],[xGoalsF]]</f>
        <v>0.75748956724027861</v>
      </c>
      <c r="R11">
        <v>16</v>
      </c>
      <c r="S11">
        <v>21.122403122054799</v>
      </c>
      <c r="T11" s="9">
        <f>Table1[[#This Row],[GoalsA]]/Table1[[#This Row],[xGoalsA]]</f>
        <v>0.96204776507738932</v>
      </c>
      <c r="U11">
        <v>22</v>
      </c>
      <c r="V11">
        <v>22.867887436160999</v>
      </c>
      <c r="W11">
        <f>Table1[[#This Row],[GoalsF]]-Table1[[#This Row],[HTGoalsF]]</f>
        <v>12</v>
      </c>
      <c r="X11">
        <f>Table1[[#This Row],[xGoalsF]]-Table1[[#This Row],[xHTGoalsF]]</f>
        <v>11.866665370544279</v>
      </c>
      <c r="Y11">
        <f>Table1[[#This Row],[GoalsA]]-Table1[[#This Row],[HTGoalsA]]</f>
        <v>11</v>
      </c>
      <c r="Z11">
        <f>Table1[[#This Row],[xGoalsA]]-Table1[[#This Row],[xHTGoalsA]]</f>
        <v>12.834252192587899</v>
      </c>
      <c r="AA11">
        <v>4</v>
      </c>
      <c r="AB11">
        <v>9.2557377515105195</v>
      </c>
      <c r="AC11">
        <v>11</v>
      </c>
      <c r="AD11">
        <v>10.0336352435731</v>
      </c>
      <c r="AE11" s="16">
        <f>Table1[[#This Row],[ShotsF100]]-Table1[[#This Row],[ShotsTF100]]</f>
        <v>0.33326345506640609</v>
      </c>
      <c r="AF11" s="9">
        <v>1.3254252508743301</v>
      </c>
      <c r="AG11">
        <v>248</v>
      </c>
      <c r="AH11">
        <v>187.10975955558601</v>
      </c>
      <c r="AI11" s="16">
        <f>Table1[[#This Row],[ShotsA100]]-Table1[[#This Row],[ShotsTA100]]</f>
        <v>0.19836563574816712</v>
      </c>
      <c r="AJ11" s="9">
        <v>1.0161649901107801</v>
      </c>
      <c r="AK11">
        <v>200</v>
      </c>
      <c r="AL11">
        <v>196.818431993209</v>
      </c>
      <c r="AM11" s="9">
        <v>0.99216179580792396</v>
      </c>
      <c r="AN11">
        <v>79</v>
      </c>
      <c r="AO11">
        <v>79.624110033051295</v>
      </c>
      <c r="AP11">
        <f>Table1[[#This Row],[ShotsF]]-Table1[[#This Row],[ShotsTF]]</f>
        <v>169</v>
      </c>
      <c r="AQ11">
        <f>Table1[[#This Row],[xShotsF]]-Table1[[#This Row],[xShotsTF]]</f>
        <v>107.48564952253471</v>
      </c>
      <c r="AR11" s="9">
        <v>0.81779935436261297</v>
      </c>
      <c r="AS11">
        <v>69</v>
      </c>
      <c r="AT11">
        <v>84.372773874073303</v>
      </c>
      <c r="AU11">
        <f>Table1[[#This Row],[ShotsA]]-Table1[[#This Row],[ShotsTA]]</f>
        <v>131</v>
      </c>
      <c r="AV11">
        <f>Table1[[#This Row],[xShotsA]]-Table1[[#This Row],[xShotsTA]]</f>
        <v>112.4456581191357</v>
      </c>
      <c r="AW11" s="9">
        <v>1.1110955229147199</v>
      </c>
      <c r="AX11">
        <v>246</v>
      </c>
      <c r="AY11">
        <v>221.40310614758801</v>
      </c>
      <c r="AZ11" s="9">
        <v>0.84727638252579895</v>
      </c>
      <c r="BA11">
        <v>186</v>
      </c>
      <c r="BB11">
        <v>219.52694992573601</v>
      </c>
      <c r="BC11" s="9">
        <v>0.90703667782875996</v>
      </c>
      <c r="BD11">
        <v>27</v>
      </c>
      <c r="BE11">
        <v>29.767263728112798</v>
      </c>
      <c r="BF11" s="9">
        <v>1.08052718300396</v>
      </c>
      <c r="BG11">
        <v>31</v>
      </c>
      <c r="BH11">
        <v>28.689699331595701</v>
      </c>
      <c r="BI11">
        <v>0.55107729311762699</v>
      </c>
      <c r="BJ11">
        <v>1</v>
      </c>
      <c r="BK11">
        <v>1.8146274805529801</v>
      </c>
      <c r="BL11">
        <v>1.13996231853263</v>
      </c>
      <c r="BM11">
        <v>2</v>
      </c>
      <c r="BN11">
        <v>1.7544439561602401</v>
      </c>
    </row>
    <row r="12" spans="1:66" x14ac:dyDescent="0.45">
      <c r="A12">
        <v>16</v>
      </c>
      <c r="B12" t="s">
        <v>67</v>
      </c>
      <c r="C12" s="9">
        <f>Table1[[#This Row],[Points]]/Table1[[#This Row],[xPoints]]</f>
        <v>1.1130796270078398</v>
      </c>
      <c r="D12" s="18">
        <f>(Table1[[#This Row],[xWins]]*3+Table1[[#This Row],[xDraws]])/(Table1[[#This Row],[Wins]]+Table1[[#This Row],[Draws]]+Table1[[#This Row],[Losses]])</f>
        <v>1.2683411605308399</v>
      </c>
      <c r="E12">
        <v>24</v>
      </c>
      <c r="F12">
        <v>21.561799729024202</v>
      </c>
      <c r="G12">
        <v>6</v>
      </c>
      <c r="H12">
        <v>6</v>
      </c>
      <c r="I12">
        <v>5</v>
      </c>
      <c r="J12">
        <v>5.6938330110015096</v>
      </c>
      <c r="K12">
        <v>4.48030069601975</v>
      </c>
      <c r="L12">
        <v>6.8258662929787297</v>
      </c>
      <c r="M12">
        <v>0</v>
      </c>
      <c r="N12">
        <v>-2.33079910711146</v>
      </c>
      <c r="O12">
        <v>1.21043170160604</v>
      </c>
      <c r="P12">
        <v>1.12036740550541</v>
      </c>
      <c r="Q12" s="9">
        <f>Table1[[#This Row],[GoalsF]]/Table1[[#This Row],[xGoalsF]]</f>
        <v>1.0582230320626529</v>
      </c>
      <c r="R12">
        <v>22</v>
      </c>
      <c r="S12">
        <v>20.789568298393899</v>
      </c>
      <c r="T12" s="9">
        <f>Table1[[#This Row],[GoalsA]]/Table1[[#This Row],[xGoalsA]]</f>
        <v>0.95154197224224812</v>
      </c>
      <c r="U12">
        <v>22</v>
      </c>
      <c r="V12">
        <v>23.120367405505402</v>
      </c>
      <c r="W12">
        <f>Table1[[#This Row],[GoalsF]]-Table1[[#This Row],[HTGoalsF]]</f>
        <v>12</v>
      </c>
      <c r="X12">
        <f>Table1[[#This Row],[xGoalsF]]-Table1[[#This Row],[xHTGoalsF]]</f>
        <v>11.72226686964852</v>
      </c>
      <c r="Y12">
        <f>Table1[[#This Row],[GoalsA]]-Table1[[#This Row],[HTGoalsA]]</f>
        <v>9</v>
      </c>
      <c r="Z12">
        <f>Table1[[#This Row],[xGoalsA]]-Table1[[#This Row],[xHTGoalsA]]</f>
        <v>12.995218967983401</v>
      </c>
      <c r="AA12">
        <v>10</v>
      </c>
      <c r="AB12">
        <v>9.0673014287453793</v>
      </c>
      <c r="AC12">
        <v>13</v>
      </c>
      <c r="AD12">
        <v>10.125148437522</v>
      </c>
      <c r="AE12" s="16">
        <f>Table1[[#This Row],[ShotsF100]]-Table1[[#This Row],[ShotsTF100]]</f>
        <v>0.31547782708860594</v>
      </c>
      <c r="AF12" s="9">
        <v>1.2149593120419899</v>
      </c>
      <c r="AG12">
        <v>226</v>
      </c>
      <c r="AH12">
        <v>186.014459710719</v>
      </c>
      <c r="AI12" s="16">
        <f>Table1[[#This Row],[ShotsA100]]-Table1[[#This Row],[ShotsTA100]]</f>
        <v>0.3131275720800959</v>
      </c>
      <c r="AJ12" s="9">
        <v>1.1492116420251799</v>
      </c>
      <c r="AK12">
        <v>228</v>
      </c>
      <c r="AL12">
        <v>198.39687631271201</v>
      </c>
      <c r="AM12" s="9">
        <v>0.89948148495338398</v>
      </c>
      <c r="AN12">
        <v>71</v>
      </c>
      <c r="AO12">
        <v>78.9343651733749</v>
      </c>
      <c r="AP12">
        <f>Table1[[#This Row],[ShotsF]]-Table1[[#This Row],[ShotsTF]]</f>
        <v>155</v>
      </c>
      <c r="AQ12">
        <f>Table1[[#This Row],[xShotsF]]-Table1[[#This Row],[xShotsTF]]</f>
        <v>107.0800945373441</v>
      </c>
      <c r="AR12" s="9">
        <v>0.836084069945084</v>
      </c>
      <c r="AS12">
        <v>71</v>
      </c>
      <c r="AT12">
        <v>84.919689959723001</v>
      </c>
      <c r="AU12">
        <f>Table1[[#This Row],[ShotsA]]-Table1[[#This Row],[ShotsTA]]</f>
        <v>157</v>
      </c>
      <c r="AV12">
        <f>Table1[[#This Row],[xShotsA]]-Table1[[#This Row],[xShotsTA]]</f>
        <v>113.47718635298901</v>
      </c>
      <c r="AW12" s="9">
        <v>0.89750587308173901</v>
      </c>
      <c r="AX12">
        <v>201</v>
      </c>
      <c r="AY12">
        <v>223.95396623961</v>
      </c>
      <c r="AZ12" s="9">
        <v>1.05012684500128</v>
      </c>
      <c r="BA12">
        <v>233</v>
      </c>
      <c r="BB12">
        <v>221.87795799060299</v>
      </c>
      <c r="BC12" s="9">
        <v>1.35842678147273</v>
      </c>
      <c r="BD12">
        <v>41</v>
      </c>
      <c r="BE12">
        <v>30.1819726754428</v>
      </c>
      <c r="BF12" s="9">
        <v>1.35748245056253</v>
      </c>
      <c r="BG12">
        <v>39</v>
      </c>
      <c r="BH12">
        <v>28.729653178086</v>
      </c>
      <c r="BI12">
        <v>1.6265376708688899</v>
      </c>
      <c r="BJ12">
        <v>3</v>
      </c>
      <c r="BK12">
        <v>1.84440855796312</v>
      </c>
      <c r="BL12">
        <v>2.95645905178392</v>
      </c>
      <c r="BM12">
        <v>5</v>
      </c>
      <c r="BN12">
        <v>1.69121232948685</v>
      </c>
    </row>
    <row r="13" spans="1:66" x14ac:dyDescent="0.45">
      <c r="A13">
        <v>4</v>
      </c>
      <c r="B13" t="s">
        <v>55</v>
      </c>
      <c r="C13" s="9">
        <f>Table1[[#This Row],[Points]]/Table1[[#This Row],[xPoints]]</f>
        <v>1.1265517715234099</v>
      </c>
      <c r="D13" s="18">
        <f>(Table1[[#This Row],[xWins]]*3+Table1[[#This Row],[xDraws]])/(Table1[[#This Row],[Wins]]+Table1[[#This Row],[Draws]]+Table1[[#This Row],[Losses]])</f>
        <v>1.2531733929753255</v>
      </c>
      <c r="E13">
        <v>24</v>
      </c>
      <c r="F13">
        <v>21.303947680580499</v>
      </c>
      <c r="G13">
        <v>6</v>
      </c>
      <c r="H13">
        <v>6</v>
      </c>
      <c r="I13">
        <v>5</v>
      </c>
      <c r="J13">
        <v>5.4878502268237499</v>
      </c>
      <c r="K13">
        <v>4.84039700010928</v>
      </c>
      <c r="L13">
        <v>6.6717527730669604</v>
      </c>
      <c r="M13">
        <v>0</v>
      </c>
      <c r="N13">
        <v>-2.4707666674928399</v>
      </c>
      <c r="O13">
        <v>-4.60852249430864</v>
      </c>
      <c r="P13">
        <v>7.0792891618014897</v>
      </c>
      <c r="Q13" s="9">
        <f>Table1[[#This Row],[GoalsF]]/Table1[[#This Row],[xGoalsF]]</f>
        <v>0.7763778312792039</v>
      </c>
      <c r="R13">
        <v>16</v>
      </c>
      <c r="S13">
        <v>20.608522494308598</v>
      </c>
      <c r="T13" s="9">
        <f>Table1[[#This Row],[GoalsA]]/Table1[[#This Row],[xGoalsA]]</f>
        <v>0.69326225291555543</v>
      </c>
      <c r="U13">
        <v>16</v>
      </c>
      <c r="V13">
        <v>23.079289161801402</v>
      </c>
      <c r="W13">
        <f>Table1[[#This Row],[GoalsF]]-Table1[[#This Row],[HTGoalsF]]</f>
        <v>12</v>
      </c>
      <c r="X13">
        <f>Table1[[#This Row],[xGoalsF]]-Table1[[#This Row],[xHTGoalsF]]</f>
        <v>11.570824480589218</v>
      </c>
      <c r="Y13">
        <f>Table1[[#This Row],[GoalsA]]-Table1[[#This Row],[HTGoalsA]]</f>
        <v>9</v>
      </c>
      <c r="Z13">
        <f>Table1[[#This Row],[xGoalsA]]-Table1[[#This Row],[xHTGoalsA]]</f>
        <v>12.970938875469802</v>
      </c>
      <c r="AA13">
        <v>4</v>
      </c>
      <c r="AB13">
        <v>9.0376980137193801</v>
      </c>
      <c r="AC13">
        <v>7</v>
      </c>
      <c r="AD13">
        <v>10.1083502863316</v>
      </c>
      <c r="AE13" s="16">
        <f>Table1[[#This Row],[ShotsF100]]-Table1[[#This Row],[ShotsTF100]]</f>
        <v>0.34381055298754803</v>
      </c>
      <c r="AF13" s="9">
        <v>1.1856605089413801</v>
      </c>
      <c r="AG13">
        <v>221</v>
      </c>
      <c r="AH13">
        <v>186.393995864228</v>
      </c>
      <c r="AI13" s="16">
        <f>Table1[[#This Row],[ShotsA100]]-Table1[[#This Row],[ShotsTA100]]</f>
        <v>0.36979858851566494</v>
      </c>
      <c r="AJ13" s="9">
        <v>1.0446643411173699</v>
      </c>
      <c r="AK13">
        <v>206</v>
      </c>
      <c r="AL13">
        <v>197.192525763502</v>
      </c>
      <c r="AM13" s="9">
        <v>0.84184995595383205</v>
      </c>
      <c r="AN13">
        <v>66</v>
      </c>
      <c r="AO13">
        <v>78.398768727404303</v>
      </c>
      <c r="AP13">
        <f>Table1[[#This Row],[ShotsF]]-Table1[[#This Row],[ShotsTF]]</f>
        <v>155</v>
      </c>
      <c r="AQ13">
        <f>Table1[[#This Row],[xShotsF]]-Table1[[#This Row],[xShotsTF]]</f>
        <v>107.9952271368237</v>
      </c>
      <c r="AR13" s="9">
        <v>0.674865752601705</v>
      </c>
      <c r="AS13">
        <v>57</v>
      </c>
      <c r="AT13">
        <v>84.4612425215781</v>
      </c>
      <c r="AU13">
        <f>Table1[[#This Row],[ShotsA]]-Table1[[#This Row],[ShotsTA]]</f>
        <v>149</v>
      </c>
      <c r="AV13">
        <f>Table1[[#This Row],[xShotsA]]-Table1[[#This Row],[xShotsTA]]</f>
        <v>112.7312832419239</v>
      </c>
      <c r="AW13" s="9">
        <v>1.13847242209134</v>
      </c>
      <c r="AX13">
        <v>254</v>
      </c>
      <c r="AY13">
        <v>223.10597522723401</v>
      </c>
      <c r="AZ13" s="9">
        <v>0.96793621328683199</v>
      </c>
      <c r="BA13">
        <v>214</v>
      </c>
      <c r="BB13">
        <v>221.088948902239</v>
      </c>
      <c r="BC13" s="9">
        <v>1.0955073445128201</v>
      </c>
      <c r="BD13">
        <v>33</v>
      </c>
      <c r="BE13">
        <v>30.123029448675201</v>
      </c>
      <c r="BF13" s="9">
        <v>0.99846129794568295</v>
      </c>
      <c r="BG13">
        <v>29</v>
      </c>
      <c r="BH13">
        <v>29.0446911259024</v>
      </c>
      <c r="BI13">
        <v>2.7265095119930201</v>
      </c>
      <c r="BJ13">
        <v>5</v>
      </c>
      <c r="BK13">
        <v>1.83384652721973</v>
      </c>
      <c r="BL13">
        <v>2.9060999224555699</v>
      </c>
      <c r="BM13">
        <v>5</v>
      </c>
      <c r="BN13">
        <v>1.7205189544119699</v>
      </c>
    </row>
    <row r="14" spans="1:66" x14ac:dyDescent="0.45">
      <c r="A14">
        <v>13</v>
      </c>
      <c r="B14" t="s">
        <v>64</v>
      </c>
      <c r="C14" s="9">
        <f>Table1[[#This Row],[Points]]/Table1[[#This Row],[xPoints]]</f>
        <v>0.7230758514865403</v>
      </c>
      <c r="D14" s="18">
        <f>(Table1[[#This Row],[xWins]]*3+Table1[[#This Row],[xDraws]])/(Table1[[#This Row],[Wins]]+Table1[[#This Row],[Draws]]+Table1[[#This Row],[Losses]])</f>
        <v>1.2202771526147369</v>
      </c>
      <c r="E14">
        <v>15</v>
      </c>
      <c r="F14">
        <v>20.7447115944505</v>
      </c>
      <c r="G14">
        <v>3</v>
      </c>
      <c r="H14">
        <v>6</v>
      </c>
      <c r="I14">
        <v>8</v>
      </c>
      <c r="J14">
        <v>5.3695674745769999</v>
      </c>
      <c r="K14">
        <v>4.6360091707195297</v>
      </c>
      <c r="L14">
        <v>6.9944233547034598</v>
      </c>
      <c r="M14">
        <v>-11</v>
      </c>
      <c r="N14">
        <v>-3.7103159480794701</v>
      </c>
      <c r="O14">
        <v>-4.23190168487855</v>
      </c>
      <c r="P14">
        <v>-3.0577823670419599</v>
      </c>
      <c r="Q14" s="9">
        <f>Table1[[#This Row],[GoalsF]]/Table1[[#This Row],[xGoalsF]]</f>
        <v>0.7908302565526274</v>
      </c>
      <c r="R14">
        <v>16</v>
      </c>
      <c r="S14">
        <v>20.231901684878501</v>
      </c>
      <c r="T14" s="9">
        <f>Table1[[#This Row],[GoalsA]]/Table1[[#This Row],[xGoalsA]]</f>
        <v>1.1277150852907112</v>
      </c>
      <c r="U14">
        <v>27</v>
      </c>
      <c r="V14">
        <v>23.942217632957998</v>
      </c>
      <c r="W14">
        <f>Table1[[#This Row],[GoalsF]]-Table1[[#This Row],[HTGoalsF]]</f>
        <v>8</v>
      </c>
      <c r="X14">
        <f>Table1[[#This Row],[xGoalsF]]-Table1[[#This Row],[xHTGoalsF]]</f>
        <v>11.319736681259061</v>
      </c>
      <c r="Y14">
        <f>Table1[[#This Row],[GoalsA]]-Table1[[#This Row],[HTGoalsA]]</f>
        <v>16</v>
      </c>
      <c r="Z14">
        <f>Table1[[#This Row],[xGoalsA]]-Table1[[#This Row],[xHTGoalsA]]</f>
        <v>13.489301430802298</v>
      </c>
      <c r="AA14">
        <v>8</v>
      </c>
      <c r="AB14">
        <v>8.9121650036194406</v>
      </c>
      <c r="AC14">
        <v>11</v>
      </c>
      <c r="AD14">
        <v>10.4529162021557</v>
      </c>
      <c r="AE14" s="16">
        <f>Table1[[#This Row],[ShotsF100]]-Table1[[#This Row],[ShotsTF100]]</f>
        <v>0.2871458331625949</v>
      </c>
      <c r="AF14" s="9">
        <v>1.0960294402641899</v>
      </c>
      <c r="AG14">
        <v>201</v>
      </c>
      <c r="AH14">
        <v>183.38923446394799</v>
      </c>
      <c r="AI14" s="16">
        <f>Table1[[#This Row],[ShotsA100]]-Table1[[#This Row],[ShotsTA100]]</f>
        <v>0.36617393136128895</v>
      </c>
      <c r="AJ14" s="9">
        <v>1.1626645730668399</v>
      </c>
      <c r="AK14">
        <v>234</v>
      </c>
      <c r="AL14">
        <v>201.26183029965401</v>
      </c>
      <c r="AM14" s="9">
        <v>0.80888360710159501</v>
      </c>
      <c r="AN14">
        <v>63</v>
      </c>
      <c r="AO14">
        <v>77.885123949714497</v>
      </c>
      <c r="AP14">
        <f>Table1[[#This Row],[ShotsF]]-Table1[[#This Row],[ShotsTF]]</f>
        <v>138</v>
      </c>
      <c r="AQ14">
        <f>Table1[[#This Row],[xShotsF]]-Table1[[#This Row],[xShotsTF]]</f>
        <v>105.50411051423349</v>
      </c>
      <c r="AR14" s="9">
        <v>0.79649064170555095</v>
      </c>
      <c r="AS14">
        <v>69</v>
      </c>
      <c r="AT14">
        <v>86.630019722828195</v>
      </c>
      <c r="AU14">
        <f>Table1[[#This Row],[ShotsA]]-Table1[[#This Row],[ShotsTA]]</f>
        <v>165</v>
      </c>
      <c r="AV14">
        <f>Table1[[#This Row],[xShotsA]]-Table1[[#This Row],[xShotsTA]]</f>
        <v>114.63181057682581</v>
      </c>
      <c r="AW14" s="9">
        <v>1.127395954209</v>
      </c>
      <c r="AX14">
        <v>252</v>
      </c>
      <c r="AY14">
        <v>223.52395275074801</v>
      </c>
      <c r="AZ14" s="9">
        <v>0.98165052560273602</v>
      </c>
      <c r="BA14">
        <v>217</v>
      </c>
      <c r="BB14">
        <v>221.05626629880399</v>
      </c>
      <c r="BC14" s="9">
        <v>1.1286249828974599</v>
      </c>
      <c r="BD14">
        <v>34</v>
      </c>
      <c r="BE14">
        <v>30.125152743574098</v>
      </c>
      <c r="BF14" s="9">
        <v>1.21453786431307</v>
      </c>
      <c r="BG14">
        <v>35</v>
      </c>
      <c r="BH14">
        <v>28.8175453630632</v>
      </c>
      <c r="BI14">
        <v>1.61309414797644</v>
      </c>
      <c r="BJ14">
        <v>3</v>
      </c>
      <c r="BK14">
        <v>1.8597798546125499</v>
      </c>
      <c r="BL14">
        <v>0.57489716244911204</v>
      </c>
      <c r="BM14">
        <v>1</v>
      </c>
      <c r="BN14">
        <v>1.7394415302728401</v>
      </c>
    </row>
    <row r="15" spans="1:66" x14ac:dyDescent="0.45">
      <c r="A15">
        <v>10</v>
      </c>
      <c r="B15" t="s">
        <v>61</v>
      </c>
      <c r="C15" s="9">
        <f>Table1[[#This Row],[Points]]/Table1[[#This Row],[xPoints]]</f>
        <v>0.98725748211040731</v>
      </c>
      <c r="D15" s="18">
        <f>(Table1[[#This Row],[xWins]]*3+Table1[[#This Row],[xDraws]])/(Table1[[#This Row],[Wins]]+Table1[[#This Row],[Draws]]+Table1[[#This Row],[Losses]])</f>
        <v>1.1916552769196735</v>
      </c>
      <c r="E15">
        <v>20</v>
      </c>
      <c r="F15">
        <v>20.258139707634399</v>
      </c>
      <c r="G15">
        <v>4</v>
      </c>
      <c r="H15">
        <v>8</v>
      </c>
      <c r="I15">
        <v>5</v>
      </c>
      <c r="J15">
        <v>5.09765379263008</v>
      </c>
      <c r="K15">
        <v>4.9651783297442096</v>
      </c>
      <c r="L15">
        <v>6.93716787762569</v>
      </c>
      <c r="M15">
        <v>-4</v>
      </c>
      <c r="N15">
        <v>-3.9854822786423001</v>
      </c>
      <c r="O15">
        <v>-0.68663869635844998</v>
      </c>
      <c r="P15">
        <v>0.67212097500075096</v>
      </c>
      <c r="Q15" s="9">
        <f>Table1[[#This Row],[GoalsF]]/Table1[[#This Row],[xGoalsF]]</f>
        <v>0.96512158794861136</v>
      </c>
      <c r="R15">
        <v>19</v>
      </c>
      <c r="S15">
        <v>19.686638696358401</v>
      </c>
      <c r="T15" s="9">
        <f>Table1[[#This Row],[GoalsA]]/Table1[[#This Row],[xGoalsA]]</f>
        <v>0.97160706572467659</v>
      </c>
      <c r="U15">
        <v>23</v>
      </c>
      <c r="V15">
        <v>23.672120975000698</v>
      </c>
      <c r="W15">
        <f>Table1[[#This Row],[GoalsF]]-Table1[[#This Row],[HTGoalsF]]</f>
        <v>8</v>
      </c>
      <c r="X15">
        <f>Table1[[#This Row],[xGoalsF]]-Table1[[#This Row],[xHTGoalsF]]</f>
        <v>11.01577409663572</v>
      </c>
      <c r="Y15">
        <f>Table1[[#This Row],[GoalsA]]-Table1[[#This Row],[HTGoalsA]]</f>
        <v>11</v>
      </c>
      <c r="Z15">
        <f>Table1[[#This Row],[xGoalsA]]-Table1[[#This Row],[xHTGoalsA]]</f>
        <v>13.251507824554999</v>
      </c>
      <c r="AA15">
        <v>11</v>
      </c>
      <c r="AB15">
        <v>8.6708645997226803</v>
      </c>
      <c r="AC15">
        <v>12</v>
      </c>
      <c r="AD15">
        <v>10.4206131504457</v>
      </c>
      <c r="AE15" s="16">
        <f>Table1[[#This Row],[ShotsF100]]-Table1[[#This Row],[ShotsTF100]]</f>
        <v>0.21252529055828395</v>
      </c>
      <c r="AF15" s="9">
        <v>1.08297503624629</v>
      </c>
      <c r="AG15">
        <v>196</v>
      </c>
      <c r="AH15">
        <v>180.98293445373901</v>
      </c>
      <c r="AI15" s="16">
        <f>Table1[[#This Row],[ShotsA100]]-Table1[[#This Row],[ShotsTA100]]</f>
        <v>0.29167805622639487</v>
      </c>
      <c r="AJ15" s="9">
        <v>1.0812114585961099</v>
      </c>
      <c r="AK15">
        <v>218</v>
      </c>
      <c r="AL15">
        <v>201.62568410351301</v>
      </c>
      <c r="AM15" s="9">
        <v>0.87044974568800604</v>
      </c>
      <c r="AN15">
        <v>66</v>
      </c>
      <c r="AO15">
        <v>75.8228724023962</v>
      </c>
      <c r="AP15">
        <f>Table1[[#This Row],[ShotsF]]-Table1[[#This Row],[ShotsTF]]</f>
        <v>130</v>
      </c>
      <c r="AQ15">
        <f>Table1[[#This Row],[xShotsF]]-Table1[[#This Row],[xShotsTF]]</f>
        <v>105.16006205134281</v>
      </c>
      <c r="AR15" s="9">
        <v>0.78953340236971503</v>
      </c>
      <c r="AS15">
        <v>68</v>
      </c>
      <c r="AT15">
        <v>86.126818442264707</v>
      </c>
      <c r="AU15">
        <f>Table1[[#This Row],[ShotsA]]-Table1[[#This Row],[ShotsTA]]</f>
        <v>150</v>
      </c>
      <c r="AV15">
        <f>Table1[[#This Row],[xShotsA]]-Table1[[#This Row],[xShotsTA]]</f>
        <v>115.4988656612483</v>
      </c>
      <c r="AW15" s="9">
        <v>1.0451355787469701</v>
      </c>
      <c r="AX15">
        <v>234</v>
      </c>
      <c r="AY15">
        <v>223.89439682126601</v>
      </c>
      <c r="AZ15" s="9">
        <v>0.89257590644770801</v>
      </c>
      <c r="BA15">
        <v>197</v>
      </c>
      <c r="BB15">
        <v>220.70952013932799</v>
      </c>
      <c r="BC15" s="9">
        <v>0.94069297251808004</v>
      </c>
      <c r="BD15">
        <v>29</v>
      </c>
      <c r="BE15">
        <v>30.828337031552099</v>
      </c>
      <c r="BF15" s="9">
        <v>0.97268331642608397</v>
      </c>
      <c r="BG15">
        <v>28</v>
      </c>
      <c r="BH15">
        <v>28.786347547195401</v>
      </c>
      <c r="BI15">
        <v>1.0374115048502199</v>
      </c>
      <c r="BJ15">
        <v>2</v>
      </c>
      <c r="BK15">
        <v>1.92787528444534</v>
      </c>
      <c r="BL15">
        <v>3.0079958907940201</v>
      </c>
      <c r="BM15">
        <v>5</v>
      </c>
      <c r="BN15">
        <v>1.6622363133216</v>
      </c>
    </row>
    <row r="16" spans="1:66" x14ac:dyDescent="0.45">
      <c r="A16">
        <v>2</v>
      </c>
      <c r="B16" t="s">
        <v>53</v>
      </c>
      <c r="C16" s="9">
        <f>Table1[[#This Row],[Points]]/Table1[[#This Row],[xPoints]]</f>
        <v>1.1272568280102684</v>
      </c>
      <c r="D16" s="18">
        <f>(Table1[[#This Row],[xWins]]*3+Table1[[#This Row],[xDraws]])/(Table1[[#This Row],[Wins]]+Table1[[#This Row],[Draws]]+Table1[[#This Row],[Losses]])</f>
        <v>1.0958408828869046</v>
      </c>
      <c r="E16">
        <v>21</v>
      </c>
      <c r="F16">
        <v>18.6292950090773</v>
      </c>
      <c r="G16">
        <v>5</v>
      </c>
      <c r="H16">
        <v>6</v>
      </c>
      <c r="I16">
        <v>6</v>
      </c>
      <c r="J16">
        <v>4.6716380170103697</v>
      </c>
      <c r="K16">
        <v>4.6143809580462696</v>
      </c>
      <c r="L16">
        <v>7.71398102494335</v>
      </c>
      <c r="M16">
        <v>-6</v>
      </c>
      <c r="N16">
        <v>-6.8148560671615899</v>
      </c>
      <c r="O16">
        <v>-1.8647188786592499</v>
      </c>
      <c r="P16">
        <v>2.67957494582084</v>
      </c>
      <c r="Q16" s="9">
        <f>Table1[[#This Row],[GoalsF]]/Table1[[#This Row],[xGoalsF]]</f>
        <v>0.90115310539990756</v>
      </c>
      <c r="R16">
        <v>17</v>
      </c>
      <c r="S16">
        <v>18.8647188786592</v>
      </c>
      <c r="T16" s="9">
        <f>Table1[[#This Row],[GoalsA]]/Table1[[#This Row],[xGoalsA]]</f>
        <v>0.89565345409827801</v>
      </c>
      <c r="U16">
        <v>23</v>
      </c>
      <c r="V16">
        <v>25.6795749458208</v>
      </c>
      <c r="W16">
        <f>Table1[[#This Row],[GoalsF]]-Table1[[#This Row],[HTGoalsF]]</f>
        <v>11</v>
      </c>
      <c r="X16">
        <f>Table1[[#This Row],[xGoalsF]]-Table1[[#This Row],[xHTGoalsF]]</f>
        <v>10.574603198682391</v>
      </c>
      <c r="Y16">
        <f>Table1[[#This Row],[GoalsA]]-Table1[[#This Row],[HTGoalsA]]</f>
        <v>12</v>
      </c>
      <c r="Z16">
        <f>Table1[[#This Row],[xGoalsA]]-Table1[[#This Row],[xHTGoalsA]]</f>
        <v>14.5132609153912</v>
      </c>
      <c r="AA16">
        <v>6</v>
      </c>
      <c r="AB16">
        <v>8.2901156799768092</v>
      </c>
      <c r="AC16">
        <v>11</v>
      </c>
      <c r="AD16">
        <v>11.1663140304296</v>
      </c>
      <c r="AE16" s="16">
        <f>Table1[[#This Row],[ShotsF100]]-Table1[[#This Row],[ShotsTF100]]</f>
        <v>0.317020198452582</v>
      </c>
      <c r="AF16" s="9">
        <v>1.26211701517814</v>
      </c>
      <c r="AG16">
        <v>225</v>
      </c>
      <c r="AH16">
        <v>178.27190133257201</v>
      </c>
      <c r="AI16" s="16">
        <f>Table1[[#This Row],[ShotsA100]]-Table1[[#This Row],[ShotsTA100]]</f>
        <v>0.28312653412662991</v>
      </c>
      <c r="AJ16" s="9">
        <v>1.1058503082906399</v>
      </c>
      <c r="AK16">
        <v>232</v>
      </c>
      <c r="AL16">
        <v>209.79331312807599</v>
      </c>
      <c r="AM16" s="9">
        <v>0.94509681672555801</v>
      </c>
      <c r="AN16">
        <v>70</v>
      </c>
      <c r="AO16">
        <v>74.066485846948893</v>
      </c>
      <c r="AP16">
        <f>Table1[[#This Row],[ShotsF]]-Table1[[#This Row],[ShotsTF]]</f>
        <v>155</v>
      </c>
      <c r="AQ16">
        <f>Table1[[#This Row],[xShotsF]]-Table1[[#This Row],[xShotsTF]]</f>
        <v>104.20541548562312</v>
      </c>
      <c r="AR16" s="9">
        <v>0.82272377416400999</v>
      </c>
      <c r="AS16">
        <v>74</v>
      </c>
      <c r="AT16">
        <v>89.945133863662903</v>
      </c>
      <c r="AU16">
        <f>Table1[[#This Row],[ShotsA]]-Table1[[#This Row],[ShotsTA]]</f>
        <v>158</v>
      </c>
      <c r="AV16">
        <f>Table1[[#This Row],[xShotsA]]-Table1[[#This Row],[xShotsTA]]</f>
        <v>119.84817926441309</v>
      </c>
      <c r="AW16" s="9">
        <v>0.93435836717106302</v>
      </c>
      <c r="AX16">
        <v>210</v>
      </c>
      <c r="AY16">
        <v>224.75316471538801</v>
      </c>
      <c r="AZ16" s="9">
        <v>0.724373605363276</v>
      </c>
      <c r="BA16">
        <v>159</v>
      </c>
      <c r="BB16">
        <v>219.49999119620099</v>
      </c>
      <c r="BC16" s="9">
        <v>1.16665064427466</v>
      </c>
      <c r="BD16">
        <v>36</v>
      </c>
      <c r="BE16">
        <v>30.857566638881899</v>
      </c>
      <c r="BF16" s="9">
        <v>0.781242556655948</v>
      </c>
      <c r="BG16">
        <v>22</v>
      </c>
      <c r="BH16">
        <v>28.1602682964038</v>
      </c>
      <c r="BI16">
        <v>2.1099254841207902</v>
      </c>
      <c r="BJ16">
        <v>4</v>
      </c>
      <c r="BK16">
        <v>1.8958015484924999</v>
      </c>
      <c r="BL16">
        <v>0</v>
      </c>
      <c r="BM16">
        <v>0</v>
      </c>
      <c r="BN16">
        <v>1.64392696422814</v>
      </c>
    </row>
    <row r="17" spans="1:83" x14ac:dyDescent="0.45">
      <c r="A17">
        <v>14</v>
      </c>
      <c r="B17" t="s">
        <v>65</v>
      </c>
      <c r="C17" s="9">
        <f>Table1[[#This Row],[Points]]/Table1[[#This Row],[xPoints]]</f>
        <v>0.8168980844265098</v>
      </c>
      <c r="D17" s="18">
        <f>(Table1[[#This Row],[xWins]]*3+Table1[[#This Row],[xDraws]])/(Table1[[#This Row],[Wins]]+Table1[[#This Row],[Draws]]+Table1[[#This Row],[Losses]])</f>
        <v>1.0801260989562895</v>
      </c>
      <c r="E17">
        <v>15</v>
      </c>
      <c r="F17">
        <v>18.3621436822569</v>
      </c>
      <c r="G17">
        <v>3</v>
      </c>
      <c r="H17">
        <v>6</v>
      </c>
      <c r="I17">
        <v>8</v>
      </c>
      <c r="J17">
        <v>4.4721768027697202</v>
      </c>
      <c r="K17">
        <v>4.9456132739477603</v>
      </c>
      <c r="L17">
        <v>7.5822099232825098</v>
      </c>
      <c r="M17">
        <v>-8</v>
      </c>
      <c r="N17">
        <v>-6.6159988979283497</v>
      </c>
      <c r="O17">
        <v>-7.6018190850838803</v>
      </c>
      <c r="P17">
        <v>6.21781798301223</v>
      </c>
      <c r="Q17" s="9">
        <f>Table1[[#This Row],[GoalsF]]/Table1[[#This Row],[xGoalsF]]</f>
        <v>0.59134001624715005</v>
      </c>
      <c r="R17">
        <v>11</v>
      </c>
      <c r="S17">
        <v>18.6018190850838</v>
      </c>
      <c r="T17" s="9">
        <f>Table1[[#This Row],[GoalsA]]/Table1[[#This Row],[xGoalsA]]</f>
        <v>0.75343552772088418</v>
      </c>
      <c r="U17">
        <v>19</v>
      </c>
      <c r="V17">
        <v>25.2178179830122</v>
      </c>
      <c r="W17">
        <f>Table1[[#This Row],[GoalsF]]-Table1[[#This Row],[HTGoalsF]]</f>
        <v>7</v>
      </c>
      <c r="X17">
        <f>Table1[[#This Row],[xGoalsF]]-Table1[[#This Row],[xHTGoalsF]]</f>
        <v>10.403443349195081</v>
      </c>
      <c r="Y17">
        <f>Table1[[#This Row],[GoalsA]]-Table1[[#This Row],[HTGoalsA]]</f>
        <v>11</v>
      </c>
      <c r="Z17">
        <f>Table1[[#This Row],[xGoalsA]]-Table1[[#This Row],[xHTGoalsA]]</f>
        <v>14.2360529457683</v>
      </c>
      <c r="AA17">
        <v>4</v>
      </c>
      <c r="AB17">
        <v>8.1983757358887193</v>
      </c>
      <c r="AC17">
        <v>8</v>
      </c>
      <c r="AD17">
        <v>10.9817650372439</v>
      </c>
      <c r="AE17" s="16">
        <f>Table1[[#This Row],[ShotsF100]]-Table1[[#This Row],[ShotsTF100]]</f>
        <v>0.49482793284277105</v>
      </c>
      <c r="AF17" s="9">
        <v>1.0710111540806</v>
      </c>
      <c r="AG17">
        <v>188</v>
      </c>
      <c r="AH17">
        <v>175.53505328465599</v>
      </c>
      <c r="AI17" s="16">
        <f>Table1[[#This Row],[ShotsA100]]-Table1[[#This Row],[ShotsTA100]]</f>
        <v>0.39273114967305189</v>
      </c>
      <c r="AJ17" s="9">
        <v>1.1982782391559199</v>
      </c>
      <c r="AK17">
        <v>250</v>
      </c>
      <c r="AL17">
        <v>208.632679648845</v>
      </c>
      <c r="AM17" s="9">
        <v>0.57618322123782895</v>
      </c>
      <c r="AN17">
        <v>42</v>
      </c>
      <c r="AO17">
        <v>72.893479802779197</v>
      </c>
      <c r="AP17">
        <f>Table1[[#This Row],[ShotsF]]-Table1[[#This Row],[ShotsTF]]</f>
        <v>146</v>
      </c>
      <c r="AQ17">
        <f>Table1[[#This Row],[xShotsF]]-Table1[[#This Row],[xShotsTF]]</f>
        <v>102.64157348187679</v>
      </c>
      <c r="AR17" s="9">
        <v>0.80554708948286802</v>
      </c>
      <c r="AS17">
        <v>72</v>
      </c>
      <c r="AT17">
        <v>89.380249696167795</v>
      </c>
      <c r="AU17">
        <f>Table1[[#This Row],[ShotsA]]-Table1[[#This Row],[ShotsTA]]</f>
        <v>178</v>
      </c>
      <c r="AV17">
        <f>Table1[[#This Row],[xShotsA]]-Table1[[#This Row],[xShotsTA]]</f>
        <v>119.2524299526772</v>
      </c>
      <c r="AW17" s="9">
        <v>0.99293665234181105</v>
      </c>
      <c r="AX17">
        <v>223</v>
      </c>
      <c r="AY17">
        <v>224.586331337514</v>
      </c>
      <c r="AZ17" s="9">
        <v>1.1677832939594199</v>
      </c>
      <c r="BA17">
        <v>256</v>
      </c>
      <c r="BB17">
        <v>219.21875516134401</v>
      </c>
      <c r="BC17" s="9">
        <v>1.1794256712772899</v>
      </c>
      <c r="BD17">
        <v>37</v>
      </c>
      <c r="BE17">
        <v>31.371201171100299</v>
      </c>
      <c r="BF17" s="9">
        <v>1.1030642198531799</v>
      </c>
      <c r="BG17">
        <v>31</v>
      </c>
      <c r="BH17">
        <v>28.1035314554269</v>
      </c>
      <c r="BI17">
        <v>3.0587403460048899</v>
      </c>
      <c r="BJ17">
        <v>6</v>
      </c>
      <c r="BK17">
        <v>1.9615918061945801</v>
      </c>
      <c r="BL17">
        <v>1.2428574117659199</v>
      </c>
      <c r="BM17">
        <v>2</v>
      </c>
      <c r="BN17">
        <v>1.6091950541279501</v>
      </c>
    </row>
    <row r="18" spans="1:83" x14ac:dyDescent="0.45">
      <c r="A18">
        <v>1</v>
      </c>
      <c r="B18" t="s">
        <v>52</v>
      </c>
      <c r="C18" s="9">
        <f>Table1[[#This Row],[Points]]/Table1[[#This Row],[xPoints]]</f>
        <v>1.1684864050495236</v>
      </c>
      <c r="D18" s="18">
        <f>(Table1[[#This Row],[xWins]]*3+Table1[[#This Row],[xDraws]])/(Table1[[#This Row],[Wins]]+Table1[[#This Row],[Draws]]+Table1[[#This Row],[Losses]])</f>
        <v>1.0068329277527512</v>
      </c>
      <c r="E18">
        <v>20</v>
      </c>
      <c r="F18">
        <v>17.116159771796699</v>
      </c>
      <c r="G18">
        <v>5</v>
      </c>
      <c r="H18">
        <v>5</v>
      </c>
      <c r="I18">
        <v>7</v>
      </c>
      <c r="J18">
        <v>4.1596951548601302</v>
      </c>
      <c r="K18">
        <v>4.6370743072163796</v>
      </c>
      <c r="L18">
        <v>8.2032305379234796</v>
      </c>
      <c r="M18">
        <v>-6</v>
      </c>
      <c r="N18">
        <v>-9.1302091289445197</v>
      </c>
      <c r="O18">
        <v>-3.7029652446562901E-4</v>
      </c>
      <c r="P18">
        <v>3.13057942546898</v>
      </c>
      <c r="Q18" s="9">
        <f>Table1[[#This Row],[GoalsF]]/Table1[[#This Row],[xGoalsF]]</f>
        <v>0.99997942839406628</v>
      </c>
      <c r="R18">
        <v>18</v>
      </c>
      <c r="S18">
        <v>18.000370296524402</v>
      </c>
      <c r="T18" s="9">
        <f>Table1[[#This Row],[GoalsA]]/Table1[[#This Row],[xGoalsA]]</f>
        <v>0.88461066841314639</v>
      </c>
      <c r="U18">
        <v>24</v>
      </c>
      <c r="V18">
        <v>27.130579425468898</v>
      </c>
      <c r="W18">
        <f>Table1[[#This Row],[GoalsF]]-Table1[[#This Row],[HTGoalsF]]</f>
        <v>9</v>
      </c>
      <c r="X18">
        <f>Table1[[#This Row],[xGoalsF]]-Table1[[#This Row],[xHTGoalsF]]</f>
        <v>10.049123151939302</v>
      </c>
      <c r="Y18">
        <f>Table1[[#This Row],[GoalsA]]-Table1[[#This Row],[HTGoalsA]]</f>
        <v>11</v>
      </c>
      <c r="Z18">
        <f>Table1[[#This Row],[xGoalsA]]-Table1[[#This Row],[xHTGoalsA]]</f>
        <v>15.204748805700099</v>
      </c>
      <c r="AA18">
        <v>9</v>
      </c>
      <c r="AB18">
        <v>7.9512471445850998</v>
      </c>
      <c r="AC18">
        <v>13</v>
      </c>
      <c r="AD18">
        <v>11.925830619768799</v>
      </c>
      <c r="AE18" s="16">
        <f>Table1[[#This Row],[ShotsF100]]-Table1[[#This Row],[ShotsTF100]]</f>
        <v>0.19976209096394093</v>
      </c>
      <c r="AF18" s="9">
        <v>0.76175463522863296</v>
      </c>
      <c r="AG18">
        <v>132</v>
      </c>
      <c r="AH18">
        <v>173.284144126515</v>
      </c>
      <c r="AI18" s="16">
        <f>Table1[[#This Row],[ShotsA100]]-Table1[[#This Row],[ShotsTA100]]</f>
        <v>0.33263303648947007</v>
      </c>
      <c r="AJ18" s="9">
        <v>1.1579403236339201</v>
      </c>
      <c r="AK18">
        <v>251</v>
      </c>
      <c r="AL18">
        <v>216.764193177327</v>
      </c>
      <c r="AM18" s="9">
        <v>0.56199254426469203</v>
      </c>
      <c r="AN18">
        <v>40</v>
      </c>
      <c r="AO18">
        <v>71.175321466827896</v>
      </c>
      <c r="AP18">
        <f>Table1[[#This Row],[ShotsF]]-Table1[[#This Row],[ShotsTF]]</f>
        <v>92</v>
      </c>
      <c r="AQ18">
        <f>Table1[[#This Row],[xShotsF]]-Table1[[#This Row],[xShotsTF]]</f>
        <v>102.10882265968711</v>
      </c>
      <c r="AR18" s="9">
        <v>0.82530728714445001</v>
      </c>
      <c r="AS18">
        <v>77</v>
      </c>
      <c r="AT18">
        <v>93.298582478798494</v>
      </c>
      <c r="AU18">
        <f>Table1[[#This Row],[ShotsA]]-Table1[[#This Row],[ShotsTA]]</f>
        <v>174</v>
      </c>
      <c r="AV18">
        <f>Table1[[#This Row],[xShotsA]]-Table1[[#This Row],[xShotsTA]]</f>
        <v>123.46561069852851</v>
      </c>
      <c r="AW18" s="9">
        <v>0.95996427877985502</v>
      </c>
      <c r="AX18">
        <v>216</v>
      </c>
      <c r="AY18">
        <v>225.00837247250701</v>
      </c>
      <c r="AZ18" s="9">
        <v>1.0030493104613201</v>
      </c>
      <c r="BA18">
        <v>219</v>
      </c>
      <c r="BB18">
        <v>218.33423114490401</v>
      </c>
      <c r="BC18" s="9">
        <v>1.27676931886728</v>
      </c>
      <c r="BD18">
        <v>40</v>
      </c>
      <c r="BE18">
        <v>31.329073630534001</v>
      </c>
      <c r="BF18" s="9">
        <v>0.98089016103729898</v>
      </c>
      <c r="BG18">
        <v>27</v>
      </c>
      <c r="BH18">
        <v>27.526017766808099</v>
      </c>
      <c r="BI18">
        <v>1.0519321080455899</v>
      </c>
      <c r="BJ18">
        <v>2</v>
      </c>
      <c r="BK18">
        <v>1.90126338449336</v>
      </c>
      <c r="BL18">
        <v>1.9323077350470601</v>
      </c>
      <c r="BM18">
        <v>3</v>
      </c>
      <c r="BN18">
        <v>1.5525477363609099</v>
      </c>
    </row>
    <row r="19" spans="1:83" x14ac:dyDescent="0.45">
      <c r="A19">
        <v>3</v>
      </c>
      <c r="B19" t="s">
        <v>54</v>
      </c>
      <c r="C19" s="9">
        <f>Table1[[#This Row],[Points]]/Table1[[#This Row],[xPoints]]</f>
        <v>0.94758297797072166</v>
      </c>
      <c r="D19" s="18">
        <f>(Table1[[#This Row],[xWins]]*3+Table1[[#This Row],[xDraws]])/(Table1[[#This Row],[Wins]]+Table1[[#This Row],[Draws]]+Table1[[#This Row],[Losses]])</f>
        <v>0.99323910672582771</v>
      </c>
      <c r="E19">
        <v>16</v>
      </c>
      <c r="F19">
        <v>16.885064814339</v>
      </c>
      <c r="G19">
        <v>4</v>
      </c>
      <c r="H19">
        <v>4</v>
      </c>
      <c r="I19">
        <v>9</v>
      </c>
      <c r="J19">
        <v>4.0806666985842703</v>
      </c>
      <c r="K19">
        <v>4.6430647185862597</v>
      </c>
      <c r="L19">
        <v>8.2762685828294593</v>
      </c>
      <c r="M19">
        <v>-11</v>
      </c>
      <c r="N19">
        <v>-9.4577557229454907</v>
      </c>
      <c r="O19">
        <v>-3.9181169993209801</v>
      </c>
      <c r="P19">
        <v>2.3758727222664699</v>
      </c>
      <c r="Q19" s="9">
        <f>Table1[[#This Row],[GoalsF]]/Table1[[#This Row],[xGoalsF]]</f>
        <v>0.78133210094177874</v>
      </c>
      <c r="R19">
        <v>14</v>
      </c>
      <c r="S19">
        <v>17.918116999320901</v>
      </c>
      <c r="T19" s="9">
        <f>Table1[[#This Row],[GoalsA]]/Table1[[#This Row],[xGoalsA]]</f>
        <v>0.91321289566290376</v>
      </c>
      <c r="U19">
        <v>25</v>
      </c>
      <c r="V19">
        <v>27.375872722266401</v>
      </c>
      <c r="W19">
        <f>Table1[[#This Row],[GoalsF]]-Table1[[#This Row],[HTGoalsF]]</f>
        <v>6</v>
      </c>
      <c r="X19">
        <f>Table1[[#This Row],[xGoalsF]]-Table1[[#This Row],[xHTGoalsF]]</f>
        <v>10.052338104939572</v>
      </c>
      <c r="Y19">
        <f>Table1[[#This Row],[GoalsA]]-Table1[[#This Row],[HTGoalsA]]</f>
        <v>16</v>
      </c>
      <c r="Z19">
        <f>Table1[[#This Row],[xGoalsA]]-Table1[[#This Row],[xHTGoalsA]]</f>
        <v>15.4359973428594</v>
      </c>
      <c r="AA19">
        <v>8</v>
      </c>
      <c r="AB19">
        <v>7.8657788943813296</v>
      </c>
      <c r="AC19">
        <v>9</v>
      </c>
      <c r="AD19">
        <v>11.939875379407001</v>
      </c>
      <c r="AE19" s="16">
        <f>Table1[[#This Row],[ShotsF100]]-Table1[[#This Row],[ShotsTF100]]</f>
        <v>0.3349528164017711</v>
      </c>
      <c r="AF19" s="9">
        <v>0.91450323786046706</v>
      </c>
      <c r="AG19">
        <v>157</v>
      </c>
      <c r="AH19">
        <v>171.67790500918301</v>
      </c>
      <c r="AI19" s="16">
        <f>Table1[[#This Row],[ShotsA100]]-Table1[[#This Row],[ShotsTA100]]</f>
        <v>0.33912234929681295</v>
      </c>
      <c r="AJ19" s="9">
        <v>1.08544017902404</v>
      </c>
      <c r="AK19">
        <v>236</v>
      </c>
      <c r="AL19">
        <v>217.42331319649099</v>
      </c>
      <c r="AM19" s="9">
        <v>0.57955042145869595</v>
      </c>
      <c r="AN19">
        <v>41</v>
      </c>
      <c r="AO19">
        <v>70.744491733446196</v>
      </c>
      <c r="AP19">
        <f>Table1[[#This Row],[ShotsF]]-Table1[[#This Row],[ShotsTF]]</f>
        <v>116</v>
      </c>
      <c r="AQ19">
        <f>Table1[[#This Row],[xShotsF]]-Table1[[#This Row],[xShotsTF]]</f>
        <v>100.93341327573681</v>
      </c>
      <c r="AR19" s="9">
        <v>0.74631782972722704</v>
      </c>
      <c r="AS19">
        <v>70</v>
      </c>
      <c r="AT19">
        <v>93.793819753153002</v>
      </c>
      <c r="AU19">
        <f>Table1[[#This Row],[ShotsA]]-Table1[[#This Row],[ShotsTA]]</f>
        <v>166</v>
      </c>
      <c r="AV19">
        <f>Table1[[#This Row],[xShotsA]]-Table1[[#This Row],[xShotsTA]]</f>
        <v>123.62949344333799</v>
      </c>
      <c r="AW19" s="9">
        <v>0.81128056221827805</v>
      </c>
      <c r="AX19">
        <v>184</v>
      </c>
      <c r="AY19">
        <v>226.801933349531</v>
      </c>
      <c r="AZ19" s="9">
        <v>0.95939209068961095</v>
      </c>
      <c r="BA19">
        <v>210</v>
      </c>
      <c r="BB19">
        <v>218.888608774179</v>
      </c>
      <c r="BC19" s="9">
        <v>0.98102717636202297</v>
      </c>
      <c r="BD19">
        <v>31</v>
      </c>
      <c r="BE19">
        <v>31.599532354402601</v>
      </c>
      <c r="BF19" s="9">
        <v>1.1967673038104301</v>
      </c>
      <c r="BG19">
        <v>33</v>
      </c>
      <c r="BH19">
        <v>27.574282732265399</v>
      </c>
      <c r="BI19">
        <v>1.52231735450776</v>
      </c>
      <c r="BJ19">
        <v>3</v>
      </c>
      <c r="BK19">
        <v>1.9706797607717099</v>
      </c>
      <c r="BL19">
        <v>1.2564414839942</v>
      </c>
      <c r="BM19">
        <v>2</v>
      </c>
      <c r="BN19">
        <v>1.5917971711997501</v>
      </c>
    </row>
    <row r="20" spans="1:83" x14ac:dyDescent="0.45">
      <c r="C20" s="16">
        <f>SUBTOTAL(101,Table1[Ratio Pts])</f>
        <v>0.97521421526471819</v>
      </c>
      <c r="E20">
        <f>SUBTOTAL(109,Table1[Points])</f>
        <v>405</v>
      </c>
      <c r="F20">
        <f>SUBTOTAL(109,Table1[xPoints])</f>
        <v>416.29424663674769</v>
      </c>
      <c r="G20">
        <f>SUBTOTAL(109,Table1[Wins])</f>
        <v>99</v>
      </c>
      <c r="H20">
        <f>SUBTOTAL(109,Table1[Draws])</f>
        <v>108</v>
      </c>
      <c r="I20">
        <f>SUBTOTAL(109,Table1[Losses])</f>
        <v>99</v>
      </c>
      <c r="J20">
        <f>SUBTOTAL(109,Table1[xWins])</f>
        <v>110.29424663674887</v>
      </c>
      <c r="K20">
        <f>SUBTOTAL(109,Table1[xDraws])</f>
        <v>85.411506726502012</v>
      </c>
      <c r="L20">
        <f>SUBTOTAL(109,Table1[xLosses])</f>
        <v>110.29424663674887</v>
      </c>
      <c r="Q20" s="16">
        <f>SUBTOTAL(101,Table1[RGoalsF])</f>
        <v>0.83601215469641865</v>
      </c>
      <c r="R20">
        <f>SUBTOTAL(109,Table1[GoalsF])</f>
        <v>332</v>
      </c>
      <c r="S20">
        <f>SUM(Table1[xGoalsF])</f>
        <v>397.36852757951095</v>
      </c>
      <c r="U20">
        <f>SUBTOTAL(109,Table1[GoalsA])</f>
        <v>332</v>
      </c>
      <c r="W20">
        <f>SUBTOTAL(109,Table1[2HTGoalsF])</f>
        <v>178</v>
      </c>
      <c r="X20">
        <f>SUBTOTAL(109,Table1[x2HTGoalsF])</f>
        <v>223.21076668035869</v>
      </c>
      <c r="AA20">
        <f>SUBTOTAL(109,Table1[HTGoalsF])</f>
        <v>154</v>
      </c>
      <c r="AB20">
        <f>SUBTOTAL(109,Table1[xHTGoalsF])</f>
        <v>174.15776089915229</v>
      </c>
      <c r="AF20">
        <f>SUBTOTAL(101,Table1[ShotsF100])</f>
        <v>1.0871085965412663</v>
      </c>
      <c r="AG20">
        <f>SUBTOTAL(109,Table1[ShotsF])</f>
        <v>3772</v>
      </c>
      <c r="AH20">
        <f>SUBTOTAL(109,Table1[xShotsF])</f>
        <v>3469.0992588780032</v>
      </c>
      <c r="AJ20" s="16">
        <f>SUBTOTAL(101,Table1[ShotsA100])</f>
        <v>1.0846859644975855</v>
      </c>
      <c r="AL20">
        <f>SUBTOTAL(107,Table1[xShotsA])</f>
        <v>14.781437484350572</v>
      </c>
      <c r="AM20">
        <f>SUBTOTAL(101,Table1[ShotsTF100])</f>
        <v>0.7848486007480252</v>
      </c>
      <c r="AN20">
        <f>SUBTOTAL(109,Table1[ShotsTF])</f>
        <v>1158</v>
      </c>
      <c r="AO20">
        <f>SUBTOTAL(109,Table1[xShotsTF])</f>
        <v>1472.0898060454717</v>
      </c>
      <c r="AP20">
        <f>SUBTOTAL(109,Table1[ShotsMT])</f>
        <v>2614</v>
      </c>
      <c r="AQ20">
        <f>SUBTOTAL(109,Table1[xShotsMT])</f>
        <v>1997.0094528325305</v>
      </c>
      <c r="AW20" s="3">
        <f>SUBTOTAL(101,Table1[Fouls100])</f>
        <v>0.98060835530421686</v>
      </c>
      <c r="AX20">
        <f>SUBTOTAL(107,Table1[Fouls])</f>
        <v>20.996498307490956</v>
      </c>
      <c r="AY20">
        <f>SUBTOTAL(107,Table1[xFouls])</f>
        <v>2.5443139231438159</v>
      </c>
      <c r="AZ20" s="16">
        <f>SUBTOTAL(101,Table1[FoulsA100])</f>
        <v>0.98037107369290666</v>
      </c>
      <c r="BC20" s="4">
        <f>SUBTOTAL(101,Table1[YCard100])</f>
        <v>1.1295544634591321</v>
      </c>
      <c r="BD20" s="6">
        <f>SUBTOTAL(109,Table1[YCard])</f>
        <v>601</v>
      </c>
      <c r="BE20" s="6">
        <f>SUBTOTAL(109,Table1[xYCard])</f>
        <v>531.83271649746791</v>
      </c>
      <c r="BI20">
        <f>SUBTOTAL(101,Table1[RCard100])</f>
        <v>1.6869127633698118</v>
      </c>
      <c r="BJ20" s="7">
        <f>SUBTOTAL(109,Table1[RCard])</f>
        <v>54</v>
      </c>
      <c r="BK20">
        <f>SUBTOTAL(109,Table1[xRCard])</f>
        <v>32.033914558212288</v>
      </c>
      <c r="BM20">
        <f>SUBTOTAL(101,Table1[RCardA])</f>
        <v>3</v>
      </c>
    </row>
    <row r="22" spans="1:83" x14ac:dyDescent="0.45">
      <c r="E22">
        <v>405</v>
      </c>
      <c r="F22">
        <v>416.2942466367478</v>
      </c>
      <c r="G22">
        <v>99</v>
      </c>
      <c r="H22">
        <v>108</v>
      </c>
      <c r="I22">
        <v>99</v>
      </c>
      <c r="J22">
        <v>110.29424663674885</v>
      </c>
      <c r="K22">
        <v>85.411506726502026</v>
      </c>
      <c r="L22">
        <v>110.29424663674888</v>
      </c>
      <c r="N22">
        <f>K22/2</f>
        <v>42.705753363251013</v>
      </c>
      <c r="R22">
        <v>332</v>
      </c>
      <c r="S22">
        <v>397.3685275795109</v>
      </c>
      <c r="W22">
        <v>178</v>
      </c>
      <c r="X22">
        <v>223.21076668035872</v>
      </c>
      <c r="AA22">
        <v>154</v>
      </c>
      <c r="AB22">
        <v>174.15776089915224</v>
      </c>
      <c r="AG22">
        <v>3772</v>
      </c>
      <c r="AH22">
        <v>3469.0992588780032</v>
      </c>
      <c r="AN22">
        <v>1158</v>
      </c>
      <c r="AO22">
        <v>1472.089806045472</v>
      </c>
      <c r="AP22">
        <v>2614</v>
      </c>
      <c r="AQ22" s="5">
        <v>1997.0094528325305</v>
      </c>
      <c r="AS22">
        <f>(AG22-AN22)/(AH22-AO22)</f>
        <v>1.3089572491969619</v>
      </c>
      <c r="AX22">
        <v>3921</v>
      </c>
      <c r="AY22">
        <v>3998.232142508476</v>
      </c>
      <c r="BD22">
        <v>601</v>
      </c>
      <c r="BE22">
        <v>531.8327164974678</v>
      </c>
      <c r="BJ22">
        <v>54</v>
      </c>
      <c r="BK22">
        <v>32.033914558212288</v>
      </c>
      <c r="BM22" t="s">
        <v>51</v>
      </c>
      <c r="BW22" t="s">
        <v>55</v>
      </c>
      <c r="CC22" t="s">
        <v>55</v>
      </c>
    </row>
    <row r="23" spans="1:83" x14ac:dyDescent="0.45">
      <c r="BM23" t="s">
        <v>159</v>
      </c>
      <c r="BN23" s="9">
        <v>0.76423204821912893</v>
      </c>
      <c r="BO23">
        <v>1</v>
      </c>
      <c r="BW23" t="s">
        <v>159</v>
      </c>
      <c r="BX23" s="9">
        <f>BW44/BX44</f>
        <v>1.1265517715234099</v>
      </c>
      <c r="BY23">
        <v>1</v>
      </c>
      <c r="CC23" t="s">
        <v>159</v>
      </c>
      <c r="CD23" s="9">
        <f>BW43/BX43</f>
        <v>0.69047457009415236</v>
      </c>
      <c r="CE23">
        <v>1</v>
      </c>
    </row>
    <row r="24" spans="1:83" x14ac:dyDescent="0.45">
      <c r="E24" s="9">
        <f>E22/F22</f>
        <v>0.97286955866434788</v>
      </c>
      <c r="G24" s="9">
        <f>G22/J22</f>
        <v>0.89759895025217273</v>
      </c>
      <c r="H24" s="9">
        <f>H22/K22</f>
        <v>1.2644666291373252</v>
      </c>
      <c r="I24" s="9">
        <f>I22/L22</f>
        <v>0.89759895025217251</v>
      </c>
      <c r="K24">
        <f>99*2+108</f>
        <v>306</v>
      </c>
      <c r="M24">
        <v>99</v>
      </c>
      <c r="N24">
        <f>108/2</f>
        <v>54</v>
      </c>
      <c r="O24">
        <f>N24+M24</f>
        <v>153</v>
      </c>
      <c r="R24" s="9">
        <f>R22/S22</f>
        <v>0.83549646476108741</v>
      </c>
      <c r="W24" s="9">
        <f>W22/X22</f>
        <v>0.79745257205669995</v>
      </c>
      <c r="AA24" s="9">
        <f>AA22/AB22</f>
        <v>0.88425574148932251</v>
      </c>
      <c r="AG24" s="9">
        <f>AG22/AH22</f>
        <v>1.0873139447788422</v>
      </c>
      <c r="AN24" s="9">
        <f>AN22/AO22</f>
        <v>0.78663679025858979</v>
      </c>
      <c r="AO24" s="9">
        <f>AO22/AH22</f>
        <v>0.42434352441145889</v>
      </c>
      <c r="AP24" s="9">
        <f>AP22/AQ22</f>
        <v>1.3089572491969623</v>
      </c>
      <c r="AQ24" s="9">
        <f>AQ22/AH22</f>
        <v>0.57565647558854094</v>
      </c>
      <c r="AX24" s="9">
        <f>AX22/AY22</f>
        <v>0.98068342713586887</v>
      </c>
      <c r="BD24" s="9">
        <f>BD22/BE22</f>
        <v>1.130054585505857</v>
      </c>
      <c r="BJ24">
        <f>BJ22/BK22</f>
        <v>1.6857134304292023</v>
      </c>
      <c r="BM24" t="s">
        <v>186</v>
      </c>
      <c r="BN24" s="9">
        <v>0.71693845621286123</v>
      </c>
      <c r="BO24">
        <v>1</v>
      </c>
      <c r="BW24" t="s">
        <v>186</v>
      </c>
      <c r="BX24" s="9">
        <f>BY44/BZ44</f>
        <v>0.7763778312792039</v>
      </c>
      <c r="BY24">
        <v>1</v>
      </c>
      <c r="CC24" t="s">
        <v>186</v>
      </c>
      <c r="CD24" s="9">
        <f>BY43/BZ43</f>
        <v>0.78773766161480141</v>
      </c>
      <c r="CE24">
        <v>1</v>
      </c>
    </row>
    <row r="25" spans="1:83" x14ac:dyDescent="0.45">
      <c r="N25">
        <f>N24/N22</f>
        <v>1.2644666291373252</v>
      </c>
      <c r="BM25" t="s">
        <v>173</v>
      </c>
      <c r="BN25" s="9">
        <v>0.87553537387053348</v>
      </c>
      <c r="BO25">
        <v>1</v>
      </c>
      <c r="BW25" t="s">
        <v>173</v>
      </c>
      <c r="BX25" s="9">
        <f>CA44/CB44</f>
        <v>0.69326225291555543</v>
      </c>
      <c r="BY25">
        <v>1</v>
      </c>
      <c r="CC25" t="s">
        <v>173</v>
      </c>
      <c r="CD25" s="9">
        <f>CA43/CB43</f>
        <v>1.0586704286950555</v>
      </c>
      <c r="CE25">
        <v>1</v>
      </c>
    </row>
    <row r="26" spans="1:83" x14ac:dyDescent="0.45">
      <c r="Q26">
        <f>R26-S26</f>
        <v>-0.42724527829745718</v>
      </c>
      <c r="R26">
        <f>R22/153</f>
        <v>2.1699346405228757</v>
      </c>
      <c r="S26">
        <f>S22/153</f>
        <v>2.5971799188203328</v>
      </c>
      <c r="AG26" t="s">
        <v>104</v>
      </c>
      <c r="AH26">
        <v>171.67790500918301</v>
      </c>
      <c r="AN26" t="s">
        <v>104</v>
      </c>
      <c r="AO26">
        <v>70.744491733446196</v>
      </c>
      <c r="AX26" t="s">
        <v>79</v>
      </c>
      <c r="BC26" t="s">
        <v>77</v>
      </c>
      <c r="BD26" s="6">
        <v>33.388888888888886</v>
      </c>
      <c r="BE26" s="6">
        <v>29.546262027637098</v>
      </c>
      <c r="BI26" t="s">
        <v>78</v>
      </c>
      <c r="BJ26">
        <v>3</v>
      </c>
      <c r="BK26" s="6">
        <v>1.7796619199006827</v>
      </c>
      <c r="BM26" t="s">
        <v>175</v>
      </c>
      <c r="BN26" s="9">
        <v>0.96128359474101099</v>
      </c>
      <c r="BO26">
        <v>1</v>
      </c>
      <c r="BP26">
        <f>69/72</f>
        <v>0.95833333333333337</v>
      </c>
      <c r="BW26" t="s">
        <v>175</v>
      </c>
      <c r="BX26" s="9">
        <f>BT49/BU49</f>
        <v>1.1856605089413905</v>
      </c>
      <c r="BY26">
        <v>1</v>
      </c>
      <c r="CC26" t="s">
        <v>175</v>
      </c>
      <c r="CD26" s="9">
        <f>BT48/BU48</f>
        <v>1.3348607304215911</v>
      </c>
      <c r="CE26">
        <v>1</v>
      </c>
    </row>
    <row r="27" spans="1:83" x14ac:dyDescent="0.45">
      <c r="AG27" t="s">
        <v>105</v>
      </c>
      <c r="AH27">
        <f>AH26/17</f>
        <v>10.098700294657824</v>
      </c>
      <c r="AN27" t="s">
        <v>105</v>
      </c>
      <c r="AO27">
        <f>AO26/17</f>
        <v>4.161440690202717</v>
      </c>
      <c r="AX27" s="6">
        <f>3921/153</f>
        <v>25.627450980392158</v>
      </c>
      <c r="BC27" t="s">
        <v>76</v>
      </c>
      <c r="BD27" s="5">
        <f>BD26/17</f>
        <v>1.9640522875816993</v>
      </c>
      <c r="BE27" s="5">
        <f>BE26/17</f>
        <v>1.7380154133904175</v>
      </c>
      <c r="BI27" t="s">
        <v>75</v>
      </c>
      <c r="BJ27" s="5">
        <f>BJ26/17</f>
        <v>0.17647058823529413</v>
      </c>
      <c r="BK27" s="5">
        <f>BK26/17</f>
        <v>0.10468599528827545</v>
      </c>
      <c r="BM27" t="s">
        <v>174</v>
      </c>
      <c r="BN27" s="9">
        <v>1.07859873624223</v>
      </c>
      <c r="BO27">
        <v>1</v>
      </c>
      <c r="BW27" t="s">
        <v>174</v>
      </c>
      <c r="BX27" s="9">
        <f>BV49/BW49</f>
        <v>1.0446643411173759</v>
      </c>
      <c r="BY27">
        <v>1</v>
      </c>
      <c r="CC27" t="s">
        <v>174</v>
      </c>
      <c r="CD27" s="9">
        <f>BV48/BW48</f>
        <v>1.2394862001385629</v>
      </c>
      <c r="CE27">
        <v>1</v>
      </c>
    </row>
    <row r="28" spans="1:83" x14ac:dyDescent="0.45">
      <c r="S28">
        <f>0.43/2.6</f>
        <v>0.16538461538461538</v>
      </c>
      <c r="Z28" t="s">
        <v>116</v>
      </c>
      <c r="AA28" t="s">
        <v>117</v>
      </c>
      <c r="BM28" t="s">
        <v>176</v>
      </c>
      <c r="BN28" s="9">
        <v>0.75185830324532898</v>
      </c>
      <c r="BO28">
        <v>1</v>
      </c>
      <c r="BW28" t="s">
        <v>176</v>
      </c>
      <c r="BX28" s="9">
        <f>BY49/BZ49</f>
        <v>0.84184995595383239</v>
      </c>
      <c r="BY28">
        <v>1</v>
      </c>
      <c r="CC28" t="s">
        <v>176</v>
      </c>
      <c r="CD28" s="9">
        <f>BY48/BZ48</f>
        <v>0.83762799855084624</v>
      </c>
      <c r="CE28">
        <v>1</v>
      </c>
    </row>
    <row r="29" spans="1:83" x14ac:dyDescent="0.45">
      <c r="Z29">
        <v>8</v>
      </c>
      <c r="AA29">
        <v>14.950644231587999</v>
      </c>
      <c r="AG29" t="s">
        <v>106</v>
      </c>
      <c r="AH29">
        <v>215.01604335803901</v>
      </c>
      <c r="AN29" t="s">
        <v>106</v>
      </c>
      <c r="AO29">
        <v>92.527636124303996</v>
      </c>
      <c r="AW29" t="s">
        <v>114</v>
      </c>
      <c r="AX29">
        <v>20.99649830749096</v>
      </c>
      <c r="AY29">
        <v>2.5443139231438159</v>
      </c>
      <c r="BC29" t="s">
        <v>114</v>
      </c>
      <c r="BD29">
        <v>4.6796039159802287</v>
      </c>
      <c r="BE29">
        <v>1.3526565664241419</v>
      </c>
      <c r="BM29" t="s">
        <v>177</v>
      </c>
      <c r="BN29" s="9">
        <v>0.83335186684056906</v>
      </c>
      <c r="BO29">
        <v>1</v>
      </c>
      <c r="BW29" t="s">
        <v>177</v>
      </c>
      <c r="BX29" s="9">
        <f>CC49/CD49</f>
        <v>0.67486575260170578</v>
      </c>
      <c r="BY29">
        <v>1</v>
      </c>
      <c r="CC29" t="s">
        <v>177</v>
      </c>
      <c r="CD29" s="9">
        <f>CC48/CD48</f>
        <v>0.86298727788126317</v>
      </c>
      <c r="CE29">
        <v>1</v>
      </c>
    </row>
    <row r="30" spans="1:83" x14ac:dyDescent="0.45">
      <c r="Z30" t="s">
        <v>118</v>
      </c>
      <c r="AA30" t="s">
        <v>119</v>
      </c>
      <c r="AG30" t="s">
        <v>107</v>
      </c>
      <c r="AH30">
        <f>AH29/17</f>
        <v>12.648002550472883</v>
      </c>
      <c r="AN30" t="s">
        <v>107</v>
      </c>
      <c r="AO30">
        <f>AO29/17</f>
        <v>5.4428021249590586</v>
      </c>
      <c r="BM30" t="s">
        <v>182</v>
      </c>
      <c r="BN30" s="9">
        <v>1.1194897736915834</v>
      </c>
      <c r="BO30">
        <v>1</v>
      </c>
      <c r="BW30" t="s">
        <v>182</v>
      </c>
      <c r="BX30" s="9">
        <f>CA49/CB49</f>
        <v>1.4352486133819968</v>
      </c>
      <c r="BY30">
        <v>1</v>
      </c>
      <c r="CC30" t="s">
        <v>182</v>
      </c>
      <c r="CD30" s="9">
        <f>CA48/CB48</f>
        <v>1.708862121176917</v>
      </c>
      <c r="CE30">
        <v>1</v>
      </c>
    </row>
    <row r="31" spans="1:83" x14ac:dyDescent="0.45">
      <c r="Z31">
        <v>10</v>
      </c>
      <c r="AA31">
        <v>10.20489424391624</v>
      </c>
      <c r="BM31" t="s">
        <v>183</v>
      </c>
      <c r="BN31" s="9">
        <v>1.2511995873181674</v>
      </c>
      <c r="BO31">
        <v>1</v>
      </c>
      <c r="BW31" t="s">
        <v>183</v>
      </c>
      <c r="BX31" s="9">
        <f>CE49/CF49</f>
        <v>1.3217271702677473</v>
      </c>
      <c r="BY31">
        <v>1</v>
      </c>
      <c r="CC31" t="s">
        <v>183</v>
      </c>
      <c r="CD31" s="9">
        <f>CE48/CF48</f>
        <v>1.5135894980957993</v>
      </c>
      <c r="CE31">
        <v>1</v>
      </c>
    </row>
    <row r="32" spans="1:83" x14ac:dyDescent="0.45">
      <c r="AG32" t="s">
        <v>108</v>
      </c>
      <c r="AH32">
        <v>192.7277366043335</v>
      </c>
      <c r="AN32" t="s">
        <v>108</v>
      </c>
      <c r="AO32">
        <v>81.782767002526214</v>
      </c>
      <c r="BM32" t="s">
        <v>178</v>
      </c>
      <c r="BN32" s="9">
        <v>0.98221637692366104</v>
      </c>
      <c r="BO32">
        <v>1</v>
      </c>
      <c r="BP32">
        <f>215/219</f>
        <v>0.9817351598173516</v>
      </c>
      <c r="BR32" t="s">
        <v>121</v>
      </c>
      <c r="BS32">
        <v>54</v>
      </c>
      <c r="BT32">
        <v>32.033909999999999</v>
      </c>
      <c r="BW32" t="s">
        <v>178</v>
      </c>
      <c r="BX32" s="9">
        <f>CG49/CH49</f>
        <v>1.1384724220913418</v>
      </c>
      <c r="BY32">
        <v>1</v>
      </c>
      <c r="CC32" t="s">
        <v>178</v>
      </c>
      <c r="CD32" s="9">
        <f>CG48/CH48</f>
        <v>0.83136321395562762</v>
      </c>
      <c r="CE32">
        <v>1</v>
      </c>
    </row>
    <row r="33" spans="5:96" x14ac:dyDescent="0.45">
      <c r="E33" t="s">
        <v>0</v>
      </c>
      <c r="F33" t="s">
        <v>1</v>
      </c>
      <c r="G33" t="s">
        <v>2</v>
      </c>
      <c r="H33" t="s">
        <v>13</v>
      </c>
      <c r="I33" t="s">
        <v>14</v>
      </c>
      <c r="J33" t="s">
        <v>15</v>
      </c>
      <c r="K33" t="s">
        <v>16</v>
      </c>
      <c r="L33" t="s">
        <v>71</v>
      </c>
      <c r="M33" t="s">
        <v>72</v>
      </c>
      <c r="N33" t="s">
        <v>73</v>
      </c>
      <c r="O33" t="s">
        <v>74</v>
      </c>
      <c r="P33" t="s">
        <v>17</v>
      </c>
      <c r="Q33" t="s">
        <v>18</v>
      </c>
      <c r="R33" t="s">
        <v>19</v>
      </c>
      <c r="S33" t="s">
        <v>20</v>
      </c>
      <c r="AG33" t="s">
        <v>109</v>
      </c>
      <c r="AH33">
        <f>AH32/17</f>
        <v>11.336925682607854</v>
      </c>
      <c r="AN33" t="s">
        <v>109</v>
      </c>
      <c r="AO33">
        <f>AO32/17</f>
        <v>4.8107510001486009</v>
      </c>
      <c r="BM33" t="s">
        <v>179</v>
      </c>
      <c r="BN33" s="9">
        <v>1.0044619681009599</v>
      </c>
      <c r="BO33">
        <v>1</v>
      </c>
      <c r="BR33" t="s">
        <v>120</v>
      </c>
      <c r="BS33">
        <v>3</v>
      </c>
      <c r="BW33" t="s">
        <v>179</v>
      </c>
      <c r="BX33" s="9">
        <f>CI49/CJ49</f>
        <v>0.96793621328683599</v>
      </c>
      <c r="BY33">
        <v>1</v>
      </c>
      <c r="CC33" t="s">
        <v>179</v>
      </c>
      <c r="CD33" s="9">
        <f>CI48/CJ48</f>
        <v>0.88578342156004353</v>
      </c>
      <c r="CE33">
        <v>1</v>
      </c>
    </row>
    <row r="34" spans="5:96" x14ac:dyDescent="0.45">
      <c r="E34" t="s">
        <v>59</v>
      </c>
      <c r="F34">
        <v>35</v>
      </c>
      <c r="G34">
        <v>29.073682226030801</v>
      </c>
      <c r="H34">
        <v>21</v>
      </c>
      <c r="I34">
        <v>26.542587710476202</v>
      </c>
      <c r="J34">
        <v>10</v>
      </c>
      <c r="K34">
        <v>18.070019052237299</v>
      </c>
      <c r="L34">
        <v>13</v>
      </c>
      <c r="M34">
        <v>14.972459475816201</v>
      </c>
      <c r="N34">
        <v>4</v>
      </c>
      <c r="O34">
        <v>10.129681165239079</v>
      </c>
      <c r="P34">
        <v>8</v>
      </c>
      <c r="Q34">
        <v>11.57012823466</v>
      </c>
      <c r="R34">
        <v>6</v>
      </c>
      <c r="S34">
        <v>7.9403378869982202</v>
      </c>
      <c r="BM34" t="s">
        <v>181</v>
      </c>
      <c r="BN34" s="9">
        <v>1.1446817298001699</v>
      </c>
      <c r="BO34">
        <v>1</v>
      </c>
      <c r="BW34" t="s">
        <v>181</v>
      </c>
      <c r="BX34" s="9">
        <f>CK49/CL49</f>
        <v>1.0955073445128318</v>
      </c>
      <c r="BY34">
        <v>1</v>
      </c>
      <c r="CC34" t="s">
        <v>181</v>
      </c>
      <c r="CD34" s="9">
        <f>CK48/CL48</f>
        <v>1.1627049349099352</v>
      </c>
      <c r="CE34">
        <v>1</v>
      </c>
    </row>
    <row r="35" spans="5:96" x14ac:dyDescent="0.45">
      <c r="E35" t="s">
        <v>62</v>
      </c>
      <c r="F35">
        <v>18</v>
      </c>
      <c r="G35">
        <v>26.0690266949955</v>
      </c>
      <c r="H35">
        <v>19</v>
      </c>
      <c r="I35">
        <v>24.119704980274101</v>
      </c>
      <c r="J35">
        <v>21</v>
      </c>
      <c r="K35">
        <v>19.8362015513035</v>
      </c>
      <c r="L35">
        <v>11</v>
      </c>
      <c r="M35">
        <v>13.522180153305001</v>
      </c>
      <c r="N35">
        <v>10</v>
      </c>
      <c r="O35">
        <v>11.09141490326116</v>
      </c>
      <c r="P35">
        <v>8</v>
      </c>
      <c r="Q35">
        <v>10.597524826969099</v>
      </c>
      <c r="R35">
        <v>11</v>
      </c>
      <c r="S35">
        <v>8.7447866480423393</v>
      </c>
      <c r="AF35" t="s">
        <v>114</v>
      </c>
      <c r="AG35">
        <v>34.636298916229229</v>
      </c>
      <c r="AH35">
        <v>14.356879848648575</v>
      </c>
      <c r="AM35" t="s">
        <v>114</v>
      </c>
      <c r="AN35">
        <v>12.47114316190404</v>
      </c>
      <c r="AO35">
        <v>7.3114389204579533</v>
      </c>
      <c r="BM35" t="s">
        <v>180</v>
      </c>
      <c r="BN35" s="9">
        <v>1.2769723722303301</v>
      </c>
      <c r="BO35">
        <v>1</v>
      </c>
      <c r="BW35" t="s">
        <v>180</v>
      </c>
      <c r="BX35" s="9">
        <f>CM49/CN49</f>
        <v>0.99846129794568395</v>
      </c>
      <c r="BY35">
        <v>1</v>
      </c>
      <c r="CC35" t="s">
        <v>180</v>
      </c>
      <c r="CD35" s="9">
        <f>CM48/CN48</f>
        <v>0.81773211703015691</v>
      </c>
      <c r="CE35">
        <v>1</v>
      </c>
    </row>
    <row r="36" spans="5:96" x14ac:dyDescent="0.45">
      <c r="E36" t="s">
        <v>55</v>
      </c>
      <c r="F36">
        <v>24</v>
      </c>
      <c r="G36">
        <v>21.303947680580499</v>
      </c>
      <c r="H36">
        <v>16</v>
      </c>
      <c r="I36">
        <v>20.608522494308598</v>
      </c>
      <c r="J36">
        <v>16</v>
      </c>
      <c r="K36">
        <v>23.079289161801402</v>
      </c>
      <c r="L36">
        <v>12</v>
      </c>
      <c r="M36">
        <v>11.570824480589218</v>
      </c>
      <c r="N36">
        <v>9</v>
      </c>
      <c r="O36">
        <v>12.970938875469802</v>
      </c>
      <c r="P36">
        <v>4</v>
      </c>
      <c r="Q36">
        <v>9.0376980137193801</v>
      </c>
      <c r="R36">
        <v>7</v>
      </c>
      <c r="S36">
        <v>10.1083502863316</v>
      </c>
      <c r="BX36" s="9"/>
    </row>
    <row r="37" spans="5:96" x14ac:dyDescent="0.45">
      <c r="BM37" t="s">
        <v>124</v>
      </c>
      <c r="BN37" s="9">
        <v>3.6602315301732302</v>
      </c>
      <c r="BO37">
        <v>6</v>
      </c>
      <c r="BP37">
        <v>1.63924056457598</v>
      </c>
      <c r="BW37" t="s">
        <v>124</v>
      </c>
      <c r="BX37" s="9">
        <f>BZ37/CA37</f>
        <v>2.7265095119930418</v>
      </c>
      <c r="BZ37">
        <v>5</v>
      </c>
      <c r="CA37">
        <v>1.83384652721973</v>
      </c>
    </row>
    <row r="38" spans="5:96" x14ac:dyDescent="0.45">
      <c r="BM38" t="s">
        <v>123</v>
      </c>
      <c r="BN38" s="9">
        <v>2.0272640330730098</v>
      </c>
      <c r="BO38">
        <v>4</v>
      </c>
      <c r="BP38">
        <v>1.97310263228841</v>
      </c>
      <c r="BW38" t="s">
        <v>123</v>
      </c>
      <c r="BX38" s="9">
        <f>BZ38/CA38</f>
        <v>2.9060999224555908</v>
      </c>
      <c r="BZ38">
        <v>5</v>
      </c>
      <c r="CA38">
        <v>1.7205189544119699</v>
      </c>
    </row>
    <row r="39" spans="5:96" x14ac:dyDescent="0.45">
      <c r="BS39" s="9"/>
    </row>
    <row r="41" spans="5:96" x14ac:dyDescent="0.45">
      <c r="BL41" t="s">
        <v>22</v>
      </c>
      <c r="BM41" t="s">
        <v>23</v>
      </c>
      <c r="BN41" t="s">
        <v>28</v>
      </c>
      <c r="BO41" t="s">
        <v>29</v>
      </c>
      <c r="BP41" t="s">
        <v>169</v>
      </c>
      <c r="BQ41" t="s">
        <v>170</v>
      </c>
      <c r="BV41" t="s">
        <v>0</v>
      </c>
      <c r="BW41" t="s">
        <v>1</v>
      </c>
      <c r="BX41" t="s">
        <v>2</v>
      </c>
      <c r="BY41" t="s">
        <v>13</v>
      </c>
      <c r="BZ41" t="s">
        <v>14</v>
      </c>
      <c r="CA41" t="s">
        <v>15</v>
      </c>
      <c r="CB41" t="s">
        <v>16</v>
      </c>
      <c r="CC41" t="s">
        <v>71</v>
      </c>
      <c r="CD41" t="s">
        <v>72</v>
      </c>
      <c r="CE41" t="s">
        <v>73</v>
      </c>
      <c r="CF41" t="s">
        <v>74</v>
      </c>
      <c r="CG41" t="s">
        <v>17</v>
      </c>
      <c r="CH41" t="s">
        <v>18</v>
      </c>
      <c r="CI41" t="s">
        <v>19</v>
      </c>
      <c r="CJ41" t="s">
        <v>20</v>
      </c>
    </row>
    <row r="42" spans="5:96" x14ac:dyDescent="0.45">
      <c r="BL42">
        <v>205</v>
      </c>
      <c r="BM42">
        <v>213.25652608815301</v>
      </c>
      <c r="BN42">
        <v>69</v>
      </c>
      <c r="BO42">
        <v>91.772611544179995</v>
      </c>
      <c r="BP42">
        <v>136</v>
      </c>
      <c r="BQ42" s="5">
        <v>121.48391454397301</v>
      </c>
      <c r="BV42" t="s">
        <v>59</v>
      </c>
      <c r="BW42">
        <v>35</v>
      </c>
      <c r="BX42">
        <v>29.073682226030801</v>
      </c>
      <c r="BY42">
        <v>21</v>
      </c>
      <c r="BZ42">
        <v>26.542587710476202</v>
      </c>
      <c r="CA42">
        <v>10</v>
      </c>
      <c r="CB42">
        <v>18.070019052237299</v>
      </c>
      <c r="CC42">
        <v>13</v>
      </c>
      <c r="CD42">
        <v>14.972459475816201</v>
      </c>
      <c r="CE42">
        <v>4</v>
      </c>
      <c r="CF42">
        <v>10.129681165239079</v>
      </c>
      <c r="CG42">
        <v>8</v>
      </c>
      <c r="CH42">
        <v>11.57012823466</v>
      </c>
      <c r="CI42">
        <v>6</v>
      </c>
      <c r="CJ42">
        <v>7.9403378869982202</v>
      </c>
    </row>
    <row r="43" spans="5:96" x14ac:dyDescent="0.45">
      <c r="BL43" s="9">
        <f>BL42/BM42</f>
        <v>0.96128359474101144</v>
      </c>
      <c r="BM43" s="9"/>
      <c r="BN43" s="9">
        <f>BN42/BO42</f>
        <v>0.75185830324533054</v>
      </c>
      <c r="BO43" s="9">
        <f>BO42/BM42</f>
        <v>0.43033905328760869</v>
      </c>
      <c r="BP43" s="9">
        <f>BP42/BQ42</f>
        <v>1.1194897736915834</v>
      </c>
      <c r="BQ43" s="9">
        <f>BQ42/BM42</f>
        <v>0.56966094671239131</v>
      </c>
      <c r="BV43" t="s">
        <v>62</v>
      </c>
      <c r="BW43">
        <v>18</v>
      </c>
      <c r="BX43">
        <v>26.0690266949955</v>
      </c>
      <c r="BY43">
        <v>19</v>
      </c>
      <c r="BZ43">
        <v>24.119704980274101</v>
      </c>
      <c r="CA43">
        <v>21</v>
      </c>
      <c r="CB43">
        <v>19.8362015513035</v>
      </c>
      <c r="CC43">
        <v>11</v>
      </c>
      <c r="CD43">
        <v>13.522180153305001</v>
      </c>
      <c r="CE43">
        <v>10</v>
      </c>
      <c r="CF43">
        <v>11.09141490326116</v>
      </c>
      <c r="CG43">
        <v>8</v>
      </c>
      <c r="CH43">
        <v>10.597524826969099</v>
      </c>
      <c r="CI43">
        <v>11</v>
      </c>
      <c r="CJ43">
        <v>8.7447866480423393</v>
      </c>
    </row>
    <row r="44" spans="5:96" x14ac:dyDescent="0.45">
      <c r="BO44" s="9">
        <f>BN42/BL42</f>
        <v>0.33658536585365856</v>
      </c>
      <c r="BQ44" s="9">
        <f>BP42/BL42</f>
        <v>0.6634146341463415</v>
      </c>
      <c r="BV44" t="s">
        <v>55</v>
      </c>
      <c r="BW44">
        <v>24</v>
      </c>
      <c r="BX44">
        <v>21.303947680580499</v>
      </c>
      <c r="BY44">
        <v>16</v>
      </c>
      <c r="BZ44">
        <v>20.608522494308598</v>
      </c>
      <c r="CA44">
        <v>16</v>
      </c>
      <c r="CB44">
        <v>23.079289161801402</v>
      </c>
      <c r="CC44">
        <v>12</v>
      </c>
      <c r="CD44">
        <v>11.570824480589218</v>
      </c>
      <c r="CE44">
        <v>9</v>
      </c>
      <c r="CF44">
        <v>12.970938875469802</v>
      </c>
      <c r="CG44">
        <v>4</v>
      </c>
      <c r="CH44">
        <v>9.0376980137193801</v>
      </c>
      <c r="CI44">
        <v>7</v>
      </c>
      <c r="CJ44">
        <v>10.1083502863316</v>
      </c>
    </row>
    <row r="46" spans="5:96" x14ac:dyDescent="0.45">
      <c r="BL46" t="s">
        <v>25</v>
      </c>
      <c r="BM46" t="s">
        <v>26</v>
      </c>
      <c r="BN46" t="s">
        <v>31</v>
      </c>
      <c r="BO46" t="s">
        <v>32</v>
      </c>
      <c r="BP46" t="s">
        <v>184</v>
      </c>
      <c r="BQ46" t="s">
        <v>185</v>
      </c>
      <c r="BT46" t="s">
        <v>22</v>
      </c>
      <c r="BU46" t="s">
        <v>23</v>
      </c>
      <c r="BV46" t="s">
        <v>25</v>
      </c>
      <c r="BW46" t="s">
        <v>26</v>
      </c>
      <c r="BY46" t="s">
        <v>28</v>
      </c>
      <c r="BZ46" t="s">
        <v>29</v>
      </c>
      <c r="CA46" t="s">
        <v>169</v>
      </c>
      <c r="CB46" t="s">
        <v>170</v>
      </c>
      <c r="CC46" t="s">
        <v>31</v>
      </c>
      <c r="CD46" t="s">
        <v>32</v>
      </c>
      <c r="CE46" t="s">
        <v>184</v>
      </c>
      <c r="CF46" t="s">
        <v>185</v>
      </c>
      <c r="CG46" t="s">
        <v>34</v>
      </c>
      <c r="CH46" t="s">
        <v>35</v>
      </c>
      <c r="CI46" t="s">
        <v>37</v>
      </c>
      <c r="CJ46" t="s">
        <v>38</v>
      </c>
      <c r="CK46" t="s">
        <v>40</v>
      </c>
      <c r="CL46" t="s">
        <v>41</v>
      </c>
      <c r="CM46" t="s">
        <v>43</v>
      </c>
      <c r="CN46" t="s">
        <v>44</v>
      </c>
      <c r="CO46" t="s">
        <v>46</v>
      </c>
      <c r="CP46" t="s">
        <v>47</v>
      </c>
      <c r="CQ46" t="s">
        <v>49</v>
      </c>
      <c r="CR46" t="s">
        <v>50</v>
      </c>
    </row>
    <row r="47" spans="5:96" x14ac:dyDescent="0.45">
      <c r="BL47">
        <v>188</v>
      </c>
      <c r="BM47">
        <v>174.300222764008</v>
      </c>
      <c r="BN47">
        <v>60</v>
      </c>
      <c r="BO47">
        <v>71.998398740587106</v>
      </c>
      <c r="BP47">
        <v>128</v>
      </c>
      <c r="BQ47">
        <v>102.30182402342089</v>
      </c>
      <c r="BT47">
        <v>224</v>
      </c>
      <c r="BU47">
        <v>215.01604335803901</v>
      </c>
      <c r="BV47">
        <v>140</v>
      </c>
      <c r="BW47">
        <v>172.68155794556401</v>
      </c>
      <c r="BY47">
        <v>77</v>
      </c>
      <c r="BZ47">
        <v>92.527636124303996</v>
      </c>
      <c r="CA47">
        <v>147</v>
      </c>
      <c r="CB47">
        <v>122.48840723373502</v>
      </c>
      <c r="CC47">
        <v>51</v>
      </c>
      <c r="CD47">
        <v>71.733301698977598</v>
      </c>
      <c r="CE47">
        <v>89</v>
      </c>
      <c r="CF47">
        <v>100.94825624658641</v>
      </c>
      <c r="CG47">
        <v>212</v>
      </c>
      <c r="CH47">
        <v>218.567316096534</v>
      </c>
      <c r="CI47">
        <v>238</v>
      </c>
      <c r="CJ47">
        <v>225.52517586264199</v>
      </c>
      <c r="CK47">
        <v>27</v>
      </c>
      <c r="CL47">
        <v>27.520060701315401</v>
      </c>
      <c r="CM47">
        <v>34</v>
      </c>
      <c r="CN47">
        <v>31.479666842669499</v>
      </c>
      <c r="CO47">
        <v>4</v>
      </c>
      <c r="CP47">
        <v>1.58346817321635</v>
      </c>
      <c r="CQ47">
        <v>5</v>
      </c>
      <c r="CR47">
        <v>1.96813434077978</v>
      </c>
    </row>
    <row r="48" spans="5:96" x14ac:dyDescent="0.45">
      <c r="BP48">
        <f>BP47/BQ47</f>
        <v>1.2511995873181674</v>
      </c>
      <c r="BT48">
        <v>271</v>
      </c>
      <c r="BU48">
        <v>203.017433822036</v>
      </c>
      <c r="BV48">
        <v>225</v>
      </c>
      <c r="BW48">
        <v>181.52682940305999</v>
      </c>
      <c r="BY48">
        <v>73</v>
      </c>
      <c r="BZ48">
        <v>87.150859482126904</v>
      </c>
      <c r="CA48">
        <v>198</v>
      </c>
      <c r="CB48">
        <v>115.86657433990909</v>
      </c>
      <c r="CC48">
        <v>66</v>
      </c>
      <c r="CD48">
        <v>76.478531829620806</v>
      </c>
      <c r="CE48">
        <v>159</v>
      </c>
      <c r="CF48">
        <v>105.04829757343919</v>
      </c>
      <c r="CG48">
        <v>182</v>
      </c>
      <c r="CH48">
        <v>218.91755245465299</v>
      </c>
      <c r="CI48">
        <v>197</v>
      </c>
      <c r="CJ48">
        <v>222.40199489514401</v>
      </c>
      <c r="CK48">
        <v>33</v>
      </c>
      <c r="CL48">
        <v>28.382093349037198</v>
      </c>
      <c r="CM48">
        <v>25</v>
      </c>
      <c r="CN48">
        <v>30.572359186276199</v>
      </c>
      <c r="CO48">
        <v>3</v>
      </c>
      <c r="CP48">
        <v>1.65887879222817</v>
      </c>
      <c r="CQ48">
        <v>1</v>
      </c>
      <c r="CR48">
        <v>1.90602606473453</v>
      </c>
    </row>
    <row r="49" spans="65:96" x14ac:dyDescent="0.45">
      <c r="BT49">
        <v>221</v>
      </c>
      <c r="BU49">
        <v>186.393995864228</v>
      </c>
      <c r="BV49">
        <v>206</v>
      </c>
      <c r="BW49">
        <v>197.192525763502</v>
      </c>
      <c r="BY49">
        <v>66</v>
      </c>
      <c r="BZ49">
        <v>78.398768727404303</v>
      </c>
      <c r="CA49">
        <v>155</v>
      </c>
      <c r="CB49">
        <v>107.9952271368237</v>
      </c>
      <c r="CC49">
        <v>57</v>
      </c>
      <c r="CD49">
        <v>84.4612425215781</v>
      </c>
      <c r="CE49">
        <v>149</v>
      </c>
      <c r="CF49">
        <v>112.7312832419239</v>
      </c>
      <c r="CG49">
        <v>254</v>
      </c>
      <c r="CH49">
        <v>223.10597522723401</v>
      </c>
      <c r="CI49">
        <v>214</v>
      </c>
      <c r="CJ49">
        <v>221.088948902239</v>
      </c>
      <c r="CK49">
        <v>33</v>
      </c>
      <c r="CL49">
        <v>30.123029448675201</v>
      </c>
      <c r="CM49">
        <v>29</v>
      </c>
      <c r="CN49">
        <v>29.0446911259024</v>
      </c>
      <c r="CO49">
        <v>5</v>
      </c>
      <c r="CP49">
        <v>1.83384652721973</v>
      </c>
      <c r="CQ49">
        <v>5</v>
      </c>
      <c r="CR49">
        <v>1.7205189544119699</v>
      </c>
    </row>
    <row r="51" spans="65:96" x14ac:dyDescent="0.45">
      <c r="BW51" t="s">
        <v>188</v>
      </c>
    </row>
    <row r="52" spans="65:96" x14ac:dyDescent="0.45">
      <c r="BW52" t="s">
        <v>159</v>
      </c>
      <c r="BX52" s="9">
        <f>BW42/BX42</f>
        <v>1.2038378808674994</v>
      </c>
      <c r="BY52">
        <v>1</v>
      </c>
    </row>
    <row r="53" spans="65:96" x14ac:dyDescent="0.45">
      <c r="BM53">
        <f>69/205</f>
        <v>0.33658536585365856</v>
      </c>
      <c r="BW53" t="s">
        <v>186</v>
      </c>
      <c r="BX53" s="9">
        <f>BY42/BZ42</f>
        <v>0.79118133578631544</v>
      </c>
      <c r="BY53">
        <v>1</v>
      </c>
    </row>
    <row r="54" spans="65:96" x14ac:dyDescent="0.45">
      <c r="BW54" t="s">
        <v>173</v>
      </c>
      <c r="BX54" s="9">
        <f>CA42/CB42</f>
        <v>0.55340284761691338</v>
      </c>
      <c r="BY54">
        <v>1</v>
      </c>
    </row>
    <row r="55" spans="65:96" x14ac:dyDescent="0.45">
      <c r="BM55">
        <f>136/205</f>
        <v>0.6634146341463415</v>
      </c>
      <c r="BW55" t="s">
        <v>175</v>
      </c>
      <c r="BX55" s="9">
        <f>BT47/BU47</f>
        <v>1.0417827270079616</v>
      </c>
      <c r="BY55">
        <v>1</v>
      </c>
    </row>
    <row r="56" spans="65:96" x14ac:dyDescent="0.45">
      <c r="BW56" t="s">
        <v>174</v>
      </c>
      <c r="BX56" s="9">
        <f>BV47/BW47</f>
        <v>0.8107408901426143</v>
      </c>
      <c r="BY56">
        <v>1</v>
      </c>
    </row>
    <row r="57" spans="65:96" x14ac:dyDescent="0.45">
      <c r="BW57" t="s">
        <v>176</v>
      </c>
      <c r="BX57" s="9">
        <f>BY47/BZ47</f>
        <v>0.83218380178389328</v>
      </c>
      <c r="BY57">
        <v>1</v>
      </c>
    </row>
    <row r="58" spans="65:96" x14ac:dyDescent="0.45">
      <c r="BW58" t="s">
        <v>177</v>
      </c>
      <c r="BX58" s="9">
        <f>CC47/CD47</f>
        <v>0.71096685628687428</v>
      </c>
      <c r="BY58">
        <v>1</v>
      </c>
    </row>
    <row r="59" spans="65:96" x14ac:dyDescent="0.45">
      <c r="BW59" t="s">
        <v>182</v>
      </c>
      <c r="BX59" s="9">
        <f>CA47/CB47</f>
        <v>1.200113572539901</v>
      </c>
      <c r="BY59">
        <v>1</v>
      </c>
    </row>
    <row r="60" spans="65:96" x14ac:dyDescent="0.45">
      <c r="BW60" t="s">
        <v>183</v>
      </c>
      <c r="BX60" s="9">
        <f>CE47/CF47</f>
        <v>0.88163979556615235</v>
      </c>
      <c r="BY60">
        <v>1</v>
      </c>
    </row>
    <row r="61" spans="65:96" x14ac:dyDescent="0.45">
      <c r="BW61" t="s">
        <v>178</v>
      </c>
      <c r="BX61" s="9">
        <f>CG47/CH47</f>
        <v>0.96995289042377486</v>
      </c>
      <c r="BY61">
        <v>1</v>
      </c>
    </row>
    <row r="62" spans="65:96" x14ac:dyDescent="0.45">
      <c r="BW62" t="s">
        <v>179</v>
      </c>
      <c r="BX62" s="9">
        <f>CI47/CJ47</f>
        <v>1.0553145523094765</v>
      </c>
      <c r="BY62">
        <v>1</v>
      </c>
    </row>
    <row r="63" spans="65:96" x14ac:dyDescent="0.45">
      <c r="BW63" t="s">
        <v>181</v>
      </c>
      <c r="BX63" s="9">
        <f>CK47/CL47</f>
        <v>0.9811024871289421</v>
      </c>
      <c r="BY63">
        <v>1</v>
      </c>
    </row>
    <row r="64" spans="65:96" x14ac:dyDescent="0.45">
      <c r="BW64" t="s">
        <v>180</v>
      </c>
      <c r="BX64" s="9">
        <f>CM47/CN47</f>
        <v>1.0800622563741458</v>
      </c>
      <c r="BY64">
        <v>1</v>
      </c>
    </row>
    <row r="65" spans="69:79" x14ac:dyDescent="0.45">
      <c r="BX65" s="9"/>
    </row>
    <row r="66" spans="69:79" x14ac:dyDescent="0.45">
      <c r="BW66" t="s">
        <v>124</v>
      </c>
      <c r="BX66" s="9">
        <f>BZ66/CA66</f>
        <v>2.5261006616098736</v>
      </c>
      <c r="BZ66">
        <v>4</v>
      </c>
      <c r="CA66">
        <v>1.58346817321635</v>
      </c>
    </row>
    <row r="67" spans="69:79" x14ac:dyDescent="0.45">
      <c r="BW67" t="s">
        <v>123</v>
      </c>
      <c r="BX67" s="9">
        <f>BZ67/CA67</f>
        <v>2.5404769869616657</v>
      </c>
      <c r="BZ67">
        <v>5</v>
      </c>
      <c r="CA67">
        <v>1.96813434077978</v>
      </c>
    </row>
    <row r="69" spans="69:79" x14ac:dyDescent="0.45">
      <c r="BQ69" s="9">
        <f>CC47/BV47</f>
        <v>0.36428571428571427</v>
      </c>
    </row>
    <row r="70" spans="69:79" x14ac:dyDescent="0.45">
      <c r="BQ70" s="9">
        <f>CE47/BV47</f>
        <v>0.63571428571428568</v>
      </c>
    </row>
    <row r="71" spans="69:79" x14ac:dyDescent="0.45">
      <c r="BQ71" s="9">
        <f>BY47/BT47</f>
        <v>0.34375</v>
      </c>
    </row>
    <row r="72" spans="69:79" x14ac:dyDescent="0.45">
      <c r="BQ72" s="9">
        <f>CA47/BT47</f>
        <v>0.65625</v>
      </c>
    </row>
  </sheetData>
  <phoneticPr fontId="18" type="noConversion"/>
  <conditionalFormatting sqref="AW2:AW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:AR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F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BC0F-CBDD-4744-BB0E-F7332E64E0D3}">
  <dimension ref="A1:P34"/>
  <sheetViews>
    <sheetView tabSelected="1" topLeftCell="F36" workbookViewId="0">
      <selection activeCell="X51" sqref="X51"/>
    </sheetView>
  </sheetViews>
  <sheetFormatPr defaultRowHeight="14.25" x14ac:dyDescent="0.45"/>
  <cols>
    <col min="2" max="2" width="11.73046875" bestFit="1" customWidth="1"/>
  </cols>
  <sheetData>
    <row r="1" spans="1:8" x14ac:dyDescent="0.45">
      <c r="D1" t="s">
        <v>125</v>
      </c>
      <c r="E1" t="s">
        <v>126</v>
      </c>
      <c r="F1" t="s">
        <v>127</v>
      </c>
    </row>
    <row r="2" spans="1:8" x14ac:dyDescent="0.45">
      <c r="D2">
        <f>E2/F2</f>
        <v>0.97286955866434788</v>
      </c>
      <c r="E2">
        <v>405</v>
      </c>
      <c r="F2">
        <v>416.2942466367478</v>
      </c>
    </row>
    <row r="3" spans="1:8" x14ac:dyDescent="0.45">
      <c r="D3" t="s">
        <v>131</v>
      </c>
      <c r="E3" t="s">
        <v>3</v>
      </c>
      <c r="F3" t="s">
        <v>6</v>
      </c>
    </row>
    <row r="4" spans="1:8" x14ac:dyDescent="0.45">
      <c r="A4" t="s">
        <v>128</v>
      </c>
      <c r="B4" t="s">
        <v>129</v>
      </c>
      <c r="C4" t="s">
        <v>130</v>
      </c>
      <c r="D4">
        <v>0.89759895025217273</v>
      </c>
      <c r="E4">
        <v>99</v>
      </c>
      <c r="F4">
        <v>110.29424663674885</v>
      </c>
    </row>
    <row r="5" spans="1:8" x14ac:dyDescent="0.45">
      <c r="A5" t="s">
        <v>159</v>
      </c>
      <c r="B5" s="9">
        <v>0.97286955866434788</v>
      </c>
      <c r="D5" t="s">
        <v>132</v>
      </c>
      <c r="E5" t="s">
        <v>4</v>
      </c>
      <c r="F5" t="s">
        <v>7</v>
      </c>
    </row>
    <row r="6" spans="1:8" x14ac:dyDescent="0.45">
      <c r="A6" t="s">
        <v>160</v>
      </c>
      <c r="B6" s="9">
        <v>0.89759895025217273</v>
      </c>
      <c r="D6">
        <v>1.2644666291373252</v>
      </c>
      <c r="E6">
        <v>108</v>
      </c>
      <c r="F6">
        <v>85.411506726502026</v>
      </c>
    </row>
    <row r="7" spans="1:8" x14ac:dyDescent="0.45">
      <c r="A7" t="s">
        <v>161</v>
      </c>
      <c r="B7" s="9">
        <v>1.2644666291373252</v>
      </c>
      <c r="D7" t="s">
        <v>133</v>
      </c>
      <c r="E7" t="s">
        <v>134</v>
      </c>
      <c r="F7" t="s">
        <v>135</v>
      </c>
      <c r="G7" t="s">
        <v>136</v>
      </c>
      <c r="H7" t="s">
        <v>137</v>
      </c>
    </row>
    <row r="8" spans="1:8" x14ac:dyDescent="0.45">
      <c r="A8" t="s">
        <v>162</v>
      </c>
      <c r="B8" s="9">
        <v>0.83549646476108741</v>
      </c>
      <c r="D8">
        <f>E8/F8</f>
        <v>0.83549646476108741</v>
      </c>
      <c r="E8">
        <v>332</v>
      </c>
      <c r="F8">
        <v>397.3685275795109</v>
      </c>
      <c r="G8">
        <v>2.1699346405228757</v>
      </c>
      <c r="H8">
        <v>2.5971799188203328</v>
      </c>
    </row>
    <row r="9" spans="1:8" x14ac:dyDescent="0.45">
      <c r="A9" t="s">
        <v>163</v>
      </c>
      <c r="B9" s="9">
        <v>0.88425574148932251</v>
      </c>
      <c r="D9" t="s">
        <v>138</v>
      </c>
      <c r="E9" t="s">
        <v>139</v>
      </c>
      <c r="F9" t="s">
        <v>140</v>
      </c>
      <c r="H9">
        <f>E8-F8</f>
        <v>-65.368527579510896</v>
      </c>
    </row>
    <row r="10" spans="1:8" x14ac:dyDescent="0.45">
      <c r="A10" t="s">
        <v>164</v>
      </c>
      <c r="B10" s="9">
        <v>0.79745257205669995</v>
      </c>
      <c r="D10">
        <v>0.79745257205669995</v>
      </c>
      <c r="E10">
        <v>178</v>
      </c>
      <c r="F10">
        <v>223.21076668035872</v>
      </c>
      <c r="H10">
        <f>H9/153</f>
        <v>-0.42724527829745684</v>
      </c>
    </row>
    <row r="11" spans="1:8" x14ac:dyDescent="0.45">
      <c r="A11" t="s">
        <v>157</v>
      </c>
      <c r="B11" s="9">
        <v>1.0873139447788422</v>
      </c>
      <c r="D11" t="s">
        <v>141</v>
      </c>
      <c r="E11" t="s">
        <v>142</v>
      </c>
      <c r="F11" t="s">
        <v>143</v>
      </c>
    </row>
    <row r="12" spans="1:8" x14ac:dyDescent="0.45">
      <c r="A12" t="s">
        <v>158</v>
      </c>
      <c r="B12" s="9">
        <v>0.78663679025858979</v>
      </c>
      <c r="D12">
        <f>E12/F12</f>
        <v>0.88425574148932251</v>
      </c>
      <c r="E12">
        <v>154</v>
      </c>
      <c r="F12">
        <v>174.15776089915224</v>
      </c>
    </row>
    <row r="13" spans="1:8" x14ac:dyDescent="0.45">
      <c r="A13" t="s">
        <v>171</v>
      </c>
      <c r="B13" s="9">
        <v>1.3089572491969623</v>
      </c>
      <c r="D13" t="s">
        <v>144</v>
      </c>
      <c r="E13" t="s">
        <v>102</v>
      </c>
      <c r="F13" t="s">
        <v>145</v>
      </c>
    </row>
    <row r="14" spans="1:8" x14ac:dyDescent="0.45">
      <c r="A14" t="s">
        <v>165</v>
      </c>
      <c r="B14" s="9">
        <v>0.98068342713586887</v>
      </c>
      <c r="D14" s="9">
        <v>1.0873139447788422</v>
      </c>
      <c r="E14">
        <v>3772</v>
      </c>
      <c r="F14">
        <v>3469.0992588780032</v>
      </c>
    </row>
    <row r="15" spans="1:8" x14ac:dyDescent="0.45">
      <c r="A15" t="s">
        <v>166</v>
      </c>
      <c r="B15" s="9">
        <v>1.1616222062541608</v>
      </c>
      <c r="D15" t="s">
        <v>146</v>
      </c>
      <c r="E15" t="s">
        <v>147</v>
      </c>
      <c r="F15" t="s">
        <v>145</v>
      </c>
    </row>
    <row r="16" spans="1:8" x14ac:dyDescent="0.45">
      <c r="D16">
        <v>0.78663679025858979</v>
      </c>
      <c r="E16">
        <v>1158</v>
      </c>
      <c r="F16">
        <v>1472.089806045472</v>
      </c>
    </row>
    <row r="17" spans="1:7" x14ac:dyDescent="0.45">
      <c r="A17" t="s">
        <v>167</v>
      </c>
      <c r="B17" s="9">
        <v>1.130054585505857</v>
      </c>
      <c r="D17" t="s">
        <v>148</v>
      </c>
      <c r="E17" t="s">
        <v>34</v>
      </c>
      <c r="F17" t="s">
        <v>35</v>
      </c>
    </row>
    <row r="18" spans="1:7" x14ac:dyDescent="0.45">
      <c r="A18" t="s">
        <v>168</v>
      </c>
      <c r="B18" s="9">
        <v>1.6857134304292023</v>
      </c>
      <c r="D18">
        <v>0.98068342713586887</v>
      </c>
      <c r="E18">
        <v>3921</v>
      </c>
      <c r="F18">
        <v>3998.232142508476</v>
      </c>
    </row>
    <row r="19" spans="1:7" x14ac:dyDescent="0.45">
      <c r="D19" t="s">
        <v>149</v>
      </c>
      <c r="E19" t="s">
        <v>122</v>
      </c>
      <c r="F19" t="s">
        <v>150</v>
      </c>
    </row>
    <row r="20" spans="1:7" x14ac:dyDescent="0.45">
      <c r="D20">
        <v>1.130054585505857</v>
      </c>
      <c r="E20">
        <v>601</v>
      </c>
      <c r="F20">
        <v>531.8327164974678</v>
      </c>
    </row>
    <row r="21" spans="1:7" x14ac:dyDescent="0.45">
      <c r="D21" t="s">
        <v>151</v>
      </c>
      <c r="E21" t="s">
        <v>121</v>
      </c>
      <c r="F21" t="s">
        <v>152</v>
      </c>
    </row>
    <row r="22" spans="1:7" x14ac:dyDescent="0.45">
      <c r="D22">
        <f>E22/F22</f>
        <v>1.6857134304292023</v>
      </c>
      <c r="E22">
        <v>54</v>
      </c>
      <c r="F22">
        <v>32.033914558212288</v>
      </c>
    </row>
    <row r="23" spans="1:7" x14ac:dyDescent="0.45">
      <c r="D23" t="s">
        <v>154</v>
      </c>
      <c r="E23" t="s">
        <v>153</v>
      </c>
      <c r="F23" t="s">
        <v>155</v>
      </c>
    </row>
    <row r="24" spans="1:7" x14ac:dyDescent="0.45">
      <c r="D24">
        <f>E24/F24</f>
        <v>1.1616222062541608</v>
      </c>
      <c r="E24">
        <f>E22+E20</f>
        <v>655</v>
      </c>
      <c r="F24">
        <f>F22+F20</f>
        <v>563.86663105568005</v>
      </c>
    </row>
    <row r="29" spans="1:7" x14ac:dyDescent="0.45">
      <c r="D29" s="9">
        <f>1-1158/3772</f>
        <v>0.69300106044538712</v>
      </c>
      <c r="G29">
        <f>1158-3772</f>
        <v>-2614</v>
      </c>
    </row>
    <row r="34" spans="16:16" x14ac:dyDescent="0.45">
      <c r="P34">
        <f>65/397</f>
        <v>0.16372795969773299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S14" sqref="S14"/>
    </sheetView>
  </sheetViews>
  <sheetFormatPr defaultRowHeight="14.25" x14ac:dyDescent="0.45"/>
  <cols>
    <col min="1" max="1" width="15.73046875" bestFit="1" customWidth="1"/>
    <col min="2" max="2" width="7.46484375" bestFit="1" customWidth="1"/>
    <col min="3" max="3" width="15.73046875" bestFit="1" customWidth="1"/>
  </cols>
  <sheetData>
    <row r="1" spans="1:4" x14ac:dyDescent="0.45">
      <c r="A1" t="s">
        <v>0</v>
      </c>
      <c r="B1" t="s">
        <v>157</v>
      </c>
      <c r="C1" t="s">
        <v>158</v>
      </c>
      <c r="D1" t="s">
        <v>112</v>
      </c>
    </row>
    <row r="2" spans="1:4" x14ac:dyDescent="0.45">
      <c r="A2" t="s">
        <v>93</v>
      </c>
      <c r="B2" s="9">
        <v>0.82045197867403097</v>
      </c>
      <c r="C2" s="9">
        <v>0.63691200613086096</v>
      </c>
      <c r="D2" s="16">
        <f>Table7[[#This Row],[Disparos]]-Table7[[#This Row],[Disparos a puerta]]</f>
        <v>0.18353997254317</v>
      </c>
    </row>
    <row r="3" spans="1:4" x14ac:dyDescent="0.45">
      <c r="A3" t="s">
        <v>110</v>
      </c>
      <c r="B3" s="9">
        <v>0.76175463522863296</v>
      </c>
      <c r="C3" s="9">
        <v>0.56199254426469203</v>
      </c>
      <c r="D3" s="16">
        <f>Table7[[#This Row],[Disparos]]-Table7[[#This Row],[Disparos a puerta]]</f>
        <v>0.19976209096394093</v>
      </c>
    </row>
    <row r="4" spans="1:4" x14ac:dyDescent="0.45">
      <c r="A4" t="s">
        <v>89</v>
      </c>
      <c r="B4" s="9">
        <v>1.0834323766251801</v>
      </c>
      <c r="C4" s="9">
        <v>0.882513690112116</v>
      </c>
      <c r="D4" s="16">
        <f>Table7[[#This Row],[Disparos]]-Table7[[#This Row],[Disparos a puerta]]</f>
        <v>0.2009186865130641</v>
      </c>
    </row>
    <row r="5" spans="1:4" x14ac:dyDescent="0.45">
      <c r="A5" t="s">
        <v>95</v>
      </c>
      <c r="B5" s="9">
        <v>0.96128359474101099</v>
      </c>
      <c r="C5" s="9">
        <v>0.75185830324532898</v>
      </c>
      <c r="D5" s="16">
        <f>Table7[[#This Row],[Disparos]]-Table7[[#This Row],[Disparos a puerta]]</f>
        <v>0.20942529149568201</v>
      </c>
    </row>
    <row r="6" spans="1:4" x14ac:dyDescent="0.45">
      <c r="A6" t="s">
        <v>81</v>
      </c>
      <c r="B6" s="9">
        <v>1.04178272700795</v>
      </c>
      <c r="C6" s="9">
        <v>0.83218380178389295</v>
      </c>
      <c r="D6" s="16">
        <f>Table7[[#This Row],[Disparos]]-Table7[[#This Row],[Disparos a puerta]]</f>
        <v>0.2095989252240571</v>
      </c>
    </row>
    <row r="7" spans="1:4" x14ac:dyDescent="0.45">
      <c r="A7" t="s">
        <v>88</v>
      </c>
      <c r="B7" s="9">
        <v>1.08297503624629</v>
      </c>
      <c r="C7" s="9">
        <v>0.87044974568800604</v>
      </c>
      <c r="D7" s="16">
        <f>Table7[[#This Row],[Disparos]]-Table7[[#This Row],[Disparos a puerta]]</f>
        <v>0.21252529055828395</v>
      </c>
    </row>
    <row r="8" spans="1:4" x14ac:dyDescent="0.45">
      <c r="A8" t="s">
        <v>87</v>
      </c>
      <c r="B8" s="9">
        <v>1.1138047971520899</v>
      </c>
      <c r="C8" s="9">
        <v>0.86905336685234102</v>
      </c>
      <c r="D8" s="16">
        <f>Table7[[#This Row],[Disparos]]-Table7[[#This Row],[Disparos a puerta]]</f>
        <v>0.24475143029974888</v>
      </c>
    </row>
    <row r="9" spans="1:4" x14ac:dyDescent="0.45">
      <c r="A9" t="s">
        <v>96</v>
      </c>
      <c r="B9" s="9">
        <v>1.0960294402641899</v>
      </c>
      <c r="C9" s="9">
        <v>0.80888360710159501</v>
      </c>
      <c r="D9" s="16">
        <f>Table7[[#This Row],[Disparos]]-Table7[[#This Row],[Disparos a puerta]]</f>
        <v>0.2871458331625949</v>
      </c>
    </row>
    <row r="10" spans="1:4" x14ac:dyDescent="0.45">
      <c r="A10" t="s">
        <v>86</v>
      </c>
      <c r="B10" s="9">
        <v>0.92636470226312295</v>
      </c>
      <c r="C10" s="9">
        <v>0.62446961381378197</v>
      </c>
      <c r="D10" s="16">
        <f>Table7[[#This Row],[Disparos]]-Table7[[#This Row],[Disparos a puerta]]</f>
        <v>0.30189508844934099</v>
      </c>
    </row>
    <row r="11" spans="1:4" x14ac:dyDescent="0.45">
      <c r="A11" t="s">
        <v>85</v>
      </c>
      <c r="B11" s="9">
        <v>1.2149593120419899</v>
      </c>
      <c r="C11" s="9">
        <v>0.89948148495338398</v>
      </c>
      <c r="D11" s="16">
        <f>Table7[[#This Row],[Disparos]]-Table7[[#This Row],[Disparos a puerta]]</f>
        <v>0.31547782708860594</v>
      </c>
    </row>
    <row r="12" spans="1:4" x14ac:dyDescent="0.45">
      <c r="A12" t="s">
        <v>83</v>
      </c>
      <c r="B12" s="9">
        <v>1.26211701517814</v>
      </c>
      <c r="C12" s="9">
        <v>0.94509681672555801</v>
      </c>
      <c r="D12" s="16">
        <f>Table7[[#This Row],[Disparos]]-Table7[[#This Row],[Disparos a puerta]]</f>
        <v>0.317020198452582</v>
      </c>
    </row>
    <row r="13" spans="1:4" x14ac:dyDescent="0.45">
      <c r="A13" t="s">
        <v>92</v>
      </c>
      <c r="B13" s="9">
        <v>1.3254252508743301</v>
      </c>
      <c r="C13" s="9">
        <v>0.99216179580792396</v>
      </c>
      <c r="D13" s="16">
        <f>Table7[[#This Row],[Disparos]]-Table7[[#This Row],[Disparos a puerta]]</f>
        <v>0.33326345506640609</v>
      </c>
    </row>
    <row r="14" spans="1:4" x14ac:dyDescent="0.45">
      <c r="A14" t="s">
        <v>90</v>
      </c>
      <c r="B14" s="9">
        <v>0.91450323786046706</v>
      </c>
      <c r="C14" s="9">
        <v>0.57955042145869595</v>
      </c>
      <c r="D14" s="16">
        <f>Table7[[#This Row],[Disparos]]-Table7[[#This Row],[Disparos a puerta]]</f>
        <v>0.3349528164017711</v>
      </c>
    </row>
    <row r="15" spans="1:4" x14ac:dyDescent="0.45">
      <c r="A15" t="s">
        <v>84</v>
      </c>
      <c r="B15" s="9">
        <v>1.1856605089413801</v>
      </c>
      <c r="C15" s="9">
        <v>0.84184995595383205</v>
      </c>
      <c r="D15" s="16">
        <f>Table7[[#This Row],[Disparos]]-Table7[[#This Row],[Disparos a puerta]]</f>
        <v>0.34381055298754803</v>
      </c>
    </row>
    <row r="16" spans="1:4" x14ac:dyDescent="0.45">
      <c r="A16" t="s">
        <v>99</v>
      </c>
      <c r="B16" s="9">
        <v>1.1258396641560899</v>
      </c>
      <c r="C16" s="9">
        <v>0.75719320172243698</v>
      </c>
      <c r="D16" s="16">
        <f>Table7[[#This Row],[Disparos]]-Table7[[#This Row],[Disparos a puerta]]</f>
        <v>0.36864646243365295</v>
      </c>
    </row>
    <row r="17" spans="1:4" x14ac:dyDescent="0.45">
      <c r="A17" t="s">
        <v>91</v>
      </c>
      <c r="B17" s="9">
        <v>1.24569857598571</v>
      </c>
      <c r="C17" s="9">
        <v>0.85981323806133303</v>
      </c>
      <c r="D17" s="16">
        <f>Table7[[#This Row],[Disparos]]-Table7[[#This Row],[Disparos a puerta]]</f>
        <v>0.38588533792437696</v>
      </c>
    </row>
    <row r="18" spans="1:4" x14ac:dyDescent="0.45">
      <c r="A18" t="s">
        <v>94</v>
      </c>
      <c r="B18" s="9">
        <v>1.0710111540806</v>
      </c>
      <c r="C18" s="9">
        <v>0.57618322123782895</v>
      </c>
      <c r="D18" s="16">
        <f>Table7[[#This Row],[Disparos]]-Table7[[#This Row],[Disparos a puerta]]</f>
        <v>0.49482793284277105</v>
      </c>
    </row>
    <row r="19" spans="1:4" x14ac:dyDescent="0.45">
      <c r="A19" t="s">
        <v>97</v>
      </c>
      <c r="B19" s="9">
        <v>1.33486073042159</v>
      </c>
      <c r="C19" s="9">
        <v>0.83762799855084502</v>
      </c>
      <c r="D19" s="16">
        <f>Table7[[#This Row],[Disparos]]-Table7[[#This Row],[Disparos a puerta]]</f>
        <v>0.49723273187074502</v>
      </c>
    </row>
    <row r="20" spans="1:4" x14ac:dyDescent="0.45">
      <c r="B20" s="9">
        <f>AVERAGE(Table7[Disparos])</f>
        <v>1.0871085965412663</v>
      </c>
      <c r="C20" s="17">
        <f>SUBTOTAL(101,Table7[Disparos a puerta])</f>
        <v>0.7848486007480252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D2" sqref="D2:D19"/>
    </sheetView>
  </sheetViews>
  <sheetFormatPr defaultRowHeight="14.25" x14ac:dyDescent="0.45"/>
  <cols>
    <col min="2" max="2" width="12" bestFit="1" customWidth="1"/>
  </cols>
  <sheetData>
    <row r="1" spans="1:5" x14ac:dyDescent="0.45">
      <c r="B1" t="s">
        <v>0</v>
      </c>
      <c r="C1" t="s">
        <v>189</v>
      </c>
      <c r="D1" t="s">
        <v>190</v>
      </c>
      <c r="E1" t="s">
        <v>115</v>
      </c>
    </row>
    <row r="2" spans="1:5" x14ac:dyDescent="0.45">
      <c r="A2" s="11"/>
      <c r="B2" s="11" t="s">
        <v>81</v>
      </c>
      <c r="C2">
        <v>35</v>
      </c>
      <c r="D2" s="7">
        <v>29.073682226030801</v>
      </c>
      <c r="E2" s="14">
        <f>Table2[[#This Row],[Puntos Obtenidos]]-Table2[[#This Row],[Puntos Esperados]]</f>
        <v>5.926317773969199</v>
      </c>
    </row>
    <row r="3" spans="1:5" x14ac:dyDescent="0.45">
      <c r="A3" s="11"/>
      <c r="B3" s="11" t="s">
        <v>82</v>
      </c>
      <c r="C3">
        <v>20</v>
      </c>
      <c r="D3" s="7">
        <v>17.116159771796699</v>
      </c>
      <c r="E3" s="14">
        <f>Table2[[#This Row],[Puntos Obtenidos]]-Table2[[#This Row],[Puntos Esperados]]</f>
        <v>2.8838402282033009</v>
      </c>
    </row>
    <row r="4" spans="1:5" x14ac:dyDescent="0.45">
      <c r="A4" s="11"/>
      <c r="B4" s="11" t="s">
        <v>84</v>
      </c>
      <c r="C4">
        <v>24</v>
      </c>
      <c r="D4" s="7">
        <v>21.303947680580499</v>
      </c>
      <c r="E4" s="14">
        <f>Table2[[#This Row],[Puntos Obtenidos]]-Table2[[#This Row],[Puntos Esperados]]</f>
        <v>2.6960523194195005</v>
      </c>
    </row>
    <row r="5" spans="1:5" x14ac:dyDescent="0.45">
      <c r="A5" s="11"/>
      <c r="B5" s="11" t="s">
        <v>85</v>
      </c>
      <c r="C5">
        <v>24</v>
      </c>
      <c r="D5" s="7">
        <v>21.561799729024202</v>
      </c>
      <c r="E5" s="14">
        <f>Table2[[#This Row],[Puntos Obtenidos]]-Table2[[#This Row],[Puntos Esperados]]</f>
        <v>2.4382002709757984</v>
      </c>
    </row>
    <row r="6" spans="1:5" x14ac:dyDescent="0.45">
      <c r="A6" s="11"/>
      <c r="B6" s="11" t="s">
        <v>83</v>
      </c>
      <c r="C6">
        <v>21</v>
      </c>
      <c r="D6" s="7">
        <v>18.6292950090773</v>
      </c>
      <c r="E6" s="14">
        <f>Table2[[#This Row],[Puntos Obtenidos]]-Table2[[#This Row],[Puntos Esperados]]</f>
        <v>2.3707049909227003</v>
      </c>
    </row>
    <row r="7" spans="1:5" x14ac:dyDescent="0.45">
      <c r="A7" s="11"/>
      <c r="B7" s="11" t="s">
        <v>86</v>
      </c>
      <c r="C7">
        <v>29</v>
      </c>
      <c r="D7" s="7">
        <v>26.882335982926602</v>
      </c>
      <c r="E7" s="14">
        <f>Table2[[#This Row],[Puntos Obtenidos]]-Table2[[#This Row],[Puntos Esperados]]</f>
        <v>2.1176640170733982</v>
      </c>
    </row>
    <row r="8" spans="1:5" x14ac:dyDescent="0.45">
      <c r="A8" s="11"/>
      <c r="B8" s="11" t="s">
        <v>87</v>
      </c>
      <c r="C8">
        <v>28</v>
      </c>
      <c r="D8" s="7">
        <v>26.120935038702399</v>
      </c>
      <c r="E8" s="14">
        <f>Table2[[#This Row],[Puntos Obtenidos]]-Table2[[#This Row],[Puntos Esperados]]</f>
        <v>1.8790649612976011</v>
      </c>
    </row>
    <row r="9" spans="1:5" x14ac:dyDescent="0.45">
      <c r="A9" s="11"/>
      <c r="B9" s="11" t="s">
        <v>99</v>
      </c>
      <c r="C9">
        <v>29</v>
      </c>
      <c r="D9" s="7">
        <v>27.793260248366298</v>
      </c>
      <c r="E9" s="14">
        <f>Table2[[#This Row],[Puntos Obtenidos]]-Table2[[#This Row],[Puntos Esperados]]</f>
        <v>1.2067397516337017</v>
      </c>
    </row>
    <row r="10" spans="1:5" x14ac:dyDescent="0.45">
      <c r="A10" s="11"/>
      <c r="B10" s="11" t="s">
        <v>88</v>
      </c>
      <c r="C10">
        <v>20</v>
      </c>
      <c r="D10" s="7">
        <v>20.258139707634399</v>
      </c>
      <c r="E10" s="14">
        <f>Table2[[#This Row],[Puntos Obtenidos]]-Table2[[#This Row],[Puntos Esperados]]</f>
        <v>-0.25813970763439897</v>
      </c>
    </row>
    <row r="11" spans="1:5" x14ac:dyDescent="0.45">
      <c r="A11" s="11"/>
      <c r="B11" s="11" t="s">
        <v>89</v>
      </c>
      <c r="C11">
        <v>22</v>
      </c>
      <c r="D11" s="7">
        <v>22.466455707151798</v>
      </c>
      <c r="E11" s="14">
        <f>Table2[[#This Row],[Puntos Obtenidos]]-Table2[[#This Row],[Puntos Esperados]]</f>
        <v>-0.46645570715179829</v>
      </c>
    </row>
    <row r="12" spans="1:5" x14ac:dyDescent="0.45">
      <c r="A12" s="11"/>
      <c r="B12" s="11" t="s">
        <v>90</v>
      </c>
      <c r="C12">
        <v>16</v>
      </c>
      <c r="D12" s="7">
        <v>16.885064814339</v>
      </c>
      <c r="E12" s="14">
        <f>Table2[[#This Row],[Puntos Obtenidos]]-Table2[[#This Row],[Puntos Esperados]]</f>
        <v>-0.88506481433899964</v>
      </c>
    </row>
    <row r="13" spans="1:5" x14ac:dyDescent="0.45">
      <c r="A13" s="11"/>
      <c r="B13" s="11" t="s">
        <v>91</v>
      </c>
      <c r="C13">
        <v>24</v>
      </c>
      <c r="D13" s="7">
        <v>25.377944047419</v>
      </c>
      <c r="E13" s="14">
        <f>Table2[[#This Row],[Puntos Obtenidos]]-Table2[[#This Row],[Puntos Esperados]]</f>
        <v>-1.3779440474189997</v>
      </c>
    </row>
    <row r="14" spans="1:5" x14ac:dyDescent="0.45">
      <c r="A14" s="11"/>
      <c r="B14" s="11" t="s">
        <v>92</v>
      </c>
      <c r="C14">
        <v>20</v>
      </c>
      <c r="D14" s="7">
        <v>21.923521473491501</v>
      </c>
      <c r="E14" s="14">
        <f>Table2[[#This Row],[Puntos Obtenidos]]-Table2[[#This Row],[Puntos Esperados]]</f>
        <v>-1.9235214734915012</v>
      </c>
    </row>
    <row r="15" spans="1:5" x14ac:dyDescent="0.45">
      <c r="A15" s="11"/>
      <c r="B15" s="11" t="s">
        <v>94</v>
      </c>
      <c r="C15">
        <v>15</v>
      </c>
      <c r="D15" s="7">
        <v>18.3621436822569</v>
      </c>
      <c r="E15" s="14">
        <f>Table2[[#This Row],[Puntos Obtenidos]]-Table2[[#This Row],[Puntos Esperados]]</f>
        <v>-3.3621436822568995</v>
      </c>
    </row>
    <row r="16" spans="1:5" x14ac:dyDescent="0.45">
      <c r="A16" s="11"/>
      <c r="B16" s="11" t="s">
        <v>93</v>
      </c>
      <c r="C16">
        <v>23</v>
      </c>
      <c r="D16" s="7">
        <v>26.9387551498154</v>
      </c>
      <c r="E16" s="14">
        <f>Table2[[#This Row],[Puntos Obtenidos]]-Table2[[#This Row],[Puntos Esperados]]</f>
        <v>-3.9387551498153996</v>
      </c>
    </row>
    <row r="17" spans="1:5" x14ac:dyDescent="0.45">
      <c r="A17" s="11"/>
      <c r="B17" s="11" t="s">
        <v>96</v>
      </c>
      <c r="C17">
        <v>15</v>
      </c>
      <c r="D17" s="7">
        <v>20.7447115944505</v>
      </c>
      <c r="E17" s="14">
        <f>Table2[[#This Row],[Puntos Obtenidos]]-Table2[[#This Row],[Puntos Esperados]]</f>
        <v>-5.7447115944505001</v>
      </c>
    </row>
    <row r="18" spans="1:5" x14ac:dyDescent="0.45">
      <c r="A18" s="11"/>
      <c r="B18" s="11" t="s">
        <v>95</v>
      </c>
      <c r="C18">
        <v>22</v>
      </c>
      <c r="D18" s="7">
        <v>28.787068078689</v>
      </c>
      <c r="E18" s="14">
        <f>Table2[[#This Row],[Puntos Obtenidos]]-Table2[[#This Row],[Puntos Esperados]]</f>
        <v>-6.7870680786889999</v>
      </c>
    </row>
    <row r="19" spans="1:5" x14ac:dyDescent="0.45">
      <c r="A19" s="12"/>
      <c r="B19" s="12" t="s">
        <v>97</v>
      </c>
      <c r="C19">
        <v>18</v>
      </c>
      <c r="D19" s="7">
        <v>26.0690266949955</v>
      </c>
      <c r="E19" s="14">
        <f>Table2[[#This Row],[Puntos Obtenidos]]-Table2[[#This Row],[Puntos Esperados]]</f>
        <v>-8.0690266949955003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D6" sqref="D6"/>
    </sheetView>
  </sheetViews>
  <sheetFormatPr defaultRowHeight="14.25" x14ac:dyDescent="0.45"/>
  <cols>
    <col min="2" max="2" width="12" bestFit="1" customWidth="1"/>
  </cols>
  <sheetData>
    <row r="1" spans="1:5" x14ac:dyDescent="0.45">
      <c r="B1" t="s">
        <v>0</v>
      </c>
      <c r="C1" t="s">
        <v>172</v>
      </c>
      <c r="D1" t="s">
        <v>187</v>
      </c>
      <c r="E1" t="s">
        <v>115</v>
      </c>
    </row>
    <row r="2" spans="1:5" x14ac:dyDescent="0.45">
      <c r="A2" s="11"/>
      <c r="B2" s="11" t="s">
        <v>192</v>
      </c>
      <c r="C2">
        <v>26</v>
      </c>
      <c r="D2" s="6">
        <v>24.127361897796799</v>
      </c>
      <c r="E2" s="14">
        <f>Table24[[#This Row],[Goles anotados]]-Table24[[#This Row],[Goles esperados]]</f>
        <v>1.8726381022032008</v>
      </c>
    </row>
    <row r="3" spans="1:5" x14ac:dyDescent="0.45">
      <c r="A3" s="11"/>
      <c r="B3" s="11" t="s">
        <v>68</v>
      </c>
      <c r="C3">
        <v>23</v>
      </c>
      <c r="D3" s="6">
        <v>23.784712367637599</v>
      </c>
      <c r="E3" s="14">
        <f>Table24[[#This Row],[Goles anotados]]-Table24[[#This Row],[Goles esperados]]</f>
        <v>-0.78471236763759933</v>
      </c>
    </row>
    <row r="4" spans="1:5" x14ac:dyDescent="0.45">
      <c r="A4" s="11"/>
      <c r="B4" s="11" t="s">
        <v>67</v>
      </c>
      <c r="C4">
        <v>22</v>
      </c>
      <c r="D4" s="6">
        <v>20.789568298393899</v>
      </c>
      <c r="E4" s="14">
        <f>Table24[[#This Row],[Goles anotados]]-Table24[[#This Row],[Goles esperados]]</f>
        <v>1.210431701606101</v>
      </c>
    </row>
    <row r="5" spans="1:5" x14ac:dyDescent="0.45">
      <c r="A5" s="11"/>
      <c r="B5" s="11" t="s">
        <v>63</v>
      </c>
      <c r="C5">
        <v>21</v>
      </c>
      <c r="D5" s="6">
        <v>24.734209165761001</v>
      </c>
      <c r="E5" s="14">
        <f>Table24[[#This Row],[Goles anotados]]-Table24[[#This Row],[Goles esperados]]</f>
        <v>-3.7342091657610013</v>
      </c>
    </row>
    <row r="6" spans="1:5" x14ac:dyDescent="0.45">
      <c r="A6" s="11"/>
      <c r="B6" s="11" t="s">
        <v>57</v>
      </c>
      <c r="C6">
        <v>21</v>
      </c>
      <c r="D6" s="6">
        <v>25.716761964900002</v>
      </c>
      <c r="E6" s="14">
        <f>Table24[[#This Row],[Goles anotados]]-Table24[[#This Row],[Goles esperados]]</f>
        <v>-4.7167619649000017</v>
      </c>
    </row>
    <row r="7" spans="1:5" x14ac:dyDescent="0.45">
      <c r="A7" s="11"/>
      <c r="B7" s="11" t="s">
        <v>59</v>
      </c>
      <c r="C7">
        <v>21</v>
      </c>
      <c r="D7" s="6">
        <v>26.542587710476202</v>
      </c>
      <c r="E7" s="14">
        <f>Table24[[#This Row],[Goles anotados]]-Table24[[#This Row],[Goles esperados]]</f>
        <v>-5.5425877104762016</v>
      </c>
    </row>
    <row r="8" spans="1:5" x14ac:dyDescent="0.45">
      <c r="A8" s="11"/>
      <c r="B8" s="11" t="s">
        <v>56</v>
      </c>
      <c r="C8">
        <v>20</v>
      </c>
      <c r="D8" s="6">
        <v>24.540321288438399</v>
      </c>
      <c r="E8" s="14">
        <f>Table24[[#This Row],[Goles anotados]]-Table24[[#This Row],[Goles esperados]]</f>
        <v>-4.540321288438399</v>
      </c>
    </row>
    <row r="9" spans="1:5" x14ac:dyDescent="0.45">
      <c r="A9" s="11"/>
      <c r="B9" s="11" t="s">
        <v>61</v>
      </c>
      <c r="C9">
        <v>19</v>
      </c>
      <c r="D9" s="6">
        <v>19.686638696358401</v>
      </c>
      <c r="E9" s="14">
        <f>Table24[[#This Row],[Goles anotados]]-Table24[[#This Row],[Goles esperados]]</f>
        <v>-0.68663869635840058</v>
      </c>
    </row>
    <row r="10" spans="1:5" x14ac:dyDescent="0.45">
      <c r="A10" s="11"/>
      <c r="B10" s="11" t="s">
        <v>62</v>
      </c>
      <c r="C10">
        <v>19</v>
      </c>
      <c r="D10" s="6">
        <v>24.119704980274101</v>
      </c>
      <c r="E10" s="14">
        <f>Table24[[#This Row],[Goles anotados]]-Table24[[#This Row],[Goles esperados]]</f>
        <v>-5.1197049802741006</v>
      </c>
    </row>
    <row r="11" spans="1:5" x14ac:dyDescent="0.45">
      <c r="A11" s="11"/>
      <c r="B11" s="11" t="s">
        <v>51</v>
      </c>
      <c r="C11">
        <v>19</v>
      </c>
      <c r="D11" s="6">
        <v>26.501577416233399</v>
      </c>
      <c r="E11" s="14">
        <f>Table24[[#This Row],[Goles anotados]]-Table24[[#This Row],[Goles esperados]]</f>
        <v>-7.501577416233399</v>
      </c>
    </row>
    <row r="12" spans="1:5" x14ac:dyDescent="0.45">
      <c r="A12" s="11"/>
      <c r="B12" s="11" t="s">
        <v>193</v>
      </c>
      <c r="C12">
        <v>18</v>
      </c>
      <c r="D12" s="6">
        <v>18.000370296524402</v>
      </c>
      <c r="E12" s="14">
        <f>Table24[[#This Row],[Goles anotados]]-Table24[[#This Row],[Goles esperados]]</f>
        <v>-3.7029652440168093E-4</v>
      </c>
    </row>
    <row r="13" spans="1:5" x14ac:dyDescent="0.45">
      <c r="A13" s="11"/>
      <c r="B13" s="11" t="s">
        <v>194</v>
      </c>
      <c r="C13">
        <v>17</v>
      </c>
      <c r="D13" s="6">
        <v>18.8647188786592</v>
      </c>
      <c r="E13" s="14">
        <f>Table24[[#This Row],[Goles anotados]]-Table24[[#This Row],[Goles esperados]]</f>
        <v>-1.8647188786592004</v>
      </c>
    </row>
    <row r="14" spans="1:5" x14ac:dyDescent="0.45">
      <c r="A14" s="11"/>
      <c r="B14" s="11" t="s">
        <v>64</v>
      </c>
      <c r="C14">
        <v>16</v>
      </c>
      <c r="D14" s="6">
        <v>20.231901684878501</v>
      </c>
      <c r="E14" s="14">
        <f>Table24[[#This Row],[Goles anotados]]-Table24[[#This Row],[Goles esperados]]</f>
        <v>-4.2319016848785012</v>
      </c>
    </row>
    <row r="15" spans="1:5" x14ac:dyDescent="0.45">
      <c r="A15" s="11"/>
      <c r="B15" s="11" t="s">
        <v>55</v>
      </c>
      <c r="C15">
        <v>16</v>
      </c>
      <c r="D15" s="6">
        <v>20.608522494308598</v>
      </c>
      <c r="E15" s="14">
        <f>Table24[[#This Row],[Goles anotados]]-Table24[[#This Row],[Goles esperados]]</f>
        <v>-4.6085224943085983</v>
      </c>
    </row>
    <row r="16" spans="1:5" x14ac:dyDescent="0.45">
      <c r="A16" s="11"/>
      <c r="B16" s="11" t="s">
        <v>66</v>
      </c>
      <c r="C16">
        <v>16</v>
      </c>
      <c r="D16" s="6">
        <v>21.122403122054799</v>
      </c>
      <c r="E16" s="14">
        <f>Table24[[#This Row],[Goles anotados]]-Table24[[#This Row],[Goles esperados]]</f>
        <v>-5.1224031220547985</v>
      </c>
    </row>
    <row r="17" spans="1:5" x14ac:dyDescent="0.45">
      <c r="A17" s="11"/>
      <c r="B17" s="11" t="s">
        <v>54</v>
      </c>
      <c r="C17">
        <v>14</v>
      </c>
      <c r="D17" s="6">
        <v>17.918116999320901</v>
      </c>
      <c r="E17" s="14">
        <f>Table24[[#This Row],[Goles anotados]]-Table24[[#This Row],[Goles esperados]]</f>
        <v>-3.9181169993209011</v>
      </c>
    </row>
    <row r="18" spans="1:5" x14ac:dyDescent="0.45">
      <c r="A18" s="11"/>
      <c r="B18" s="11" t="s">
        <v>195</v>
      </c>
      <c r="C18">
        <v>13</v>
      </c>
      <c r="D18" s="6">
        <v>21.477231232411</v>
      </c>
      <c r="E18" s="14">
        <f>Table24[[#This Row],[Goles anotados]]-Table24[[#This Row],[Goles esperados]]</f>
        <v>-8.4772312324110004</v>
      </c>
    </row>
    <row r="19" spans="1:5" x14ac:dyDescent="0.45">
      <c r="A19" s="12"/>
      <c r="B19" s="12" t="s">
        <v>65</v>
      </c>
      <c r="C19">
        <v>11</v>
      </c>
      <c r="D19" s="6">
        <v>18.6018190850838</v>
      </c>
      <c r="E19" s="14">
        <f>Table24[[#This Row],[Goles anotados]]-Table24[[#This Row],[Goles esperados]]</f>
        <v>-7.6018190850838003</v>
      </c>
    </row>
    <row r="21" spans="1:5" x14ac:dyDescent="0.45">
      <c r="C21">
        <f>SUM(Table24[Goles anotados])</f>
        <v>332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B26" sqref="B26"/>
    </sheetView>
  </sheetViews>
  <sheetFormatPr defaultRowHeight="14.25" x14ac:dyDescent="0.45"/>
  <cols>
    <col min="2" max="2" width="12" bestFit="1" customWidth="1"/>
  </cols>
  <sheetData>
    <row r="1" spans="1:6" x14ac:dyDescent="0.45">
      <c r="B1" t="s">
        <v>0</v>
      </c>
      <c r="C1" t="s">
        <v>173</v>
      </c>
      <c r="D1" t="s">
        <v>196</v>
      </c>
      <c r="E1" t="s">
        <v>80</v>
      </c>
      <c r="F1" t="s">
        <v>115</v>
      </c>
    </row>
    <row r="2" spans="1:6" x14ac:dyDescent="0.45">
      <c r="A2" s="11"/>
      <c r="B2" s="11" t="s">
        <v>57</v>
      </c>
      <c r="C2">
        <v>10</v>
      </c>
      <c r="D2" s="6">
        <v>18.644088968336501</v>
      </c>
      <c r="E2" s="9">
        <f>Table245[[#This Row],[Goles en contra]]/Table245[[#This Row],[Goles en contra esperados]]</f>
        <v>0.53636302728350682</v>
      </c>
      <c r="F2" s="6">
        <f>Table245[[#This Row],[Goles en contra]]-Table245[[#This Row],[Goles en contra esperados]]</f>
        <v>-8.6440889683365008</v>
      </c>
    </row>
    <row r="3" spans="1:6" x14ac:dyDescent="0.45">
      <c r="A3" s="11"/>
      <c r="B3" s="11" t="s">
        <v>59</v>
      </c>
      <c r="C3">
        <v>10</v>
      </c>
      <c r="D3" s="6">
        <v>18.070019052237299</v>
      </c>
      <c r="E3" s="9">
        <f>Table245[[#This Row],[Goles en contra]]/Table245[[#This Row],[Goles en contra esperados]]</f>
        <v>0.55340284761691338</v>
      </c>
      <c r="F3" s="6">
        <f>Table245[[#This Row],[Goles en contra]]-Table245[[#This Row],[Goles en contra esperados]]</f>
        <v>-8.0700190522372992</v>
      </c>
    </row>
    <row r="4" spans="1:6" x14ac:dyDescent="0.45">
      <c r="A4" s="11"/>
      <c r="B4" s="11" t="s">
        <v>195</v>
      </c>
      <c r="C4">
        <v>13</v>
      </c>
      <c r="D4" s="6">
        <v>22.132442328788301</v>
      </c>
      <c r="E4" s="9">
        <f>Table245[[#This Row],[Goles en contra]]/Table245[[#This Row],[Goles en contra esperados]]</f>
        <v>0.58737304301435045</v>
      </c>
      <c r="F4" s="6">
        <f>Table245[[#This Row],[Goles en contra]]-Table245[[#This Row],[Goles en contra esperados]]</f>
        <v>-9.1324423287883008</v>
      </c>
    </row>
    <row r="5" spans="1:6" x14ac:dyDescent="0.45">
      <c r="A5" s="11"/>
      <c r="B5" s="11" t="s">
        <v>192</v>
      </c>
      <c r="C5">
        <v>14</v>
      </c>
      <c r="D5" s="6">
        <v>19.6678321659852</v>
      </c>
      <c r="E5" s="9">
        <f>Table245[[#This Row],[Goles en contra]]/Table245[[#This Row],[Goles en contra esperados]]</f>
        <v>0.71182222228906811</v>
      </c>
      <c r="F5" s="6">
        <f>Table245[[#This Row],[Goles en contra]]-Table245[[#This Row],[Goles en contra esperados]]</f>
        <v>-5.6678321659851996</v>
      </c>
    </row>
    <row r="6" spans="1:6" x14ac:dyDescent="0.45">
      <c r="A6" s="11"/>
      <c r="B6" s="11" t="s">
        <v>56</v>
      </c>
      <c r="C6">
        <v>14</v>
      </c>
      <c r="D6" s="6">
        <v>19.404852562402901</v>
      </c>
      <c r="E6" s="9">
        <f>Table245[[#This Row],[Goles en contra]]/Table245[[#This Row],[Goles en contra esperados]]</f>
        <v>0.72146902198706431</v>
      </c>
      <c r="F6" s="6">
        <f>Table245[[#This Row],[Goles en contra]]-Table245[[#This Row],[Goles en contra esperados]]</f>
        <v>-5.4048525624029011</v>
      </c>
    </row>
    <row r="7" spans="1:6" x14ac:dyDescent="0.45">
      <c r="A7" s="11"/>
      <c r="B7" s="11" t="s">
        <v>55</v>
      </c>
      <c r="C7">
        <v>16</v>
      </c>
      <c r="D7" s="6">
        <v>23.079289161801402</v>
      </c>
      <c r="E7" s="9">
        <f>Table245[[#This Row],[Goles en contra]]/Table245[[#This Row],[Goles en contra esperados]]</f>
        <v>0.69326225291555543</v>
      </c>
      <c r="F7" s="6">
        <f>Table245[[#This Row],[Goles en contra]]-Table245[[#This Row],[Goles en contra esperados]]</f>
        <v>-7.0792891618014018</v>
      </c>
    </row>
    <row r="8" spans="1:6" x14ac:dyDescent="0.45">
      <c r="A8" s="11"/>
      <c r="B8" s="11" t="s">
        <v>68</v>
      </c>
      <c r="C8">
        <v>16</v>
      </c>
      <c r="D8" s="6">
        <v>20.4514608701223</v>
      </c>
      <c r="E8" s="9">
        <f>Table245[[#This Row],[Goles en contra]]/Table245[[#This Row],[Goles en contra esperados]]</f>
        <v>0.78234020061493625</v>
      </c>
      <c r="F8" s="6">
        <f>Table245[[#This Row],[Goles en contra]]-Table245[[#This Row],[Goles en contra esperados]]</f>
        <v>-4.4514608701223004</v>
      </c>
    </row>
    <row r="9" spans="1:6" x14ac:dyDescent="0.45">
      <c r="A9" s="11"/>
      <c r="B9" s="11" t="s">
        <v>51</v>
      </c>
      <c r="C9">
        <v>16</v>
      </c>
      <c r="D9" s="6">
        <v>18.274532905812599</v>
      </c>
      <c r="E9" s="9">
        <f>Table245[[#This Row],[Goles en contra]]/Table245[[#This Row],[Goles en contra esperados]]</f>
        <v>0.87553537387053348</v>
      </c>
      <c r="F9" s="6">
        <f>Table245[[#This Row],[Goles en contra]]-Table245[[#This Row],[Goles en contra esperados]]</f>
        <v>-2.2745329058125989</v>
      </c>
    </row>
    <row r="10" spans="1:6" x14ac:dyDescent="0.45">
      <c r="A10" s="11"/>
      <c r="B10" s="11" t="s">
        <v>63</v>
      </c>
      <c r="C10">
        <v>17</v>
      </c>
      <c r="D10" s="6">
        <v>18.8013694865278</v>
      </c>
      <c r="E10" s="9">
        <f>Table245[[#This Row],[Goles en contra]]/Table245[[#This Row],[Goles en contra esperados]]</f>
        <v>0.90418945344281543</v>
      </c>
      <c r="F10" s="6">
        <f>Table245[[#This Row],[Goles en contra]]-Table245[[#This Row],[Goles en contra esperados]]</f>
        <v>-1.8013694865278005</v>
      </c>
    </row>
    <row r="11" spans="1:6" x14ac:dyDescent="0.45">
      <c r="A11" s="11"/>
      <c r="B11" s="11" t="s">
        <v>65</v>
      </c>
      <c r="C11">
        <v>19</v>
      </c>
      <c r="D11" s="6">
        <v>25.2178179830122</v>
      </c>
      <c r="E11" s="9">
        <f>Table245[[#This Row],[Goles en contra]]/Table245[[#This Row],[Goles en contra esperados]]</f>
        <v>0.75343552772088418</v>
      </c>
      <c r="F11" s="6">
        <f>Table245[[#This Row],[Goles en contra]]-Table245[[#This Row],[Goles en contra esperados]]</f>
        <v>-6.2178179830121998</v>
      </c>
    </row>
    <row r="12" spans="1:6" x14ac:dyDescent="0.45">
      <c r="A12" s="11"/>
      <c r="B12" s="11" t="s">
        <v>62</v>
      </c>
      <c r="C12">
        <v>21</v>
      </c>
      <c r="D12" s="6">
        <v>19.8362015513035</v>
      </c>
      <c r="E12" s="9">
        <f>Table245[[#This Row],[Goles en contra]]/Table245[[#This Row],[Goles en contra esperados]]</f>
        <v>1.0586704286950555</v>
      </c>
      <c r="F12" s="6">
        <f>Table245[[#This Row],[Goles en contra]]-Table245[[#This Row],[Goles en contra esperados]]</f>
        <v>1.1637984486965003</v>
      </c>
    </row>
    <row r="13" spans="1:6" x14ac:dyDescent="0.45">
      <c r="A13" s="11"/>
      <c r="B13" s="11" t="s">
        <v>67</v>
      </c>
      <c r="C13">
        <v>22</v>
      </c>
      <c r="D13" s="6">
        <v>23.120367405505402</v>
      </c>
      <c r="E13" s="9">
        <f>Table245[[#This Row],[Goles en contra]]/Table245[[#This Row],[Goles en contra esperados]]</f>
        <v>0.95154197224224812</v>
      </c>
      <c r="F13" s="6">
        <f>Table245[[#This Row],[Goles en contra]]-Table245[[#This Row],[Goles en contra esperados]]</f>
        <v>-1.1203674055054016</v>
      </c>
    </row>
    <row r="14" spans="1:6" x14ac:dyDescent="0.45">
      <c r="A14" s="11"/>
      <c r="B14" s="11" t="s">
        <v>66</v>
      </c>
      <c r="C14">
        <v>22</v>
      </c>
      <c r="D14" s="6">
        <v>22.867887436160999</v>
      </c>
      <c r="E14" s="9">
        <f>Table245[[#This Row],[Goles en contra]]/Table245[[#This Row],[Goles en contra esperados]]</f>
        <v>0.96204776507738932</v>
      </c>
      <c r="F14" s="6">
        <f>Table245[[#This Row],[Goles en contra]]-Table245[[#This Row],[Goles en contra esperados]]</f>
        <v>-0.8678874361609985</v>
      </c>
    </row>
    <row r="15" spans="1:6" x14ac:dyDescent="0.45">
      <c r="A15" s="11"/>
      <c r="B15" s="11" t="s">
        <v>194</v>
      </c>
      <c r="C15">
        <v>23</v>
      </c>
      <c r="D15" s="6">
        <v>25.6795749458208</v>
      </c>
      <c r="E15" s="9">
        <f>Table245[[#This Row],[Goles en contra]]/Table245[[#This Row],[Goles en contra esperados]]</f>
        <v>0.89565345409827801</v>
      </c>
      <c r="F15" s="6">
        <f>Table245[[#This Row],[Goles en contra]]-Table245[[#This Row],[Goles en contra esperados]]</f>
        <v>-2.6795749458208</v>
      </c>
    </row>
    <row r="16" spans="1:6" x14ac:dyDescent="0.45">
      <c r="A16" s="11"/>
      <c r="B16" s="11" t="s">
        <v>61</v>
      </c>
      <c r="C16">
        <v>23</v>
      </c>
      <c r="D16" s="6">
        <v>23.672120975000698</v>
      </c>
      <c r="E16" s="9">
        <f>Table245[[#This Row],[Goles en contra]]/Table245[[#This Row],[Goles en contra esperados]]</f>
        <v>0.97160706572467659</v>
      </c>
      <c r="F16" s="6">
        <f>Table245[[#This Row],[Goles en contra]]-Table245[[#This Row],[Goles en contra esperados]]</f>
        <v>-0.67212097500069845</v>
      </c>
    </row>
    <row r="17" spans="1:6" x14ac:dyDescent="0.45">
      <c r="A17" s="11"/>
      <c r="B17" s="11" t="s">
        <v>52</v>
      </c>
      <c r="C17">
        <v>24</v>
      </c>
      <c r="D17" s="6">
        <v>27.130579425468898</v>
      </c>
      <c r="E17" s="9">
        <f>Table245[[#This Row],[Goles en contra]]/Table245[[#This Row],[Goles en contra esperados]]</f>
        <v>0.88461066841314639</v>
      </c>
      <c r="F17" s="6">
        <f>Table245[[#This Row],[Goles en contra]]-Table245[[#This Row],[Goles en contra esperados]]</f>
        <v>-3.1305794254688983</v>
      </c>
    </row>
    <row r="18" spans="1:6" x14ac:dyDescent="0.45">
      <c r="A18" s="11"/>
      <c r="B18" s="11" t="s">
        <v>54</v>
      </c>
      <c r="C18">
        <v>25</v>
      </c>
      <c r="D18" s="6">
        <v>27.375872722266401</v>
      </c>
      <c r="E18" s="9">
        <f>Table245[[#This Row],[Goles en contra]]/Table245[[#This Row],[Goles en contra esperados]]</f>
        <v>0.91321289566290376</v>
      </c>
      <c r="F18" s="6">
        <f>Table245[[#This Row],[Goles en contra]]-Table245[[#This Row],[Goles en contra esperados]]</f>
        <v>-2.3758727222664007</v>
      </c>
    </row>
    <row r="19" spans="1:6" x14ac:dyDescent="0.45">
      <c r="A19" s="12"/>
      <c r="B19" s="12" t="s">
        <v>64</v>
      </c>
      <c r="C19">
        <v>27</v>
      </c>
      <c r="D19" s="6">
        <v>23.942217632957998</v>
      </c>
      <c r="E19" s="9">
        <f>Table245[[#This Row],[Goles en contra]]/Table245[[#This Row],[Goles en contra esperados]]</f>
        <v>1.1277150852907112</v>
      </c>
      <c r="F19" s="6">
        <f>Table245[[#This Row],[Goles en contra]]-Table245[[#This Row],[Goles en contra esperados]]</f>
        <v>3.0577823670420017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zoomScale="110" zoomScaleNormal="110" workbookViewId="0">
      <selection activeCell="O13" sqref="O13"/>
    </sheetView>
  </sheetViews>
  <sheetFormatPr defaultRowHeight="14.25" x14ac:dyDescent="0.45"/>
  <cols>
    <col min="1" max="1" width="15.73046875" bestFit="1" customWidth="1"/>
  </cols>
  <sheetData>
    <row r="1" spans="1:3" x14ac:dyDescent="0.45">
      <c r="A1" t="s">
        <v>70</v>
      </c>
      <c r="B1" t="s">
        <v>11</v>
      </c>
      <c r="C1" t="s">
        <v>12</v>
      </c>
    </row>
    <row r="2" spans="1:3" x14ac:dyDescent="0.45">
      <c r="A2" s="2" t="s">
        <v>51</v>
      </c>
      <c r="B2" s="1">
        <v>-7.5015774162334896</v>
      </c>
      <c r="C2" s="1">
        <v>2.27453290581261</v>
      </c>
    </row>
    <row r="3" spans="1:3" x14ac:dyDescent="0.45">
      <c r="A3" s="2" t="s">
        <v>52</v>
      </c>
      <c r="B3" s="1">
        <v>-3.7029652446562901E-4</v>
      </c>
      <c r="C3" s="1">
        <v>3.13057942546898</v>
      </c>
    </row>
    <row r="4" spans="1:3" x14ac:dyDescent="0.45">
      <c r="A4" s="2" t="s">
        <v>53</v>
      </c>
      <c r="B4" s="1">
        <v>-1.8647188786592499</v>
      </c>
      <c r="C4" s="1">
        <v>2.67957494582084</v>
      </c>
    </row>
    <row r="5" spans="1:3" x14ac:dyDescent="0.45">
      <c r="A5" s="2" t="s">
        <v>54</v>
      </c>
      <c r="B5" s="1">
        <v>-3.9181169993209801</v>
      </c>
      <c r="C5" s="1">
        <v>2.3758727222664699</v>
      </c>
    </row>
    <row r="6" spans="1:3" x14ac:dyDescent="0.45">
      <c r="A6" s="2" t="s">
        <v>55</v>
      </c>
      <c r="B6" s="1">
        <v>-4.60852249430864</v>
      </c>
      <c r="C6" s="1">
        <v>7.0792891618014897</v>
      </c>
    </row>
    <row r="7" spans="1:3" x14ac:dyDescent="0.45">
      <c r="A7" s="2" t="s">
        <v>56</v>
      </c>
      <c r="B7" s="1">
        <v>-4.5403212884384896</v>
      </c>
      <c r="C7" s="1">
        <v>5.40485256240291</v>
      </c>
    </row>
    <row r="8" spans="1:3" x14ac:dyDescent="0.45">
      <c r="A8" s="2" t="s">
        <v>57</v>
      </c>
      <c r="B8" s="1">
        <v>-4.7167619649000398</v>
      </c>
      <c r="C8" s="1">
        <v>8.6440889683365807</v>
      </c>
    </row>
    <row r="9" spans="1:3" x14ac:dyDescent="0.45">
      <c r="A9" s="2" t="s">
        <v>58</v>
      </c>
      <c r="B9" s="1">
        <v>1.87263810220315</v>
      </c>
      <c r="C9" s="1">
        <v>5.6678321659852697</v>
      </c>
    </row>
    <row r="10" spans="1:3" x14ac:dyDescent="0.45">
      <c r="A10" s="2" t="s">
        <v>59</v>
      </c>
      <c r="B10" s="1">
        <v>-5.5425877104761998</v>
      </c>
      <c r="C10" s="1">
        <v>8.0700190522373703</v>
      </c>
    </row>
    <row r="11" spans="1:3" x14ac:dyDescent="0.45">
      <c r="A11" s="2" t="s">
        <v>60</v>
      </c>
      <c r="B11" s="1">
        <v>-8.4772312324110697</v>
      </c>
      <c r="C11" s="1">
        <v>9.1324423287883008</v>
      </c>
    </row>
    <row r="12" spans="1:3" x14ac:dyDescent="0.45">
      <c r="A12" s="2" t="s">
        <v>61</v>
      </c>
      <c r="B12" s="1">
        <v>-0.68663869635844998</v>
      </c>
      <c r="C12" s="1">
        <v>0.67212097500075096</v>
      </c>
    </row>
    <row r="13" spans="1:3" x14ac:dyDescent="0.45">
      <c r="A13" s="2" t="s">
        <v>62</v>
      </c>
      <c r="B13" s="1">
        <v>-5.1197049802741503</v>
      </c>
      <c r="C13" s="1">
        <v>-1.1637984486964701</v>
      </c>
    </row>
    <row r="14" spans="1:3" x14ac:dyDescent="0.45">
      <c r="A14" s="2" t="s">
        <v>63</v>
      </c>
      <c r="B14" s="1">
        <v>-3.7342091657610399</v>
      </c>
      <c r="C14" s="1">
        <v>1.8013694865278</v>
      </c>
    </row>
    <row r="15" spans="1:3" x14ac:dyDescent="0.45">
      <c r="A15" s="2" t="s">
        <v>64</v>
      </c>
      <c r="B15" s="1">
        <v>-4.23190168487855</v>
      </c>
      <c r="C15" s="1">
        <v>-3.0577823670419599</v>
      </c>
    </row>
    <row r="16" spans="1:3" x14ac:dyDescent="0.45">
      <c r="A16" s="2" t="s">
        <v>65</v>
      </c>
      <c r="B16" s="1">
        <v>-7.6018190850838803</v>
      </c>
      <c r="C16" s="1">
        <v>6.21781798301223</v>
      </c>
    </row>
    <row r="17" spans="1:3" x14ac:dyDescent="0.45">
      <c r="A17" s="2" t="s">
        <v>66</v>
      </c>
      <c r="B17" s="1">
        <v>-5.1224031220548101</v>
      </c>
      <c r="C17" s="1">
        <v>0.867887436161076</v>
      </c>
    </row>
    <row r="18" spans="1:3" x14ac:dyDescent="0.45">
      <c r="A18" s="2" t="s">
        <v>67</v>
      </c>
      <c r="B18" s="1">
        <v>1.21043170160604</v>
      </c>
      <c r="C18" s="1">
        <v>1.12036740550541</v>
      </c>
    </row>
    <row r="19" spans="1:3" x14ac:dyDescent="0.45">
      <c r="A19" s="2" t="s">
        <v>68</v>
      </c>
      <c r="B19" s="1">
        <v>-0.78471236763768804</v>
      </c>
      <c r="C19" s="1">
        <v>4.4514608701223102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D31" sqref="D31"/>
    </sheetView>
  </sheetViews>
  <sheetFormatPr defaultRowHeight="14.25" x14ac:dyDescent="0.45"/>
  <cols>
    <col min="2" max="2" width="12" bestFit="1" customWidth="1"/>
  </cols>
  <sheetData>
    <row r="1" spans="1:5" x14ac:dyDescent="0.45">
      <c r="B1" t="s">
        <v>0</v>
      </c>
      <c r="C1" t="s">
        <v>102</v>
      </c>
      <c r="D1" t="s">
        <v>103</v>
      </c>
      <c r="E1" t="s">
        <v>80</v>
      </c>
    </row>
    <row r="2" spans="1:5" x14ac:dyDescent="0.45">
      <c r="A2" s="11"/>
      <c r="B2" s="11" t="s">
        <v>62</v>
      </c>
      <c r="C2">
        <v>271</v>
      </c>
      <c r="D2" s="6">
        <v>203.017433822036</v>
      </c>
      <c r="E2" s="9">
        <f>Table26[[#This Row],[Shots]]/Table26[[#This Row],[Expected Shots]]</f>
        <v>1.3348607304215911</v>
      </c>
    </row>
    <row r="3" spans="1:5" x14ac:dyDescent="0.45">
      <c r="A3" s="11"/>
      <c r="B3" s="11" t="s">
        <v>66</v>
      </c>
      <c r="C3">
        <v>248</v>
      </c>
      <c r="D3" s="6">
        <v>187.10975955558601</v>
      </c>
      <c r="E3" s="9">
        <f>Table26[[#This Row],[Shots]]/Table26[[#This Row],[Expected Shots]]</f>
        <v>1.3254252508743398</v>
      </c>
    </row>
    <row r="4" spans="1:5" x14ac:dyDescent="0.45">
      <c r="A4" s="11"/>
      <c r="B4" s="11" t="s">
        <v>53</v>
      </c>
      <c r="C4">
        <v>225</v>
      </c>
      <c r="D4" s="6">
        <v>178.27190133257201</v>
      </c>
      <c r="E4" s="9">
        <f>Table26[[#This Row],[Shots]]/Table26[[#This Row],[Expected Shots]]</f>
        <v>1.2621170151781531</v>
      </c>
    </row>
    <row r="5" spans="1:5" x14ac:dyDescent="0.45">
      <c r="A5" s="11"/>
      <c r="B5" s="11" t="s">
        <v>68</v>
      </c>
      <c r="C5">
        <v>250</v>
      </c>
      <c r="D5" s="6">
        <v>200.69060430784899</v>
      </c>
      <c r="E5" s="9">
        <f>Table26[[#This Row],[Shots]]/Table26[[#This Row],[Expected Shots]]</f>
        <v>1.2456985759857147</v>
      </c>
    </row>
    <row r="6" spans="1:5" x14ac:dyDescent="0.45">
      <c r="A6" s="11"/>
      <c r="B6" s="11" t="s">
        <v>67</v>
      </c>
      <c r="C6">
        <v>226</v>
      </c>
      <c r="D6" s="6">
        <v>186.014459710719</v>
      </c>
      <c r="E6" s="9">
        <f>Table26[[#This Row],[Shots]]/Table26[[#This Row],[Expected Shots]]</f>
        <v>1.2149593120420028</v>
      </c>
    </row>
    <row r="7" spans="1:5" x14ac:dyDescent="0.45">
      <c r="A7" s="11"/>
      <c r="B7" s="11" t="s">
        <v>55</v>
      </c>
      <c r="C7">
        <v>221</v>
      </c>
      <c r="D7" s="6">
        <v>186.393995864228</v>
      </c>
      <c r="E7" s="9">
        <f>Table26[[#This Row],[Shots]]/Table26[[#This Row],[Expected Shots]]</f>
        <v>1.1856605089413905</v>
      </c>
    </row>
    <row r="8" spans="1:5" x14ac:dyDescent="0.45">
      <c r="A8" s="11"/>
      <c r="B8" s="11" t="s">
        <v>57</v>
      </c>
      <c r="C8">
        <v>237</v>
      </c>
      <c r="D8" s="6">
        <v>210.509549046355</v>
      </c>
      <c r="E8" s="9">
        <f>Table26[[#This Row],[Shots]]/Table26[[#This Row],[Expected Shots]]</f>
        <v>1.1258396641560982</v>
      </c>
    </row>
    <row r="9" spans="1:5" x14ac:dyDescent="0.45">
      <c r="A9" s="11"/>
      <c r="B9" s="11" t="s">
        <v>58</v>
      </c>
      <c r="C9">
        <v>227</v>
      </c>
      <c r="D9" s="6">
        <v>203.80590977918101</v>
      </c>
      <c r="E9" s="9">
        <f>Table26[[#This Row],[Shots]]/Table26[[#This Row],[Expected Shots]]</f>
        <v>1.1138047971521006</v>
      </c>
    </row>
    <row r="10" spans="1:5" x14ac:dyDescent="0.45">
      <c r="A10" s="11"/>
      <c r="B10" s="11" t="s">
        <v>64</v>
      </c>
      <c r="C10">
        <v>201</v>
      </c>
      <c r="D10" s="6">
        <v>183.38923446394799</v>
      </c>
      <c r="E10" s="9">
        <f>Table26[[#This Row],[Shots]]/Table26[[#This Row],[Expected Shots]]</f>
        <v>1.0960294402641944</v>
      </c>
    </row>
    <row r="11" spans="1:5" x14ac:dyDescent="0.45">
      <c r="A11" s="11"/>
      <c r="B11" s="11" t="s">
        <v>60</v>
      </c>
      <c r="C11">
        <v>206</v>
      </c>
      <c r="D11" s="6">
        <v>190.13646300812599</v>
      </c>
      <c r="E11" s="9">
        <f>Table26[[#This Row],[Shots]]/Table26[[#This Row],[Expected Shots]]</f>
        <v>1.0834323766251823</v>
      </c>
    </row>
    <row r="12" spans="1:5" x14ac:dyDescent="0.45">
      <c r="A12" s="11"/>
      <c r="B12" s="11" t="s">
        <v>61</v>
      </c>
      <c r="C12">
        <v>196</v>
      </c>
      <c r="D12" s="6">
        <v>180.98293445373901</v>
      </c>
      <c r="E12" s="9">
        <f>Table26[[#This Row],[Shots]]/Table26[[#This Row],[Expected Shots]]</f>
        <v>1.0829750362463015</v>
      </c>
    </row>
    <row r="13" spans="1:5" x14ac:dyDescent="0.45">
      <c r="A13" s="11"/>
      <c r="B13" s="11" t="s">
        <v>65</v>
      </c>
      <c r="C13">
        <v>188</v>
      </c>
      <c r="D13" s="6">
        <v>175.53505328465599</v>
      </c>
      <c r="E13" s="9">
        <f>Table26[[#This Row],[Shots]]/Table26[[#This Row],[Expected Shots]]</f>
        <v>1.0710111540806055</v>
      </c>
    </row>
    <row r="14" spans="1:5" x14ac:dyDescent="0.45">
      <c r="A14" s="11"/>
      <c r="B14" s="11" t="s">
        <v>59</v>
      </c>
      <c r="C14">
        <v>224</v>
      </c>
      <c r="D14" s="6">
        <v>215.01604335803901</v>
      </c>
      <c r="E14" s="9">
        <f>Table26[[#This Row],[Shots]]/Table26[[#This Row],[Expected Shots]]</f>
        <v>1.0417827270079616</v>
      </c>
    </row>
    <row r="15" spans="1:5" x14ac:dyDescent="0.45">
      <c r="A15" s="11"/>
      <c r="B15" s="11" t="s">
        <v>51</v>
      </c>
      <c r="C15">
        <v>205</v>
      </c>
      <c r="D15" s="6">
        <v>213.25652608815301</v>
      </c>
      <c r="E15" s="9">
        <f>Table26[[#This Row],[Shots]]/Table26[[#This Row],[Expected Shots]]</f>
        <v>0.96128359474101144</v>
      </c>
    </row>
    <row r="16" spans="1:5" x14ac:dyDescent="0.45">
      <c r="A16" s="11"/>
      <c r="B16" s="11" t="s">
        <v>56</v>
      </c>
      <c r="C16">
        <v>189</v>
      </c>
      <c r="D16" s="6">
        <v>204.02331774761001</v>
      </c>
      <c r="E16" s="9">
        <f>Table26[[#This Row],[Shots]]/Table26[[#This Row],[Expected Shots]]</f>
        <v>0.9263647022631265</v>
      </c>
    </row>
    <row r="17" spans="1:5" x14ac:dyDescent="0.45">
      <c r="A17" s="11"/>
      <c r="B17" s="11" t="s">
        <v>54</v>
      </c>
      <c r="C17">
        <v>157</v>
      </c>
      <c r="D17" s="6">
        <v>171.67790500918301</v>
      </c>
      <c r="E17" s="9">
        <f>Table26[[#This Row],[Shots]]/Table26[[#This Row],[Expected Shots]]</f>
        <v>0.91450323786046961</v>
      </c>
    </row>
    <row r="18" spans="1:5" x14ac:dyDescent="0.45">
      <c r="A18" s="11"/>
      <c r="B18" s="11" t="s">
        <v>63</v>
      </c>
      <c r="C18">
        <v>169</v>
      </c>
      <c r="D18" s="6">
        <v>205.98402391950799</v>
      </c>
      <c r="E18" s="9">
        <f>Table26[[#This Row],[Shots]]/Table26[[#This Row],[Expected Shots]]</f>
        <v>0.82045197867403463</v>
      </c>
    </row>
    <row r="19" spans="1:5" x14ac:dyDescent="0.45">
      <c r="A19" s="12"/>
      <c r="B19" s="12" t="s">
        <v>52</v>
      </c>
      <c r="C19">
        <v>132</v>
      </c>
      <c r="D19" s="6">
        <v>173.284144126515</v>
      </c>
      <c r="E19" s="9">
        <f>Table26[[#This Row],[Shots]]/Table26[[#This Row],[Expected Shots]]</f>
        <v>0.76175463522863707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D2" sqref="D2"/>
    </sheetView>
  </sheetViews>
  <sheetFormatPr defaultRowHeight="14.25" x14ac:dyDescent="0.45"/>
  <cols>
    <col min="2" max="2" width="12" bestFit="1" customWidth="1"/>
  </cols>
  <sheetData>
    <row r="1" spans="1:5" ht="27.75" customHeight="1" x14ac:dyDescent="0.45">
      <c r="B1" t="s">
        <v>0</v>
      </c>
      <c r="C1" t="s">
        <v>174</v>
      </c>
      <c r="D1" s="15" t="s">
        <v>191</v>
      </c>
      <c r="E1" t="s">
        <v>80</v>
      </c>
    </row>
    <row r="2" spans="1:5" x14ac:dyDescent="0.45">
      <c r="A2" s="11"/>
      <c r="B2" s="11" t="s">
        <v>97</v>
      </c>
      <c r="C2">
        <v>225</v>
      </c>
      <c r="D2" s="7">
        <v>181.52682940305999</v>
      </c>
      <c r="E2" s="9">
        <f>Table267[[#This Row],[Disparos en contra]]/Table267[[#This Row],[Disparos en contra esperados]]</f>
        <v>1.2394862001385629</v>
      </c>
    </row>
    <row r="3" spans="1:5" x14ac:dyDescent="0.45">
      <c r="A3" s="11"/>
      <c r="B3" s="11" t="s">
        <v>91</v>
      </c>
      <c r="C3">
        <v>224</v>
      </c>
      <c r="D3" s="7">
        <v>184.02264417843901</v>
      </c>
      <c r="E3" s="9">
        <f>Table267[[#This Row],[Disparos en contra]]/Table267[[#This Row],[Disparos en contra esperados]]</f>
        <v>1.217241503077179</v>
      </c>
    </row>
    <row r="4" spans="1:5" x14ac:dyDescent="0.45">
      <c r="A4" s="11"/>
      <c r="B4" s="11" t="s">
        <v>94</v>
      </c>
      <c r="C4">
        <v>250</v>
      </c>
      <c r="D4" s="7">
        <v>208.632679648845</v>
      </c>
      <c r="E4" s="9">
        <f>Table267[[#This Row],[Disparos en contra]]/Table267[[#This Row],[Disparos en contra esperados]]</f>
        <v>1.1982782391559241</v>
      </c>
    </row>
    <row r="5" spans="1:5" x14ac:dyDescent="0.45">
      <c r="A5" s="11"/>
      <c r="B5" s="11" t="s">
        <v>96</v>
      </c>
      <c r="C5">
        <v>234</v>
      </c>
      <c r="D5" s="7">
        <v>201.26183029965401</v>
      </c>
      <c r="E5" s="9">
        <f>Table267[[#This Row],[Disparos en contra]]/Table267[[#This Row],[Disparos en contra esperados]]</f>
        <v>1.1626645730668499</v>
      </c>
    </row>
    <row r="6" spans="1:5" x14ac:dyDescent="0.45">
      <c r="A6" s="11"/>
      <c r="B6" s="11" t="s">
        <v>110</v>
      </c>
      <c r="C6">
        <v>251</v>
      </c>
      <c r="D6" s="7">
        <v>216.764193177327</v>
      </c>
      <c r="E6" s="9">
        <f>Table267[[#This Row],[Disparos en contra]]/Table267[[#This Row],[Disparos en contra esperados]]</f>
        <v>1.1579403236339219</v>
      </c>
    </row>
    <row r="7" spans="1:5" x14ac:dyDescent="0.45">
      <c r="A7" s="11"/>
      <c r="B7" s="11" t="s">
        <v>85</v>
      </c>
      <c r="C7">
        <v>228</v>
      </c>
      <c r="D7" s="7">
        <v>198.39687631271201</v>
      </c>
      <c r="E7" s="9">
        <f>Table267[[#This Row],[Disparos en contra]]/Table267[[#This Row],[Disparos en contra esperados]]</f>
        <v>1.1492116420251886</v>
      </c>
    </row>
    <row r="8" spans="1:5" x14ac:dyDescent="0.45">
      <c r="A8" s="11"/>
      <c r="B8" s="11" t="s">
        <v>87</v>
      </c>
      <c r="C8">
        <v>201</v>
      </c>
      <c r="D8" s="7">
        <v>181.263933872297</v>
      </c>
      <c r="E8" s="9">
        <f>Table267[[#This Row],[Disparos en contra]]/Table267[[#This Row],[Disparos en contra esperados]]</f>
        <v>1.1088802703664555</v>
      </c>
    </row>
    <row r="9" spans="1:5" x14ac:dyDescent="0.45">
      <c r="A9" s="11"/>
      <c r="B9" s="11" t="s">
        <v>83</v>
      </c>
      <c r="C9">
        <v>232</v>
      </c>
      <c r="D9" s="7">
        <v>209.79331312807599</v>
      </c>
      <c r="E9" s="9">
        <f>Table267[[#This Row],[Disparos en contra]]/Table267[[#This Row],[Disparos en contra esperados]]</f>
        <v>1.1058503082906515</v>
      </c>
    </row>
    <row r="10" spans="1:5" x14ac:dyDescent="0.45">
      <c r="A10" s="11"/>
      <c r="B10" s="11" t="s">
        <v>90</v>
      </c>
      <c r="C10">
        <v>236</v>
      </c>
      <c r="D10" s="7">
        <v>217.42331319649099</v>
      </c>
      <c r="E10" s="9">
        <f>Table267[[#This Row],[Disparos en contra]]/Table267[[#This Row],[Disparos en contra esperados]]</f>
        <v>1.0854401790240442</v>
      </c>
    </row>
    <row r="11" spans="1:5" x14ac:dyDescent="0.45">
      <c r="A11" s="11"/>
      <c r="B11" s="11" t="s">
        <v>88</v>
      </c>
      <c r="C11">
        <v>218</v>
      </c>
      <c r="D11" s="7">
        <v>201.62568410351301</v>
      </c>
      <c r="E11" s="9">
        <f>Table267[[#This Row],[Disparos en contra]]/Table267[[#This Row],[Disparos en contra esperados]]</f>
        <v>1.0812114585961208</v>
      </c>
    </row>
    <row r="12" spans="1:5" x14ac:dyDescent="0.45">
      <c r="A12" s="11"/>
      <c r="B12" s="11" t="s">
        <v>95</v>
      </c>
      <c r="C12">
        <v>188</v>
      </c>
      <c r="D12" s="7">
        <v>174.300222764008</v>
      </c>
      <c r="E12" s="9">
        <f>Table267[[#This Row],[Disparos en contra]]/Table267[[#This Row],[Disparos en contra esperados]]</f>
        <v>1.0785987362422405</v>
      </c>
    </row>
    <row r="13" spans="1:5" x14ac:dyDescent="0.45">
      <c r="A13" s="11"/>
      <c r="B13" s="11" t="s">
        <v>93</v>
      </c>
      <c r="C13">
        <v>190</v>
      </c>
      <c r="D13" s="7">
        <v>178.315244243807</v>
      </c>
      <c r="E13" s="9">
        <f>Table267[[#This Row],[Disparos en contra]]/Table267[[#This Row],[Disparos en contra esperados]]</f>
        <v>1.0655286417364107</v>
      </c>
    </row>
    <row r="14" spans="1:5" x14ac:dyDescent="0.45">
      <c r="A14" s="11"/>
      <c r="B14" s="11" t="s">
        <v>86</v>
      </c>
      <c r="C14">
        <v>189</v>
      </c>
      <c r="D14" s="7">
        <v>180.73600650326901</v>
      </c>
      <c r="E14" s="9">
        <f>Table267[[#This Row],[Disparos en contra]]/Table267[[#This Row],[Disparos en contra esperados]]</f>
        <v>1.045724112514246</v>
      </c>
    </row>
    <row r="15" spans="1:5" x14ac:dyDescent="0.45">
      <c r="A15" s="11"/>
      <c r="B15" s="11" t="s">
        <v>84</v>
      </c>
      <c r="C15">
        <v>206</v>
      </c>
      <c r="D15" s="7">
        <v>197.192525763502</v>
      </c>
      <c r="E15" s="9">
        <f>Table267[[#This Row],[Disparos en contra]]/Table267[[#This Row],[Disparos en contra esperados]]</f>
        <v>1.0446643411173759</v>
      </c>
    </row>
    <row r="16" spans="1:5" x14ac:dyDescent="0.45">
      <c r="A16" s="11"/>
      <c r="B16" s="11" t="s">
        <v>92</v>
      </c>
      <c r="C16">
        <v>200</v>
      </c>
      <c r="D16" s="7">
        <v>196.818431993209</v>
      </c>
      <c r="E16" s="9">
        <f>Table267[[#This Row],[Disparos en contra]]/Table267[[#This Row],[Disparos en contra esperados]]</f>
        <v>1.0161649901107879</v>
      </c>
    </row>
    <row r="17" spans="1:5" x14ac:dyDescent="0.45">
      <c r="A17" s="11"/>
      <c r="B17" s="11" t="s">
        <v>99</v>
      </c>
      <c r="C17">
        <v>174</v>
      </c>
      <c r="D17" s="7">
        <v>174.432727899383</v>
      </c>
      <c r="E17" s="9">
        <f>Table267[[#This Row],[Disparos en contra]]/Table267[[#This Row],[Disparos en contra esperados]]</f>
        <v>0.99751922758650768</v>
      </c>
    </row>
    <row r="18" spans="1:5" x14ac:dyDescent="0.45">
      <c r="A18" s="11"/>
      <c r="B18" s="11" t="s">
        <v>89</v>
      </c>
      <c r="C18">
        <v>186</v>
      </c>
      <c r="D18" s="7">
        <v>193.91124444484799</v>
      </c>
      <c r="E18" s="9">
        <f>Table267[[#This Row],[Disparos en contra]]/Table267[[#This Row],[Disparos en contra esperados]]</f>
        <v>0.95920172413158789</v>
      </c>
    </row>
    <row r="19" spans="1:5" x14ac:dyDescent="0.45">
      <c r="A19" s="12"/>
      <c r="B19" s="12" t="s">
        <v>81</v>
      </c>
      <c r="C19">
        <v>140</v>
      </c>
      <c r="D19" s="7">
        <v>172.68155794556401</v>
      </c>
      <c r="E19" s="9">
        <f>Table267[[#This Row],[Disparos en contra]]/Table267[[#This Row],[Disparos en contra esperados]]</f>
        <v>0.8107408901426143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Apertura2021_LigaMX_26-11-2021</vt:lpstr>
      <vt:lpstr>LigaMX</vt:lpstr>
      <vt:lpstr>Sh&amp;ShT</vt:lpstr>
      <vt:lpstr>PtsVSxPts</vt:lpstr>
      <vt:lpstr>GVSxG</vt:lpstr>
      <vt:lpstr>GAVSxGA</vt:lpstr>
      <vt:lpstr>Scatter GDiff</vt:lpstr>
      <vt:lpstr>ShVSxSh</vt:lpstr>
      <vt:lpstr>ShAVSxShA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2021-11-29T16:25:18Z</dcterms:created>
  <dcterms:modified xsi:type="dcterms:W3CDTF">2022-03-20T18:24:27Z</dcterms:modified>
</cp:coreProperties>
</file>