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D4C01649-7A21-437F-8820-5DA866CCBE2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Apertura2021_LigaMX_26-11-2021" sheetId="1" r:id="rId1"/>
    <sheet name="Sh&amp;ShT" sheetId="9" r:id="rId2"/>
    <sheet name="PtsVSxPts" sheetId="3" r:id="rId3"/>
    <sheet name="GVSxG" sheetId="5" r:id="rId4"/>
    <sheet name="GAVSxGA" sheetId="6" r:id="rId5"/>
    <sheet name="Scatter GDiff" sheetId="2" r:id="rId6"/>
    <sheet name="ShVSxSh" sheetId="7" r:id="rId7"/>
    <sheet name="ShAVSxSh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" i="6"/>
  <c r="E2" i="3"/>
  <c r="E3" i="3"/>
  <c r="E6" i="3"/>
  <c r="E4" i="3"/>
  <c r="E5" i="3"/>
  <c r="E7" i="3"/>
  <c r="E8" i="3"/>
  <c r="E9" i="3"/>
  <c r="E10" i="3"/>
  <c r="E11" i="3"/>
  <c r="E12" i="3"/>
  <c r="E13" i="3"/>
  <c r="E14" i="3"/>
  <c r="E16" i="3"/>
  <c r="E15" i="3"/>
  <c r="E18" i="3"/>
  <c r="E17" i="3"/>
  <c r="E19" i="3"/>
  <c r="AY20" i="1"/>
  <c r="AM20" i="1"/>
  <c r="AN20" i="1"/>
  <c r="AF20" i="1"/>
  <c r="AG20" i="1"/>
  <c r="AS20" i="1"/>
  <c r="AZ20" i="1"/>
  <c r="AT20" i="1"/>
  <c r="AH10" i="1"/>
  <c r="AH13" i="1"/>
  <c r="AH5" i="1"/>
  <c r="AH9" i="1"/>
  <c r="AH11" i="1"/>
  <c r="AH6" i="1"/>
  <c r="AH12" i="1"/>
  <c r="AH3" i="1"/>
  <c r="AH16" i="1"/>
  <c r="AH17" i="1"/>
  <c r="AH14" i="1"/>
  <c r="AH4" i="1"/>
  <c r="AH19" i="1"/>
  <c r="AH2" i="1"/>
  <c r="AH15" i="1"/>
  <c r="AH7" i="1"/>
  <c r="AH8" i="1"/>
  <c r="AH18" i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C20" i="9"/>
  <c r="B20" i="9"/>
  <c r="AD11" i="1"/>
  <c r="AD9" i="1"/>
  <c r="AD15" i="1"/>
  <c r="AD10" i="1"/>
  <c r="AD16" i="1"/>
  <c r="AD12" i="1"/>
  <c r="AD18" i="1"/>
  <c r="AD7" i="1"/>
  <c r="AD5" i="1"/>
  <c r="AD4" i="1"/>
  <c r="AD17" i="1"/>
  <c r="AD2" i="1"/>
  <c r="AD3" i="1"/>
  <c r="AD6" i="1"/>
  <c r="AD14" i="1"/>
  <c r="AD8" i="1"/>
  <c r="AD13" i="1"/>
  <c r="AD19" i="1"/>
  <c r="R28" i="1"/>
  <c r="R26" i="1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AN33" i="1"/>
  <c r="AN30" i="1"/>
  <c r="AN27" i="1"/>
  <c r="AG27" i="1"/>
  <c r="AG30" i="1"/>
  <c r="AG33" i="1"/>
  <c r="AK20" i="1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" i="5"/>
  <c r="E3" i="5"/>
  <c r="E4" i="5"/>
  <c r="E6" i="5"/>
  <c r="E5" i="5"/>
  <c r="E7" i="5"/>
  <c r="E8" i="5"/>
  <c r="E13" i="5"/>
  <c r="E11" i="5"/>
  <c r="E16" i="5"/>
  <c r="E10" i="5"/>
  <c r="E14" i="5"/>
  <c r="E9" i="5"/>
  <c r="E12" i="5"/>
  <c r="E15" i="5"/>
  <c r="E17" i="5"/>
  <c r="E19" i="5"/>
  <c r="E18" i="5"/>
  <c r="Q26" i="1"/>
  <c r="P26" i="1" s="1"/>
  <c r="F3" i="6"/>
  <c r="F4" i="6"/>
  <c r="F5" i="6"/>
  <c r="F7" i="6"/>
  <c r="F8" i="6"/>
  <c r="F6" i="6"/>
  <c r="F9" i="6"/>
  <c r="F13" i="6"/>
  <c r="F10" i="6"/>
  <c r="F11" i="6"/>
  <c r="F14" i="6"/>
  <c r="F12" i="6"/>
  <c r="F15" i="6"/>
  <c r="F16" i="6"/>
  <c r="F17" i="6"/>
  <c r="F18" i="6"/>
  <c r="F19" i="6"/>
  <c r="E3" i="6"/>
  <c r="E4" i="6"/>
  <c r="E2" i="6"/>
  <c r="E5" i="6"/>
  <c r="E7" i="6"/>
  <c r="E8" i="6"/>
  <c r="E6" i="6"/>
  <c r="E9" i="6"/>
  <c r="E13" i="6"/>
  <c r="E10" i="6"/>
  <c r="E11" i="6"/>
  <c r="E14" i="6"/>
  <c r="E12" i="6"/>
  <c r="E15" i="6"/>
  <c r="E16" i="6"/>
  <c r="E17" i="6"/>
  <c r="E18" i="6"/>
  <c r="E19" i="6"/>
  <c r="S12" i="1"/>
  <c r="S17" i="1"/>
  <c r="S13" i="1"/>
  <c r="S7" i="1"/>
  <c r="S6" i="1"/>
  <c r="S14" i="1"/>
  <c r="S10" i="1"/>
  <c r="S15" i="1"/>
  <c r="S16" i="1"/>
  <c r="S11" i="1"/>
  <c r="S3" i="1"/>
  <c r="S18" i="1"/>
  <c r="S19" i="1"/>
  <c r="S2" i="1"/>
  <c r="S4" i="1"/>
  <c r="S9" i="1"/>
  <c r="S5" i="1"/>
  <c r="S8" i="1"/>
  <c r="P11" i="1"/>
  <c r="P13" i="1"/>
  <c r="P14" i="1"/>
  <c r="P2" i="1"/>
  <c r="P17" i="1"/>
  <c r="P16" i="1"/>
  <c r="P12" i="1"/>
  <c r="P15" i="1"/>
  <c r="P6" i="1"/>
  <c r="P5" i="1"/>
  <c r="P19" i="1"/>
  <c r="P7" i="1"/>
  <c r="P4" i="1"/>
  <c r="P10" i="1"/>
  <c r="P8" i="1"/>
  <c r="P9" i="1"/>
  <c r="P3" i="1"/>
  <c r="P18" i="1"/>
  <c r="C9" i="1"/>
  <c r="C13" i="1"/>
  <c r="C14" i="1"/>
  <c r="C19" i="1"/>
  <c r="C2" i="1"/>
  <c r="C16" i="1"/>
  <c r="C15" i="1"/>
  <c r="C12" i="1"/>
  <c r="C11" i="1"/>
  <c r="C5" i="1"/>
  <c r="C6" i="1"/>
  <c r="C18" i="1"/>
  <c r="C10" i="1"/>
  <c r="C3" i="1"/>
  <c r="C8" i="1"/>
  <c r="C4" i="1"/>
  <c r="C17" i="1"/>
  <c r="C7" i="1"/>
  <c r="AS27" i="1"/>
  <c r="BF27" i="1"/>
  <c r="BE27" i="1"/>
  <c r="AZ27" i="1"/>
  <c r="AY27" i="1"/>
  <c r="BF20" i="1"/>
  <c r="BE20" i="1"/>
  <c r="BH20" i="1"/>
  <c r="V24" i="1"/>
  <c r="Y9" i="1"/>
  <c r="Y13" i="1"/>
  <c r="Y14" i="1"/>
  <c r="Y19" i="1"/>
  <c r="Y2" i="1"/>
  <c r="Y16" i="1"/>
  <c r="Y15" i="1"/>
  <c r="Y12" i="1"/>
  <c r="Y11" i="1"/>
  <c r="Y5" i="1"/>
  <c r="Y6" i="1"/>
  <c r="Y18" i="1"/>
  <c r="Y10" i="1"/>
  <c r="Y3" i="1"/>
  <c r="Y8" i="1"/>
  <c r="Y4" i="1"/>
  <c r="Y17" i="1"/>
  <c r="Y7" i="1"/>
  <c r="X9" i="1"/>
  <c r="X13" i="1"/>
  <c r="X14" i="1"/>
  <c r="X19" i="1"/>
  <c r="X2" i="1"/>
  <c r="X16" i="1"/>
  <c r="X15" i="1"/>
  <c r="X12" i="1"/>
  <c r="X11" i="1"/>
  <c r="X5" i="1"/>
  <c r="X6" i="1"/>
  <c r="X18" i="1"/>
  <c r="X10" i="1"/>
  <c r="X3" i="1"/>
  <c r="X8" i="1"/>
  <c r="X4" i="1"/>
  <c r="X17" i="1"/>
  <c r="X7" i="1"/>
  <c r="W9" i="1"/>
  <c r="W13" i="1"/>
  <c r="W14" i="1"/>
  <c r="W19" i="1"/>
  <c r="W2" i="1"/>
  <c r="W16" i="1"/>
  <c r="W15" i="1"/>
  <c r="W12" i="1"/>
  <c r="W11" i="1"/>
  <c r="W5" i="1"/>
  <c r="W6" i="1"/>
  <c r="W18" i="1"/>
  <c r="W10" i="1"/>
  <c r="W3" i="1"/>
  <c r="W8" i="1"/>
  <c r="W4" i="1"/>
  <c r="W17" i="1"/>
  <c r="W7" i="1"/>
  <c r="V9" i="1"/>
  <c r="V13" i="1"/>
  <c r="V14" i="1"/>
  <c r="V19" i="1"/>
  <c r="V2" i="1"/>
  <c r="V16" i="1"/>
  <c r="V15" i="1"/>
  <c r="V12" i="1"/>
  <c r="V11" i="1"/>
  <c r="V5" i="1"/>
  <c r="V6" i="1"/>
  <c r="V18" i="1"/>
  <c r="V10" i="1"/>
  <c r="V3" i="1"/>
  <c r="V8" i="1"/>
  <c r="V4" i="1"/>
  <c r="V17" i="1"/>
  <c r="V7" i="1"/>
  <c r="D24" i="1"/>
  <c r="D20" i="1"/>
  <c r="E20" i="1"/>
  <c r="BE24" i="1"/>
  <c r="BD20" i="1"/>
  <c r="AY24" i="1"/>
  <c r="AS24" i="1"/>
  <c r="AX20" i="1"/>
  <c r="AR20" i="1"/>
  <c r="AM24" i="1"/>
  <c r="AL20" i="1"/>
  <c r="AF24" i="1"/>
  <c r="Z24" i="1"/>
  <c r="AA20" i="1"/>
  <c r="Z20" i="1"/>
  <c r="AE20" i="1"/>
  <c r="V20" i="1" l="1"/>
  <c r="W20" i="1"/>
  <c r="G24" i="1" l="1"/>
  <c r="K20" i="1"/>
  <c r="I20" i="1"/>
  <c r="F20" i="1"/>
  <c r="G20" i="1"/>
  <c r="J20" i="1"/>
  <c r="Q24" i="1"/>
  <c r="Q20" i="1"/>
  <c r="R20" i="1"/>
</calcChain>
</file>

<file path=xl/sharedStrings.xml><?xml version="1.0" encoding="utf-8"?>
<sst xmlns="http://schemas.openxmlformats.org/spreadsheetml/2006/main" count="254" uniqueCount="124">
  <si>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</si>
  <si>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</si>
  <si>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</si>
  <si>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</si>
  <si>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</si>
  <si>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</si>
  <si>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</si>
  <si>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</si>
  <si>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</si>
  <si>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</si>
  <si>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</si>
  <si>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</si>
  <si>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</si>
  <si>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</si>
  <si>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</si>
  <si>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</si>
  <si>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</si>
  <si>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</si>
  <si>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</si>
  <si>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</si>
  <si>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</si>
  <si>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</si>
  <si>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</si>
  <si>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</si>
  <si>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</si>
  <si>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</si>
  <si>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</si>
  <si>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</si>
  <si>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</si>
  <si>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</si>
  <si>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</si>
  <si>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</si>
  <si>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</si>
  <si>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</si>
  <si>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</si>
  <si>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</si>
  <si>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</si>
  <si>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</si>
  <si>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</si>
  <si>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</si>
  <si>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</si>
  <si>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</si>
  <si>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</si>
  <si>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</si>
  <si>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</si>
  <si>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</si>
  <si>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</si>
  <si>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</si>
  <si>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</si>
  <si>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</si>
  <si>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</si>
  <si>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Monterrey</t>
  </si>
  <si>
    <t>Mazatlan FC</t>
  </si>
  <si>
    <t>U.N.A.M.- Pumas</t>
  </si>
  <si>
    <t>Juarez</t>
  </si>
  <si>
    <t>Puebla</t>
  </si>
  <si>
    <t>Club Leon</t>
  </si>
  <si>
    <t>Atlas</t>
  </si>
  <si>
    <t>U.A.N.L.- Tigres</t>
  </si>
  <si>
    <t>Club America</t>
  </si>
  <si>
    <t>Guadalajara Chivas</t>
  </si>
  <si>
    <t>Atl. San Luis</t>
  </si>
  <si>
    <t>Pachuca</t>
  </si>
  <si>
    <t>Cruz Azul</t>
  </si>
  <si>
    <t>Club Tijuana</t>
  </si>
  <si>
    <t>Queretaro</t>
  </si>
  <si>
    <t>Necaxa</t>
  </si>
  <si>
    <t>Toluca</t>
  </si>
  <si>
    <t>Santos Laguna</t>
  </si>
  <si>
    <t>Rank</t>
  </si>
  <si>
    <t>Team</t>
  </si>
  <si>
    <t>2HTGoalsF</t>
  </si>
  <si>
    <t>x2HTGoalsF</t>
  </si>
  <si>
    <t>2HTGoalsA</t>
  </si>
  <si>
    <t>x2HTGoalsA</t>
  </si>
  <si>
    <t>RCPM</t>
  </si>
  <si>
    <t>YCPM</t>
  </si>
  <si>
    <t>YCPS</t>
  </si>
  <si>
    <t>RCPS</t>
  </si>
  <si>
    <t>Faltas totales por partido</t>
  </si>
  <si>
    <t>Expected Points</t>
  </si>
  <si>
    <t>Ratio</t>
  </si>
  <si>
    <t>AME</t>
  </si>
  <si>
    <t>MFC</t>
  </si>
  <si>
    <t>PUM</t>
  </si>
  <si>
    <t>PUE</t>
  </si>
  <si>
    <t>TOL</t>
  </si>
  <si>
    <t>LEO</t>
  </si>
  <si>
    <t>TIG</t>
  </si>
  <si>
    <t>SNL</t>
  </si>
  <si>
    <t>CHI</t>
  </si>
  <si>
    <t>JUA</t>
  </si>
  <si>
    <t>SAN</t>
  </si>
  <si>
    <t>NEC</t>
  </si>
  <si>
    <t>CAZ</t>
  </si>
  <si>
    <t>QRO</t>
  </si>
  <si>
    <t>MON</t>
  </si>
  <si>
    <t>TIJ</t>
  </si>
  <si>
    <t>PAC</t>
  </si>
  <si>
    <t>Ratio Pts</t>
  </si>
  <si>
    <t>ATL</t>
  </si>
  <si>
    <t>RGoalsF</t>
  </si>
  <si>
    <t>Expected Goals</t>
  </si>
  <si>
    <t>Scored Goals</t>
  </si>
  <si>
    <t>RGoalsA</t>
  </si>
  <si>
    <t>Goals Against</t>
  </si>
  <si>
    <t>Expected Goals Against</t>
  </si>
  <si>
    <t>Shots</t>
  </si>
  <si>
    <t>Expected Shots</t>
  </si>
  <si>
    <t>Min</t>
  </si>
  <si>
    <t>MinxM</t>
  </si>
  <si>
    <t>Max</t>
  </si>
  <si>
    <t>MaxxM</t>
  </si>
  <si>
    <t>AVG</t>
  </si>
  <si>
    <t>AvgxM</t>
  </si>
  <si>
    <t>Shots Against</t>
  </si>
  <si>
    <t>Expected Shots Against</t>
  </si>
  <si>
    <t>MAZ</t>
  </si>
  <si>
    <t>Shots_Diff</t>
  </si>
  <si>
    <t>Shots on Target</t>
  </si>
  <si>
    <t>Gap</t>
  </si>
  <si>
    <t>ShotsA_Diff</t>
  </si>
  <si>
    <t>StdDev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</si>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</sst>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" fontId="0" fillId="0" borderId="10" xfId="0" applyNumberFormat="1" applyFont="1" applyBorder="1"/>
    <xf numFmtId="0" fontId="0" fillId="33" borderId="10" xfId="0" applyFont="1" applyFill="1" applyBorder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4" borderId="0" xfId="0" applyFill="1"/>
    <xf numFmtId="9" fontId="0" fillId="0" borderId="0" xfId="1" applyFont="1"/>
    <xf numFmtId="0" fontId="0" fillId="35" borderId="0" xfId="0" applyFill="1"/>
    <xf numFmtId="0" fontId="0" fillId="0" borderId="11" xfId="0" applyFont="1" applyBorder="1"/>
    <xf numFmtId="0" fontId="0" fillId="0" borderId="12" xfId="0" applyFont="1" applyBorder="1"/>
    <xf numFmtId="0" fontId="0" fillId="36" borderId="0" xfId="0" applyFill="1"/>
    <xf numFmtId="165" fontId="0" fillId="0" borderId="0" xfId="1" applyNumberFormat="1" applyFont="1"/>
    <xf numFmtId="0" fontId="0" fillId="0" borderId="0" xfId="0" applyAlignment="1">
      <alignment wrapText="1"/>
    </xf>
    <xf numFmtId="9" fontId="0" fillId="0" borderId="0" xfId="0" applyNumberFormat="1"/>
    <xf numFmtId="9" fontId="1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65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65" formatCode="0.0"/>
    </dxf>
    <dxf>
      <numFmt numFmtId="165" formatCode="0.0"/>
    </dxf>
    <dxf>
      <numFmt numFmtId="164" formatCode="0.00000"/>
    </dxf>
    <dxf>
      <numFmt numFmtId="166" formatCode="0.000000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9900"/>
      <color rgb="FFCC3300"/>
      <color rgb="FFFF3300"/>
      <color rgb="FF37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Liga MX Apertura 2021 - Regular Season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Shots and Shots on Target Performance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'Sh&amp;ShT'!$B$1</c:f>
              <c:strCache>
                <c:ptCount val="1"/>
                <c:pt idx="0">
                  <c:v>Shots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'Sh&amp;ShT'!$A$2:$A$19</c:f>
              <c:strCache>
                <c:ptCount val="18"/>
                <c:pt idx="0">
                  <c:v>CAZ</c:v>
                </c:pt>
                <c:pt idx="1">
                  <c:v>MAZ</c:v>
                </c:pt>
                <c:pt idx="2">
                  <c:v>CHI</c:v>
                </c:pt>
                <c:pt idx="3">
                  <c:v>MON</c:v>
                </c:pt>
                <c:pt idx="4">
                  <c:v>AME</c:v>
                </c:pt>
                <c:pt idx="5">
                  <c:v>SNL</c:v>
                </c:pt>
                <c:pt idx="6">
                  <c:v>TIG</c:v>
                </c:pt>
                <c:pt idx="7">
                  <c:v>TIJ</c:v>
                </c:pt>
                <c:pt idx="8">
                  <c:v>LEO</c:v>
                </c:pt>
                <c:pt idx="9">
                  <c:v>TOL</c:v>
                </c:pt>
                <c:pt idx="10">
                  <c:v>PUM</c:v>
                </c:pt>
                <c:pt idx="11">
                  <c:v>NEC</c:v>
                </c:pt>
                <c:pt idx="12">
                  <c:v>JUA</c:v>
                </c:pt>
                <c:pt idx="13">
                  <c:v>PUE</c:v>
                </c:pt>
                <c:pt idx="14">
                  <c:v>ATL</c:v>
                </c:pt>
                <c:pt idx="15">
                  <c:v>SAN</c:v>
                </c:pt>
                <c:pt idx="16">
                  <c:v>QRO</c:v>
                </c:pt>
                <c:pt idx="17">
                  <c:v>PAC</c:v>
                </c:pt>
              </c:strCache>
            </c:strRef>
          </c:cat>
          <c:val>
            <c:numRef>
              <c:f>'Sh&amp;ShT'!$B$2:$B$19</c:f>
              <c:numCache>
                <c:formatCode>0%</c:formatCode>
                <c:ptCount val="18"/>
                <c:pt idx="0">
                  <c:v>0.82045197867403097</c:v>
                </c:pt>
                <c:pt idx="1">
                  <c:v>0.76175463522863296</c:v>
                </c:pt>
                <c:pt idx="2">
                  <c:v>1.0834323766251801</c:v>
                </c:pt>
                <c:pt idx="3">
                  <c:v>0.96128359474101099</c:v>
                </c:pt>
                <c:pt idx="4">
                  <c:v>1.04178272700795</c:v>
                </c:pt>
                <c:pt idx="5">
                  <c:v>1.08297503624629</c:v>
                </c:pt>
                <c:pt idx="6">
                  <c:v>1.1138047971520899</c:v>
                </c:pt>
                <c:pt idx="7">
                  <c:v>1.0960294402641899</c:v>
                </c:pt>
                <c:pt idx="8">
                  <c:v>0.92636470226312295</c:v>
                </c:pt>
                <c:pt idx="9">
                  <c:v>1.2149593120419899</c:v>
                </c:pt>
                <c:pt idx="10">
                  <c:v>1.26211701517814</c:v>
                </c:pt>
                <c:pt idx="11">
                  <c:v>1.3254252508743301</c:v>
                </c:pt>
                <c:pt idx="12">
                  <c:v>0.91450323786046706</c:v>
                </c:pt>
                <c:pt idx="13">
                  <c:v>1.1856605089413801</c:v>
                </c:pt>
                <c:pt idx="14">
                  <c:v>1.1258396641560899</c:v>
                </c:pt>
                <c:pt idx="15">
                  <c:v>1.24569857598571</c:v>
                </c:pt>
                <c:pt idx="16">
                  <c:v>1.0710111540806</c:v>
                </c:pt>
                <c:pt idx="17">
                  <c:v>1.33486073042159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7-4EFE-9F64-9F9FF9CB0A6E}"/>
            </c:ext>
          </c:extLst>
        </c:ser>
        <c:ser>
          <c:idx val="1"/>
          <c:order val="1"/>
          <c:tx>
            <c:strRef>
              <c:f>'Sh&amp;ShT'!$C$1</c:f>
              <c:strCache>
                <c:ptCount val="1"/>
                <c:pt idx="0">
                  <c:v>Shots on Target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'Sh&amp;ShT'!$A$2:$A$19</c:f>
              <c:strCache>
                <c:ptCount val="18"/>
                <c:pt idx="0">
                  <c:v>CAZ</c:v>
                </c:pt>
                <c:pt idx="1">
                  <c:v>MAZ</c:v>
                </c:pt>
                <c:pt idx="2">
                  <c:v>CHI</c:v>
                </c:pt>
                <c:pt idx="3">
                  <c:v>MON</c:v>
                </c:pt>
                <c:pt idx="4">
                  <c:v>AME</c:v>
                </c:pt>
                <c:pt idx="5">
                  <c:v>SNL</c:v>
                </c:pt>
                <c:pt idx="6">
                  <c:v>TIG</c:v>
                </c:pt>
                <c:pt idx="7">
                  <c:v>TIJ</c:v>
                </c:pt>
                <c:pt idx="8">
                  <c:v>LEO</c:v>
                </c:pt>
                <c:pt idx="9">
                  <c:v>TOL</c:v>
                </c:pt>
                <c:pt idx="10">
                  <c:v>PUM</c:v>
                </c:pt>
                <c:pt idx="11">
                  <c:v>NEC</c:v>
                </c:pt>
                <c:pt idx="12">
                  <c:v>JUA</c:v>
                </c:pt>
                <c:pt idx="13">
                  <c:v>PUE</c:v>
                </c:pt>
                <c:pt idx="14">
                  <c:v>ATL</c:v>
                </c:pt>
                <c:pt idx="15">
                  <c:v>SAN</c:v>
                </c:pt>
                <c:pt idx="16">
                  <c:v>QRO</c:v>
                </c:pt>
                <c:pt idx="17">
                  <c:v>PAC</c:v>
                </c:pt>
              </c:strCache>
            </c:strRef>
          </c:cat>
          <c:val>
            <c:numRef>
              <c:f>'Sh&amp;ShT'!$C$2:$C$19</c:f>
              <c:numCache>
                <c:formatCode>0%</c:formatCode>
                <c:ptCount val="18"/>
                <c:pt idx="0">
                  <c:v>0.63691200613086096</c:v>
                </c:pt>
                <c:pt idx="1">
                  <c:v>0.56199254426469203</c:v>
                </c:pt>
                <c:pt idx="2">
                  <c:v>0.882513690112116</c:v>
                </c:pt>
                <c:pt idx="3">
                  <c:v>0.75185830324532898</c:v>
                </c:pt>
                <c:pt idx="4">
                  <c:v>0.83218380178389295</c:v>
                </c:pt>
                <c:pt idx="5">
                  <c:v>0.87044974568800604</c:v>
                </c:pt>
                <c:pt idx="6">
                  <c:v>0.86905336685234102</c:v>
                </c:pt>
                <c:pt idx="7">
                  <c:v>0.80888360710159501</c:v>
                </c:pt>
                <c:pt idx="8">
                  <c:v>0.62446961381378197</c:v>
                </c:pt>
                <c:pt idx="9">
                  <c:v>0.89948148495338398</c:v>
                </c:pt>
                <c:pt idx="10">
                  <c:v>0.94509681672555801</c:v>
                </c:pt>
                <c:pt idx="11">
                  <c:v>0.99216179580792396</c:v>
                </c:pt>
                <c:pt idx="12">
                  <c:v>0.57955042145869595</c:v>
                </c:pt>
                <c:pt idx="13">
                  <c:v>0.84184995595383205</c:v>
                </c:pt>
                <c:pt idx="14">
                  <c:v>0.75719320172243698</c:v>
                </c:pt>
                <c:pt idx="15">
                  <c:v>0.85981323806133303</c:v>
                </c:pt>
                <c:pt idx="16">
                  <c:v>0.57618322123782895</c:v>
                </c:pt>
                <c:pt idx="17">
                  <c:v>0.83762799855084502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7-4EFE-9F64-9F9FF9CB0A6E}"/>
            </c:ext>
          </c:extLst>
        </c:ser>
        <c:ser>
          <c:idx val="2"/>
          <c:order val="2"/>
          <c:tx>
            <c:strRef>
              <c:f>'Sh&amp;ShT'!$D$1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'Sh&amp;ShT'!$A$2:$A$19</c:f>
              <c:strCache>
                <c:ptCount val="18"/>
                <c:pt idx="0">
                  <c:v>CAZ</c:v>
                </c:pt>
                <c:pt idx="1">
                  <c:v>MAZ</c:v>
                </c:pt>
                <c:pt idx="2">
                  <c:v>CHI</c:v>
                </c:pt>
                <c:pt idx="3">
                  <c:v>MON</c:v>
                </c:pt>
                <c:pt idx="4">
                  <c:v>AME</c:v>
                </c:pt>
                <c:pt idx="5">
                  <c:v>SNL</c:v>
                </c:pt>
                <c:pt idx="6">
                  <c:v>TIG</c:v>
                </c:pt>
                <c:pt idx="7">
                  <c:v>TIJ</c:v>
                </c:pt>
                <c:pt idx="8">
                  <c:v>LEO</c:v>
                </c:pt>
                <c:pt idx="9">
                  <c:v>TOL</c:v>
                </c:pt>
                <c:pt idx="10">
                  <c:v>PUM</c:v>
                </c:pt>
                <c:pt idx="11">
                  <c:v>NEC</c:v>
                </c:pt>
                <c:pt idx="12">
                  <c:v>JUA</c:v>
                </c:pt>
                <c:pt idx="13">
                  <c:v>PUE</c:v>
                </c:pt>
                <c:pt idx="14">
                  <c:v>ATL</c:v>
                </c:pt>
                <c:pt idx="15">
                  <c:v>SAN</c:v>
                </c:pt>
                <c:pt idx="16">
                  <c:v>QRO</c:v>
                </c:pt>
                <c:pt idx="17">
                  <c:v>PAC</c:v>
                </c:pt>
              </c:strCache>
            </c:strRef>
          </c:cat>
          <c:val>
            <c:numRef>
              <c:f>'Sh&amp;ShT'!$D$2:$D$19</c:f>
              <c:numCache>
                <c:formatCode>0%</c:formatCode>
                <c:ptCount val="18"/>
                <c:pt idx="0">
                  <c:v>0.18353997254317</c:v>
                </c:pt>
                <c:pt idx="1">
                  <c:v>0.19976209096394093</c:v>
                </c:pt>
                <c:pt idx="2">
                  <c:v>0.2009186865130641</c:v>
                </c:pt>
                <c:pt idx="3">
                  <c:v>0.20942529149568201</c:v>
                </c:pt>
                <c:pt idx="4">
                  <c:v>0.2095989252240571</c:v>
                </c:pt>
                <c:pt idx="5">
                  <c:v>0.21252529055828395</c:v>
                </c:pt>
                <c:pt idx="6">
                  <c:v>0.24475143029974888</c:v>
                </c:pt>
                <c:pt idx="7">
                  <c:v>0.2871458331625949</c:v>
                </c:pt>
                <c:pt idx="8">
                  <c:v>0.30189508844934099</c:v>
                </c:pt>
                <c:pt idx="9">
                  <c:v>0.31547782708860594</c:v>
                </c:pt>
                <c:pt idx="10">
                  <c:v>0.317020198452582</c:v>
                </c:pt>
                <c:pt idx="11">
                  <c:v>0.33326345506640609</c:v>
                </c:pt>
                <c:pt idx="12">
                  <c:v>0.3349528164017711</c:v>
                </c:pt>
                <c:pt idx="13">
                  <c:v>0.34381055298754803</c:v>
                </c:pt>
                <c:pt idx="14">
                  <c:v>0.36864646243365295</c:v>
                </c:pt>
                <c:pt idx="15">
                  <c:v>0.38588533792437696</c:v>
                </c:pt>
                <c:pt idx="16">
                  <c:v>0.49482793284277105</c:v>
                </c:pt>
                <c:pt idx="17">
                  <c:v>0.49723273187074502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7-4EFE-9F64-9F9FF9CB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000664"/>
        <c:axId val="612001320"/>
      </c:barChart>
      <c:catAx>
        <c:axId val="61200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001320"/>
        <c:crosses val="autoZero"/>
        <c:auto val="1"/>
        <c:lblAlgn val="ctr"/>
        <c:lblOffset val="100"/>
        <c:noMultiLvlLbl val="0"/>
      </c:catAx>
      <c:valAx>
        <c:axId val="6120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000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2021 - Regular</a:t>
            </a:r>
            <a:r>
              <a:rPr lang="es-MX" sz="2000" baseline="0"/>
              <a:t> Season</a:t>
            </a:r>
            <a:endParaRPr lang="es-MX" sz="2000"/>
          </a:p>
          <a:p>
            <a:pPr>
              <a:defRPr sz="2000"/>
            </a:pPr>
            <a:r>
              <a:rPr lang="es-MX" sz="2000"/>
              <a:t>Points'</a:t>
            </a:r>
            <a:r>
              <a:rPr lang="es-MX" sz="2000" baseline="0"/>
              <a:t> Performance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PtsVSxPts!$C$1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PtsVSxPts!$B$2:$B$19</c:f>
              <c:strCache>
                <c:ptCount val="18"/>
                <c:pt idx="0">
                  <c:v>AME</c:v>
                </c:pt>
                <c:pt idx="1">
                  <c:v>MFC</c:v>
                </c:pt>
                <c:pt idx="2">
                  <c:v>PUE</c:v>
                </c:pt>
                <c:pt idx="3">
                  <c:v>TOL</c:v>
                </c:pt>
                <c:pt idx="4">
                  <c:v>PUM</c:v>
                </c:pt>
                <c:pt idx="5">
                  <c:v>LEO</c:v>
                </c:pt>
                <c:pt idx="6">
                  <c:v>TIG</c:v>
                </c:pt>
                <c:pt idx="7">
                  <c:v>ATL</c:v>
                </c:pt>
                <c:pt idx="8">
                  <c:v>SNL</c:v>
                </c:pt>
                <c:pt idx="9">
                  <c:v>CHI</c:v>
                </c:pt>
                <c:pt idx="10">
                  <c:v>JUA</c:v>
                </c:pt>
                <c:pt idx="11">
                  <c:v>SAN</c:v>
                </c:pt>
                <c:pt idx="12">
                  <c:v>NEC</c:v>
                </c:pt>
                <c:pt idx="13">
                  <c:v>QRO</c:v>
                </c:pt>
                <c:pt idx="14">
                  <c:v>CAZ</c:v>
                </c:pt>
                <c:pt idx="15">
                  <c:v>TIJ</c:v>
                </c:pt>
                <c:pt idx="16">
                  <c:v>MON</c:v>
                </c:pt>
                <c:pt idx="17">
                  <c:v>PAC</c:v>
                </c:pt>
              </c:strCache>
            </c:strRef>
          </c:cat>
          <c:val>
            <c:numRef>
              <c:f>PtsVSxPts!$C$2:$C$19</c:f>
              <c:numCache>
                <c:formatCode>General</c:formatCode>
                <c:ptCount val="18"/>
                <c:pt idx="0">
                  <c:v>35</c:v>
                </c:pt>
                <c:pt idx="1">
                  <c:v>20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20</c:v>
                </c:pt>
                <c:pt idx="9">
                  <c:v>22</c:v>
                </c:pt>
                <c:pt idx="10">
                  <c:v>16</c:v>
                </c:pt>
                <c:pt idx="11">
                  <c:v>24</c:v>
                </c:pt>
                <c:pt idx="12">
                  <c:v>20</c:v>
                </c:pt>
                <c:pt idx="13">
                  <c:v>15</c:v>
                </c:pt>
                <c:pt idx="14">
                  <c:v>23</c:v>
                </c:pt>
                <c:pt idx="15">
                  <c:v>15</c:v>
                </c:pt>
                <c:pt idx="16">
                  <c:v>22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D96-A38C-8F83999A4DE0}"/>
            </c:ext>
          </c:extLst>
        </c:ser>
        <c:ser>
          <c:idx val="1"/>
          <c:order val="1"/>
          <c:tx>
            <c:strRef>
              <c:f>PtsVSxPts!$D$1</c:f>
              <c:strCache>
                <c:ptCount val="1"/>
                <c:pt idx="0">
                  <c:v>Expected Points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PtsVSxPts!$B$2:$B$19</c:f>
              <c:strCache>
                <c:ptCount val="18"/>
                <c:pt idx="0">
                  <c:v>AME</c:v>
                </c:pt>
                <c:pt idx="1">
                  <c:v>MFC</c:v>
                </c:pt>
                <c:pt idx="2">
                  <c:v>PUE</c:v>
                </c:pt>
                <c:pt idx="3">
                  <c:v>TOL</c:v>
                </c:pt>
                <c:pt idx="4">
                  <c:v>PUM</c:v>
                </c:pt>
                <c:pt idx="5">
                  <c:v>LEO</c:v>
                </c:pt>
                <c:pt idx="6">
                  <c:v>TIG</c:v>
                </c:pt>
                <c:pt idx="7">
                  <c:v>ATL</c:v>
                </c:pt>
                <c:pt idx="8">
                  <c:v>SNL</c:v>
                </c:pt>
                <c:pt idx="9">
                  <c:v>CHI</c:v>
                </c:pt>
                <c:pt idx="10">
                  <c:v>JUA</c:v>
                </c:pt>
                <c:pt idx="11">
                  <c:v>SAN</c:v>
                </c:pt>
                <c:pt idx="12">
                  <c:v>NEC</c:v>
                </c:pt>
                <c:pt idx="13">
                  <c:v>QRO</c:v>
                </c:pt>
                <c:pt idx="14">
                  <c:v>CAZ</c:v>
                </c:pt>
                <c:pt idx="15">
                  <c:v>TIJ</c:v>
                </c:pt>
                <c:pt idx="16">
                  <c:v>MON</c:v>
                </c:pt>
                <c:pt idx="17">
                  <c:v>PAC</c:v>
                </c:pt>
              </c:strCache>
            </c:strRef>
          </c:cat>
          <c:val>
            <c:numRef>
              <c:f>PtsVSxPts!$D$2:$D$19</c:f>
              <c:numCache>
                <c:formatCode>0</c:formatCode>
                <c:ptCount val="18"/>
                <c:pt idx="0">
                  <c:v>29.073682226030801</c:v>
                </c:pt>
                <c:pt idx="1">
                  <c:v>17.116159771796699</c:v>
                </c:pt>
                <c:pt idx="2">
                  <c:v>21.303947680580499</c:v>
                </c:pt>
                <c:pt idx="3">
                  <c:v>21.561799729024202</c:v>
                </c:pt>
                <c:pt idx="4">
                  <c:v>18.6292950090773</c:v>
                </c:pt>
                <c:pt idx="5">
                  <c:v>26.882335982926602</c:v>
                </c:pt>
                <c:pt idx="6">
                  <c:v>26.120935038702399</c:v>
                </c:pt>
                <c:pt idx="7">
                  <c:v>27.793260248366298</c:v>
                </c:pt>
                <c:pt idx="8">
                  <c:v>20.258139707634399</c:v>
                </c:pt>
                <c:pt idx="9">
                  <c:v>22.466455707151798</c:v>
                </c:pt>
                <c:pt idx="10">
                  <c:v>16.885064814339</c:v>
                </c:pt>
                <c:pt idx="11">
                  <c:v>25.377944047419</c:v>
                </c:pt>
                <c:pt idx="12">
                  <c:v>21.923521473491501</c:v>
                </c:pt>
                <c:pt idx="13">
                  <c:v>18.3621436822569</c:v>
                </c:pt>
                <c:pt idx="14">
                  <c:v>26.9387551498154</c:v>
                </c:pt>
                <c:pt idx="15">
                  <c:v>20.7447115944505</c:v>
                </c:pt>
                <c:pt idx="16">
                  <c:v>28.787068078689</c:v>
                </c:pt>
                <c:pt idx="17">
                  <c:v>26.0690266949955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1-4D96-A38C-8F83999A4DE0}"/>
            </c:ext>
          </c:extLst>
        </c:ser>
        <c:ser>
          <c:idx val="2"/>
          <c:order val="2"/>
          <c:tx>
            <c:strRef>
              <c:f>PtsVSxPts!$E$1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E71-4D96-A38C-8F83999A4DE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71-4D96-A38C-8F83999A4DE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E71-4D96-A38C-8F83999A4DE0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71-4D96-A38C-8F83999A4DE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E71-4D96-A38C-8F83999A4DE0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71-4D96-A38C-8F83999A4DE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E71-4D96-A38C-8F83999A4DE0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71-4D96-A38C-8F83999A4DE0}"/>
              </c:ext>
            </c:extLst>
          </c:dPt>
          <c:cat>
            <c:strRef>
              <c:f>PtsVSxPts!$B$2:$B$19</c:f>
              <c:strCache>
                <c:ptCount val="18"/>
                <c:pt idx="0">
                  <c:v>AME</c:v>
                </c:pt>
                <c:pt idx="1">
                  <c:v>MFC</c:v>
                </c:pt>
                <c:pt idx="2">
                  <c:v>PUE</c:v>
                </c:pt>
                <c:pt idx="3">
                  <c:v>TOL</c:v>
                </c:pt>
                <c:pt idx="4">
                  <c:v>PUM</c:v>
                </c:pt>
                <c:pt idx="5">
                  <c:v>LEO</c:v>
                </c:pt>
                <c:pt idx="6">
                  <c:v>TIG</c:v>
                </c:pt>
                <c:pt idx="7">
                  <c:v>ATL</c:v>
                </c:pt>
                <c:pt idx="8">
                  <c:v>SNL</c:v>
                </c:pt>
                <c:pt idx="9">
                  <c:v>CHI</c:v>
                </c:pt>
                <c:pt idx="10">
                  <c:v>JUA</c:v>
                </c:pt>
                <c:pt idx="11">
                  <c:v>SAN</c:v>
                </c:pt>
                <c:pt idx="12">
                  <c:v>NEC</c:v>
                </c:pt>
                <c:pt idx="13">
                  <c:v>QRO</c:v>
                </c:pt>
                <c:pt idx="14">
                  <c:v>CAZ</c:v>
                </c:pt>
                <c:pt idx="15">
                  <c:v>TIJ</c:v>
                </c:pt>
                <c:pt idx="16">
                  <c:v>MON</c:v>
                </c:pt>
                <c:pt idx="17">
                  <c:v>PAC</c:v>
                </c:pt>
              </c:strCache>
            </c:strRef>
          </c:cat>
          <c:val>
            <c:numRef>
              <c:f>PtsVSxPts!$E$2:$E$19</c:f>
              <c:numCache>
                <c:formatCode>0.0</c:formatCode>
                <c:ptCount val="18"/>
                <c:pt idx="0">
                  <c:v>5.926317773969199</c:v>
                </c:pt>
                <c:pt idx="1">
                  <c:v>2.8838402282033009</c:v>
                </c:pt>
                <c:pt idx="2">
                  <c:v>2.6960523194195005</c:v>
                </c:pt>
                <c:pt idx="3">
                  <c:v>2.4382002709757984</c:v>
                </c:pt>
                <c:pt idx="4">
                  <c:v>2.3707049909227003</c:v>
                </c:pt>
                <c:pt idx="5">
                  <c:v>2.1176640170733982</c:v>
                </c:pt>
                <c:pt idx="6">
                  <c:v>1.8790649612976011</c:v>
                </c:pt>
                <c:pt idx="7">
                  <c:v>1.2067397516337017</c:v>
                </c:pt>
                <c:pt idx="8">
                  <c:v>-0.25813970763439897</c:v>
                </c:pt>
                <c:pt idx="9">
                  <c:v>-0.46645570715179829</c:v>
                </c:pt>
                <c:pt idx="10">
                  <c:v>-0.88506481433899964</c:v>
                </c:pt>
                <c:pt idx="11">
                  <c:v>-1.3779440474189997</c:v>
                </c:pt>
                <c:pt idx="12">
                  <c:v>-1.9235214734915012</c:v>
                </c:pt>
                <c:pt idx="13">
                  <c:v>-3.3621436822568995</c:v>
                </c:pt>
                <c:pt idx="14">
                  <c:v>-3.9387551498153996</c:v>
                </c:pt>
                <c:pt idx="15">
                  <c:v>-5.7447115944505001</c:v>
                </c:pt>
                <c:pt idx="16">
                  <c:v>-6.7870680786889999</c:v>
                </c:pt>
                <c:pt idx="17">
                  <c:v>-8.0690266949955003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71-4D96-A38C-8F83999A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</c:barChart>
      <c:catAx>
        <c:axId val="6648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2021 - Regular</a:t>
            </a:r>
            <a:r>
              <a:rPr lang="es-MX" sz="2000" baseline="0"/>
              <a:t> Season</a:t>
            </a:r>
            <a:endParaRPr lang="es-MX" sz="2000"/>
          </a:p>
          <a:p>
            <a:pPr>
              <a:defRPr sz="2000"/>
            </a:pPr>
            <a:r>
              <a:rPr lang="es-MX" sz="2000"/>
              <a:t>Scored Goals'</a:t>
            </a:r>
            <a:r>
              <a:rPr lang="es-MX" sz="2000" baseline="0"/>
              <a:t> Performance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GVSxG!$C$1</c:f>
              <c:strCache>
                <c:ptCount val="1"/>
                <c:pt idx="0">
                  <c:v>Scored Goals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GVSxG!$B$2:$B$19</c:f>
              <c:strCache>
                <c:ptCount val="18"/>
                <c:pt idx="0">
                  <c:v>U.A.N.L.- Tigres</c:v>
                </c:pt>
                <c:pt idx="1">
                  <c:v>Toluca</c:v>
                </c:pt>
                <c:pt idx="2">
                  <c:v>Mazatlan FC</c:v>
                </c:pt>
                <c:pt idx="3">
                  <c:v>Atl. San Luis</c:v>
                </c:pt>
                <c:pt idx="4">
                  <c:v>Santos Laguna</c:v>
                </c:pt>
                <c:pt idx="5">
                  <c:v>U.N.A.M.- Pumas</c:v>
                </c:pt>
                <c:pt idx="6">
                  <c:v>Cruz Azul</c:v>
                </c:pt>
                <c:pt idx="7">
                  <c:v>Juarez</c:v>
                </c:pt>
                <c:pt idx="8">
                  <c:v>Club Tijuana</c:v>
                </c:pt>
                <c:pt idx="9">
                  <c:v>Club Leon</c:v>
                </c:pt>
                <c:pt idx="10">
                  <c:v>Puebla</c:v>
                </c:pt>
                <c:pt idx="11">
                  <c:v>Atlas</c:v>
                </c:pt>
                <c:pt idx="12">
                  <c:v>Pachuca</c:v>
                </c:pt>
                <c:pt idx="13">
                  <c:v>Necaxa</c:v>
                </c:pt>
                <c:pt idx="14">
                  <c:v>Club America</c:v>
                </c:pt>
                <c:pt idx="15">
                  <c:v>Monterrey</c:v>
                </c:pt>
                <c:pt idx="16">
                  <c:v>Queretaro</c:v>
                </c:pt>
                <c:pt idx="17">
                  <c:v>Guadalajara Chivas</c:v>
                </c:pt>
              </c:strCache>
            </c:strRef>
          </c:cat>
          <c:val>
            <c:numRef>
              <c:f>GVSxG!$C$2:$C$19</c:f>
              <c:numCache>
                <c:formatCode>General</c:formatCode>
                <c:ptCount val="18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21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16</c:v>
                </c:pt>
                <c:pt idx="11">
                  <c:v>21</c:v>
                </c:pt>
                <c:pt idx="12">
                  <c:v>19</c:v>
                </c:pt>
                <c:pt idx="13">
                  <c:v>16</c:v>
                </c:pt>
                <c:pt idx="14">
                  <c:v>21</c:v>
                </c:pt>
                <c:pt idx="15">
                  <c:v>19</c:v>
                </c:pt>
                <c:pt idx="16">
                  <c:v>11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2-425F-9693-B4D5CFBAFC3D}"/>
            </c:ext>
          </c:extLst>
        </c:ser>
        <c:ser>
          <c:idx val="1"/>
          <c:order val="1"/>
          <c:tx>
            <c:strRef>
              <c:f>GVSxG!$D$1</c:f>
              <c:strCache>
                <c:ptCount val="1"/>
                <c:pt idx="0">
                  <c:v>Expected Goals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GVSxG!$B$2:$B$19</c:f>
              <c:strCache>
                <c:ptCount val="18"/>
                <c:pt idx="0">
                  <c:v>U.A.N.L.- Tigres</c:v>
                </c:pt>
                <c:pt idx="1">
                  <c:v>Toluca</c:v>
                </c:pt>
                <c:pt idx="2">
                  <c:v>Mazatlan FC</c:v>
                </c:pt>
                <c:pt idx="3">
                  <c:v>Atl. San Luis</c:v>
                </c:pt>
                <c:pt idx="4">
                  <c:v>Santos Laguna</c:v>
                </c:pt>
                <c:pt idx="5">
                  <c:v>U.N.A.M.- Pumas</c:v>
                </c:pt>
                <c:pt idx="6">
                  <c:v>Cruz Azul</c:v>
                </c:pt>
                <c:pt idx="7">
                  <c:v>Juarez</c:v>
                </c:pt>
                <c:pt idx="8">
                  <c:v>Club Tijuana</c:v>
                </c:pt>
                <c:pt idx="9">
                  <c:v>Club Leon</c:v>
                </c:pt>
                <c:pt idx="10">
                  <c:v>Puebla</c:v>
                </c:pt>
                <c:pt idx="11">
                  <c:v>Atlas</c:v>
                </c:pt>
                <c:pt idx="12">
                  <c:v>Pachuca</c:v>
                </c:pt>
                <c:pt idx="13">
                  <c:v>Necaxa</c:v>
                </c:pt>
                <c:pt idx="14">
                  <c:v>Club America</c:v>
                </c:pt>
                <c:pt idx="15">
                  <c:v>Monterrey</c:v>
                </c:pt>
                <c:pt idx="16">
                  <c:v>Queretaro</c:v>
                </c:pt>
                <c:pt idx="17">
                  <c:v>Guadalajara Chivas</c:v>
                </c:pt>
              </c:strCache>
            </c:strRef>
          </c:cat>
          <c:val>
            <c:numRef>
              <c:f>GVSxG!$D$2:$D$19</c:f>
              <c:numCache>
                <c:formatCode>0.0</c:formatCode>
                <c:ptCount val="18"/>
                <c:pt idx="0">
                  <c:v>24.127361897796799</c:v>
                </c:pt>
                <c:pt idx="1">
                  <c:v>20.789568298393899</c:v>
                </c:pt>
                <c:pt idx="2">
                  <c:v>18.000370296524402</c:v>
                </c:pt>
                <c:pt idx="3">
                  <c:v>19.686638696358401</c:v>
                </c:pt>
                <c:pt idx="4">
                  <c:v>23.784712367637599</c:v>
                </c:pt>
                <c:pt idx="5">
                  <c:v>18.8647188786592</c:v>
                </c:pt>
                <c:pt idx="6">
                  <c:v>24.734209165761001</c:v>
                </c:pt>
                <c:pt idx="7">
                  <c:v>17.918116999320901</c:v>
                </c:pt>
                <c:pt idx="8">
                  <c:v>20.231901684878501</c:v>
                </c:pt>
                <c:pt idx="9">
                  <c:v>24.540321288438399</c:v>
                </c:pt>
                <c:pt idx="10">
                  <c:v>20.608522494308598</c:v>
                </c:pt>
                <c:pt idx="11">
                  <c:v>25.716761964900002</c:v>
                </c:pt>
                <c:pt idx="12">
                  <c:v>24.119704980274101</c:v>
                </c:pt>
                <c:pt idx="13">
                  <c:v>21.122403122054799</c:v>
                </c:pt>
                <c:pt idx="14">
                  <c:v>26.542587710476202</c:v>
                </c:pt>
                <c:pt idx="15">
                  <c:v>26.501577416233399</c:v>
                </c:pt>
                <c:pt idx="16">
                  <c:v>18.6018190850838</c:v>
                </c:pt>
                <c:pt idx="17">
                  <c:v>21.477231232411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25F-9693-B4D5CFBAFC3D}"/>
            </c:ext>
          </c:extLst>
        </c:ser>
        <c:ser>
          <c:idx val="2"/>
          <c:order val="2"/>
          <c:tx>
            <c:strRef>
              <c:f>GVSxG!$E$1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BA2-425F-9693-B4D5CFBAFC3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A2-425F-9693-B4D5CFBAFC3D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BA2-425F-9693-B4D5CFBAFC3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A2-425F-9693-B4D5CFBAFC3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BA2-425F-9693-B4D5CFBAFC3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A2-425F-9693-B4D5CFBAFC3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BA2-425F-9693-B4D5CFBAFC3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A2-425F-9693-B4D5CFBAFC3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BA2-425F-9693-B4D5CFBAFC3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A2-425F-9693-B4D5CFBAFC3D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BA2-425F-9693-B4D5CFBAFC3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A2-425F-9693-B4D5CFBAFC3D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BA2-425F-9693-B4D5CFBAFC3D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A2-425F-9693-B4D5CFBAFC3D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BA2-425F-9693-B4D5CFBAFC3D}"/>
              </c:ext>
            </c:extLst>
          </c:dPt>
          <c:cat>
            <c:strRef>
              <c:f>GVSxG!$B$2:$B$19</c:f>
              <c:strCache>
                <c:ptCount val="18"/>
                <c:pt idx="0">
                  <c:v>U.A.N.L.- Tigres</c:v>
                </c:pt>
                <c:pt idx="1">
                  <c:v>Toluca</c:v>
                </c:pt>
                <c:pt idx="2">
                  <c:v>Mazatlan FC</c:v>
                </c:pt>
                <c:pt idx="3">
                  <c:v>Atl. San Luis</c:v>
                </c:pt>
                <c:pt idx="4">
                  <c:v>Santos Laguna</c:v>
                </c:pt>
                <c:pt idx="5">
                  <c:v>U.N.A.M.- Pumas</c:v>
                </c:pt>
                <c:pt idx="6">
                  <c:v>Cruz Azul</c:v>
                </c:pt>
                <c:pt idx="7">
                  <c:v>Juarez</c:v>
                </c:pt>
                <c:pt idx="8">
                  <c:v>Club Tijuana</c:v>
                </c:pt>
                <c:pt idx="9">
                  <c:v>Club Leon</c:v>
                </c:pt>
                <c:pt idx="10">
                  <c:v>Puebla</c:v>
                </c:pt>
                <c:pt idx="11">
                  <c:v>Atlas</c:v>
                </c:pt>
                <c:pt idx="12">
                  <c:v>Pachuca</c:v>
                </c:pt>
                <c:pt idx="13">
                  <c:v>Necaxa</c:v>
                </c:pt>
                <c:pt idx="14">
                  <c:v>Club America</c:v>
                </c:pt>
                <c:pt idx="15">
                  <c:v>Monterrey</c:v>
                </c:pt>
                <c:pt idx="16">
                  <c:v>Queretaro</c:v>
                </c:pt>
                <c:pt idx="17">
                  <c:v>Guadalajara Chivas</c:v>
                </c:pt>
              </c:strCache>
            </c:strRef>
          </c:cat>
          <c:val>
            <c:numRef>
              <c:f>GVSxG!$E$2:$E$19</c:f>
              <c:numCache>
                <c:formatCode>0.0</c:formatCode>
                <c:ptCount val="18"/>
                <c:pt idx="0">
                  <c:v>1.8726381022032008</c:v>
                </c:pt>
                <c:pt idx="1">
                  <c:v>1.210431701606101</c:v>
                </c:pt>
                <c:pt idx="2">
                  <c:v>-3.7029652440168093E-4</c:v>
                </c:pt>
                <c:pt idx="3">
                  <c:v>-0.68663869635840058</c:v>
                </c:pt>
                <c:pt idx="4">
                  <c:v>-0.78471236763759933</c:v>
                </c:pt>
                <c:pt idx="5">
                  <c:v>-1.8647188786592004</c:v>
                </c:pt>
                <c:pt idx="6">
                  <c:v>-3.7342091657610013</c:v>
                </c:pt>
                <c:pt idx="7">
                  <c:v>-3.9181169993209011</c:v>
                </c:pt>
                <c:pt idx="8">
                  <c:v>-4.2319016848785012</c:v>
                </c:pt>
                <c:pt idx="9">
                  <c:v>-4.540321288438399</c:v>
                </c:pt>
                <c:pt idx="10">
                  <c:v>-4.6085224943085983</c:v>
                </c:pt>
                <c:pt idx="11">
                  <c:v>-4.7167619649000017</c:v>
                </c:pt>
                <c:pt idx="12">
                  <c:v>-5.1197049802741006</c:v>
                </c:pt>
                <c:pt idx="13">
                  <c:v>-5.1224031220547985</c:v>
                </c:pt>
                <c:pt idx="14">
                  <c:v>-5.5425877104762016</c:v>
                </c:pt>
                <c:pt idx="15">
                  <c:v>-7.501577416233399</c:v>
                </c:pt>
                <c:pt idx="16">
                  <c:v>-7.6018190850838003</c:v>
                </c:pt>
                <c:pt idx="17">
                  <c:v>-8.4772312324110004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2-425F-9693-B4D5CFBA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/>
      </c:barChart>
      <c:catAx>
        <c:axId val="6648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2021 - Regular</a:t>
            </a:r>
            <a:r>
              <a:rPr lang="es-MX" sz="2000" baseline="0"/>
              <a:t> Season</a:t>
            </a:r>
            <a:endParaRPr lang="es-MX" sz="2000"/>
          </a:p>
          <a:p>
            <a:pPr>
              <a:defRPr sz="2000"/>
            </a:pPr>
            <a:r>
              <a:rPr lang="es-MX" sz="2000"/>
              <a:t>Conceided Goals'</a:t>
            </a:r>
            <a:r>
              <a:rPr lang="es-MX" sz="2000" baseline="0"/>
              <a:t> Performance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GAVSxGA!$C$1</c:f>
              <c:strCache>
                <c:ptCount val="1"/>
                <c:pt idx="0">
                  <c:v>Goals Against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GAVSxGA!$B$2:$B$19</c:f>
              <c:strCache>
                <c:ptCount val="18"/>
                <c:pt idx="0">
                  <c:v>Guadalajara Chivas</c:v>
                </c:pt>
                <c:pt idx="1">
                  <c:v>Atlas</c:v>
                </c:pt>
                <c:pt idx="2">
                  <c:v>Club America</c:v>
                </c:pt>
                <c:pt idx="3">
                  <c:v>Puebla</c:v>
                </c:pt>
                <c:pt idx="4">
                  <c:v>Queretaro</c:v>
                </c:pt>
                <c:pt idx="5">
                  <c:v>U.A.N.L.- Tigres</c:v>
                </c:pt>
                <c:pt idx="6">
                  <c:v>Club Leon</c:v>
                </c:pt>
                <c:pt idx="7">
                  <c:v>Santos Laguna</c:v>
                </c:pt>
                <c:pt idx="8">
                  <c:v>Mazatlan FC</c:v>
                </c:pt>
                <c:pt idx="9">
                  <c:v>U.N.A.M.- Pumas</c:v>
                </c:pt>
                <c:pt idx="10">
                  <c:v>Juarez</c:v>
                </c:pt>
                <c:pt idx="11">
                  <c:v>Monterrey</c:v>
                </c:pt>
                <c:pt idx="12">
                  <c:v>Cruz Azul</c:v>
                </c:pt>
                <c:pt idx="13">
                  <c:v>Toluca</c:v>
                </c:pt>
                <c:pt idx="14">
                  <c:v>Necaxa</c:v>
                </c:pt>
                <c:pt idx="15">
                  <c:v>Atl. San Luis</c:v>
                </c:pt>
                <c:pt idx="16">
                  <c:v>Pachuca</c:v>
                </c:pt>
                <c:pt idx="17">
                  <c:v>Club Tijuana</c:v>
                </c:pt>
              </c:strCache>
            </c:strRef>
          </c:cat>
          <c:val>
            <c:numRef>
              <c:f>GAVSxGA!$C$2:$C$19</c:f>
              <c:numCache>
                <c:formatCode>General</c:formatCode>
                <c:ptCount val="1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24</c:v>
                </c:pt>
                <c:pt idx="9">
                  <c:v>23</c:v>
                </c:pt>
                <c:pt idx="10">
                  <c:v>25</c:v>
                </c:pt>
                <c:pt idx="11">
                  <c:v>16</c:v>
                </c:pt>
                <c:pt idx="12">
                  <c:v>17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21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4-4C1E-B9CE-8F26DF4A37BF}"/>
            </c:ext>
          </c:extLst>
        </c:ser>
        <c:ser>
          <c:idx val="1"/>
          <c:order val="1"/>
          <c:tx>
            <c:strRef>
              <c:f>GAVSxGA!$D$1</c:f>
              <c:strCache>
                <c:ptCount val="1"/>
                <c:pt idx="0">
                  <c:v>Expected Goals Against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GAVSxGA!$B$2:$B$19</c:f>
              <c:strCache>
                <c:ptCount val="18"/>
                <c:pt idx="0">
                  <c:v>Guadalajara Chivas</c:v>
                </c:pt>
                <c:pt idx="1">
                  <c:v>Atlas</c:v>
                </c:pt>
                <c:pt idx="2">
                  <c:v>Club America</c:v>
                </c:pt>
                <c:pt idx="3">
                  <c:v>Puebla</c:v>
                </c:pt>
                <c:pt idx="4">
                  <c:v>Queretaro</c:v>
                </c:pt>
                <c:pt idx="5">
                  <c:v>U.A.N.L.- Tigres</c:v>
                </c:pt>
                <c:pt idx="6">
                  <c:v>Club Leon</c:v>
                </c:pt>
                <c:pt idx="7">
                  <c:v>Santos Laguna</c:v>
                </c:pt>
                <c:pt idx="8">
                  <c:v>Mazatlan FC</c:v>
                </c:pt>
                <c:pt idx="9">
                  <c:v>U.N.A.M.- Pumas</c:v>
                </c:pt>
                <c:pt idx="10">
                  <c:v>Juarez</c:v>
                </c:pt>
                <c:pt idx="11">
                  <c:v>Monterrey</c:v>
                </c:pt>
                <c:pt idx="12">
                  <c:v>Cruz Azul</c:v>
                </c:pt>
                <c:pt idx="13">
                  <c:v>Toluca</c:v>
                </c:pt>
                <c:pt idx="14">
                  <c:v>Necaxa</c:v>
                </c:pt>
                <c:pt idx="15">
                  <c:v>Atl. San Luis</c:v>
                </c:pt>
                <c:pt idx="16">
                  <c:v>Pachuca</c:v>
                </c:pt>
                <c:pt idx="17">
                  <c:v>Club Tijuana</c:v>
                </c:pt>
              </c:strCache>
            </c:strRef>
          </c:cat>
          <c:val>
            <c:numRef>
              <c:f>GAVSxGA!$D$2:$D$19</c:f>
              <c:numCache>
                <c:formatCode>0.0</c:formatCode>
                <c:ptCount val="18"/>
                <c:pt idx="0">
                  <c:v>22.132442328788301</c:v>
                </c:pt>
                <c:pt idx="1">
                  <c:v>18.644088968336501</c:v>
                </c:pt>
                <c:pt idx="2">
                  <c:v>18.070019052237299</c:v>
                </c:pt>
                <c:pt idx="3">
                  <c:v>23.079289161801402</c:v>
                </c:pt>
                <c:pt idx="4">
                  <c:v>25.2178179830122</c:v>
                </c:pt>
                <c:pt idx="5">
                  <c:v>19.6678321659852</c:v>
                </c:pt>
                <c:pt idx="6">
                  <c:v>19.404852562402901</c:v>
                </c:pt>
                <c:pt idx="7">
                  <c:v>20.4514608701223</c:v>
                </c:pt>
                <c:pt idx="8">
                  <c:v>27.130579425468898</c:v>
                </c:pt>
                <c:pt idx="9">
                  <c:v>25.6795749458208</c:v>
                </c:pt>
                <c:pt idx="10">
                  <c:v>27.375872722266401</c:v>
                </c:pt>
                <c:pt idx="11">
                  <c:v>18.274532905812599</c:v>
                </c:pt>
                <c:pt idx="12">
                  <c:v>18.8013694865278</c:v>
                </c:pt>
                <c:pt idx="13">
                  <c:v>23.120367405505402</c:v>
                </c:pt>
                <c:pt idx="14">
                  <c:v>22.867887436160999</c:v>
                </c:pt>
                <c:pt idx="15">
                  <c:v>23.672120975000698</c:v>
                </c:pt>
                <c:pt idx="16">
                  <c:v>19.8362015513035</c:v>
                </c:pt>
                <c:pt idx="17">
                  <c:v>23.942217632957998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4-4C1E-B9CE-8F26DF4A37BF}"/>
            </c:ext>
          </c:extLst>
        </c:ser>
        <c:ser>
          <c:idx val="3"/>
          <c:order val="3"/>
          <c:tx>
            <c:strRef>
              <c:f>GAVSxGA!$F$1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824-4C1E-B9CE-8F26DF4A37BF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24-4C1E-B9CE-8F26DF4A37BF}"/>
              </c:ext>
            </c:extLst>
          </c:dPt>
          <c:cat>
            <c:strRef>
              <c:f>GAVSxGA!$B$2:$B$19</c:f>
              <c:strCache>
                <c:ptCount val="18"/>
                <c:pt idx="0">
                  <c:v>Guadalajara Chivas</c:v>
                </c:pt>
                <c:pt idx="1">
                  <c:v>Atlas</c:v>
                </c:pt>
                <c:pt idx="2">
                  <c:v>Club America</c:v>
                </c:pt>
                <c:pt idx="3">
                  <c:v>Puebla</c:v>
                </c:pt>
                <c:pt idx="4">
                  <c:v>Queretaro</c:v>
                </c:pt>
                <c:pt idx="5">
                  <c:v>U.A.N.L.- Tigres</c:v>
                </c:pt>
                <c:pt idx="6">
                  <c:v>Club Leon</c:v>
                </c:pt>
                <c:pt idx="7">
                  <c:v>Santos Laguna</c:v>
                </c:pt>
                <c:pt idx="8">
                  <c:v>Mazatlan FC</c:v>
                </c:pt>
                <c:pt idx="9">
                  <c:v>U.N.A.M.- Pumas</c:v>
                </c:pt>
                <c:pt idx="10">
                  <c:v>Juarez</c:v>
                </c:pt>
                <c:pt idx="11">
                  <c:v>Monterrey</c:v>
                </c:pt>
                <c:pt idx="12">
                  <c:v>Cruz Azul</c:v>
                </c:pt>
                <c:pt idx="13">
                  <c:v>Toluca</c:v>
                </c:pt>
                <c:pt idx="14">
                  <c:v>Necaxa</c:v>
                </c:pt>
                <c:pt idx="15">
                  <c:v>Atl. San Luis</c:v>
                </c:pt>
                <c:pt idx="16">
                  <c:v>Pachuca</c:v>
                </c:pt>
                <c:pt idx="17">
                  <c:v>Club Tijuana</c:v>
                </c:pt>
              </c:strCache>
            </c:strRef>
          </c:cat>
          <c:val>
            <c:numRef>
              <c:f>GAVSxGA!$F$2:$F$19</c:f>
              <c:numCache>
                <c:formatCode>0.0</c:formatCode>
                <c:ptCount val="18"/>
                <c:pt idx="0">
                  <c:v>-9.1324423287883008</c:v>
                </c:pt>
                <c:pt idx="1">
                  <c:v>-8.6440889683365008</c:v>
                </c:pt>
                <c:pt idx="2">
                  <c:v>-8.0700190522372992</c:v>
                </c:pt>
                <c:pt idx="3">
                  <c:v>-7.0792891618014018</c:v>
                </c:pt>
                <c:pt idx="4">
                  <c:v>-6.2178179830121998</c:v>
                </c:pt>
                <c:pt idx="5">
                  <c:v>-5.6678321659851996</c:v>
                </c:pt>
                <c:pt idx="6">
                  <c:v>-5.4048525624029011</c:v>
                </c:pt>
                <c:pt idx="7">
                  <c:v>-4.4514608701223004</c:v>
                </c:pt>
                <c:pt idx="8">
                  <c:v>-3.1305794254688983</c:v>
                </c:pt>
                <c:pt idx="9">
                  <c:v>-2.6795749458208</c:v>
                </c:pt>
                <c:pt idx="10">
                  <c:v>-2.3758727222664007</c:v>
                </c:pt>
                <c:pt idx="11">
                  <c:v>-2.2745329058125989</c:v>
                </c:pt>
                <c:pt idx="12">
                  <c:v>-1.8013694865278005</c:v>
                </c:pt>
                <c:pt idx="13">
                  <c:v>-1.1203674055054016</c:v>
                </c:pt>
                <c:pt idx="14">
                  <c:v>-0.8678874361609985</c:v>
                </c:pt>
                <c:pt idx="15">
                  <c:v>-0.67212097500069845</c:v>
                </c:pt>
                <c:pt idx="16">
                  <c:v>1.1637984486965003</c:v>
                </c:pt>
                <c:pt idx="17">
                  <c:v>3.0577823670420017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24-4C1E-B9CE-8F26DF4A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GAVSxGA!$E$1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GAVSxGA!$B$2:$B$19</c15:sqref>
                        </c15:formulaRef>
                      </c:ext>
                    </c:extLst>
                    <c:strCache>
                      <c:ptCount val="18"/>
                      <c:pt idx="0">
                        <c:v>Guadalajara Chivas</c:v>
                      </c:pt>
                      <c:pt idx="1">
                        <c:v>Atlas</c:v>
                      </c:pt>
                      <c:pt idx="2">
                        <c:v>Club America</c:v>
                      </c:pt>
                      <c:pt idx="3">
                        <c:v>Puebla</c:v>
                      </c:pt>
                      <c:pt idx="4">
                        <c:v>Queretaro</c:v>
                      </c:pt>
                      <c:pt idx="5">
                        <c:v>U.A.N.L.- Tigres</c:v>
                      </c:pt>
                      <c:pt idx="6">
                        <c:v>Club Leon</c:v>
                      </c:pt>
                      <c:pt idx="7">
                        <c:v>Santos Laguna</c:v>
                      </c:pt>
                      <c:pt idx="8">
                        <c:v>Mazatlan FC</c:v>
                      </c:pt>
                      <c:pt idx="9">
                        <c:v>U.N.A.M.- Pumas</c:v>
                      </c:pt>
                      <c:pt idx="10">
                        <c:v>Juarez</c:v>
                      </c:pt>
                      <c:pt idx="11">
                        <c:v>Monterrey</c:v>
                      </c:pt>
                      <c:pt idx="12">
                        <c:v>Cruz Azul</c:v>
                      </c:pt>
                      <c:pt idx="13">
                        <c:v>Toluca</c:v>
                      </c:pt>
                      <c:pt idx="14">
                        <c:v>Necaxa</c:v>
                      </c:pt>
                      <c:pt idx="15">
                        <c:v>Atl. San Luis</c:v>
                      </c:pt>
                      <c:pt idx="16">
                        <c:v>Pachuca</c:v>
                      </c:pt>
                      <c:pt idx="17">
                        <c:v>Club Tijuana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GAVSxGA!$E$2:$E$19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0.58737304301435045</c:v>
                      </c:pt>
                      <c:pt idx="1">
                        <c:v>0.53636302728350682</c:v>
                      </c:pt>
                      <c:pt idx="2">
                        <c:v>0.55340284761691338</c:v>
                      </c:pt>
                      <c:pt idx="3">
                        <c:v>0.69326225291555543</c:v>
                      </c:pt>
                      <c:pt idx="4">
                        <c:v>0.75343552772088418</c:v>
                      </c:pt>
                      <c:pt idx="5">
                        <c:v>0.71182222228906811</c:v>
                      </c:pt>
                      <c:pt idx="6">
                        <c:v>0.72146902198706431</c:v>
                      </c:pt>
                      <c:pt idx="7">
                        <c:v>0.78234020061493625</c:v>
                      </c:pt>
                      <c:pt idx="8">
                        <c:v>0.88461066841314639</c:v>
                      </c:pt>
                      <c:pt idx="9">
                        <c:v>0.89565345409827801</c:v>
                      </c:pt>
                      <c:pt idx="10">
                        <c:v>0.91321289566290376</c:v>
                      </c:pt>
                      <c:pt idx="11">
                        <c:v>0.87553537387053348</c:v>
                      </c:pt>
                      <c:pt idx="12">
                        <c:v>0.90418945344281543</c:v>
                      </c:pt>
                      <c:pt idx="13">
                        <c:v>0.95154197224224812</c:v>
                      </c:pt>
                      <c:pt idx="14">
                        <c:v>0.96204776507738932</c:v>
                      </c:pt>
                      <c:pt idx="15">
                        <c:v>0.97160706572467659</c:v>
                      </c:pt>
                      <c:pt idx="16">
                        <c:v>1.0586704286950555</c:v>
                      </c:pt>
                      <c:pt idx="17">
                        <c:v>1.1277150852907112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24-4C1E-B9CE-8F26DF4A37BF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Liga MX Apertura 2021 Regular Season 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Goals vs Expected Goals</a:t>
            </a:r>
            <a:endParaRPr lang="es-MX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GDiff'!$C$1</c:f>
              <c:strCache>
                <c:ptCount val="1"/>
                <c:pt idx="0">
                  <c:v>GoalsA_Diff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GDiff'!$B$2:$B$19</c:f>
              <c:numCache>
                <c:formatCode>0</c:formatCode>
                <c:ptCount val="18"/>
                <c:pt idx="0">
                  <c:v>-7.5015774162334896</c:v>
                </c:pt>
                <c:pt idx="1">
                  <c:v>-3.7029652446562901E-4</c:v>
                </c:pt>
                <c:pt idx="2">
                  <c:v>-1.8647188786592499</c:v>
                </c:pt>
                <c:pt idx="3">
                  <c:v>-3.9181169993209801</c:v>
                </c:pt>
                <c:pt idx="4">
                  <c:v>-4.60852249430864</c:v>
                </c:pt>
                <c:pt idx="5">
                  <c:v>-4.5403212884384896</c:v>
                </c:pt>
                <c:pt idx="6">
                  <c:v>-4.7167619649000398</c:v>
                </c:pt>
                <c:pt idx="7">
                  <c:v>1.87263810220315</c:v>
                </c:pt>
                <c:pt idx="8">
                  <c:v>-5.5425877104761998</c:v>
                </c:pt>
                <c:pt idx="9">
                  <c:v>-8.4772312324110697</c:v>
                </c:pt>
                <c:pt idx="10">
                  <c:v>-0.68663869635844998</c:v>
                </c:pt>
                <c:pt idx="11">
                  <c:v>-5.1197049802741503</c:v>
                </c:pt>
                <c:pt idx="12">
                  <c:v>-3.7342091657610399</c:v>
                </c:pt>
                <c:pt idx="13">
                  <c:v>-4.23190168487855</c:v>
                </c:pt>
                <c:pt idx="14">
                  <c:v>-7.6018190850838803</c:v>
                </c:pt>
                <c:pt idx="15">
                  <c:v>-5.1224031220548101</c:v>
                </c:pt>
                <c:pt idx="16">
                  <c:v>1.21043170160604</c:v>
                </c:pt>
                <c:pt idx="17">
                  <c:v>-0.78471236763768804</c:v>
                </c:pt>
              </c:numCache>
            </c:numRef>
          </c:xVal>
          <c:yVal>
            <c:numRef>
              <c:f>'Scatter GDiff'!$C$2:$C$19</c:f>
              <c:numCache>
                <c:formatCode>0</c:formatCode>
                <c:ptCount val="18"/>
                <c:pt idx="0">
                  <c:v>2.27453290581261</c:v>
                </c:pt>
                <c:pt idx="1">
                  <c:v>3.13057942546898</c:v>
                </c:pt>
                <c:pt idx="2">
                  <c:v>2.67957494582084</c:v>
                </c:pt>
                <c:pt idx="3">
                  <c:v>2.3758727222664699</c:v>
                </c:pt>
                <c:pt idx="4">
                  <c:v>7.0792891618014897</c:v>
                </c:pt>
                <c:pt idx="5">
                  <c:v>5.40485256240291</c:v>
                </c:pt>
                <c:pt idx="6">
                  <c:v>8.6440889683365807</c:v>
                </c:pt>
                <c:pt idx="7">
                  <c:v>5.6678321659852697</c:v>
                </c:pt>
                <c:pt idx="8">
                  <c:v>8.0700190522373703</c:v>
                </c:pt>
                <c:pt idx="9">
                  <c:v>9.1324423287883008</c:v>
                </c:pt>
                <c:pt idx="10">
                  <c:v>0.67212097500075096</c:v>
                </c:pt>
                <c:pt idx="11">
                  <c:v>-1.1637984486964701</c:v>
                </c:pt>
                <c:pt idx="12">
                  <c:v>1.8013694865278</c:v>
                </c:pt>
                <c:pt idx="13">
                  <c:v>-3.0577823670419599</c:v>
                </c:pt>
                <c:pt idx="14">
                  <c:v>6.21781798301223</c:v>
                </c:pt>
                <c:pt idx="15">
                  <c:v>0.867887436161076</c:v>
                </c:pt>
                <c:pt idx="16">
                  <c:v>1.12036740550541</c:v>
                </c:pt>
                <c:pt idx="17">
                  <c:v>4.4514608701223102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2-42BE-ACB8-049E1914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31184"/>
        <c:axId val="697337088"/>
      </c:scatterChart>
      <c:valAx>
        <c:axId val="69733118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 flip="none" rotWithShape="1">
              <a:gsLst>
                <a:gs pos="100000">
                  <a:srgbClr val="FF0000"/>
                </a:gs>
                <a:gs pos="3000">
                  <a:srgbClr val="0070C0"/>
                </a:gs>
                <a:gs pos="77000">
                  <a:srgbClr val="FF0000"/>
                </a:gs>
                <a:gs pos="38000">
                  <a:srgbClr val="0070C0"/>
                </a:gs>
              </a:gsLst>
              <a:lin ang="10800000" scaled="1"/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7088"/>
        <c:crosses val="autoZero"/>
        <c:crossBetween val="midCat"/>
        <c:majorUnit val="1"/>
      </c:valAx>
      <c:valAx>
        <c:axId val="697337088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8100" cap="flat" cmpd="sng" algn="ctr">
            <a:gradFill>
              <a:gsLst>
                <a:gs pos="33350">
                  <a:srgbClr val="D21422"/>
                </a:gs>
                <a:gs pos="0">
                  <a:srgbClr val="FF0000"/>
                </a:gs>
                <a:gs pos="26000">
                  <a:srgbClr val="FF0000"/>
                </a:gs>
                <a:gs pos="68000">
                  <a:srgbClr val="0070C0"/>
                </a:gs>
                <a:gs pos="100000">
                  <a:srgbClr val="0070C0"/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31184"/>
        <c:crosses val="autoZero"/>
        <c:crossBetween val="midCat"/>
        <c:majorUnit val="1"/>
      </c:valAx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2021 - Regular</a:t>
            </a:r>
            <a:r>
              <a:rPr lang="es-MX" sz="2000" baseline="0"/>
              <a:t> Season</a:t>
            </a:r>
            <a:endParaRPr lang="es-MX" sz="2000"/>
          </a:p>
          <a:p>
            <a:pPr>
              <a:defRPr sz="2000"/>
            </a:pPr>
            <a:r>
              <a:rPr lang="es-MX" sz="2000"/>
              <a:t>Shots'</a:t>
            </a:r>
            <a:r>
              <a:rPr lang="es-MX" sz="2000" baseline="0"/>
              <a:t> Performance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ShVSxSh!$C$1</c:f>
              <c:strCache>
                <c:ptCount val="1"/>
                <c:pt idx="0">
                  <c:v>Shots</c:v>
                </c:pt>
              </c:strCache>
            </c:strRef>
          </c:tx>
          <c:spPr>
            <a:gradFill flip="none" rotWithShape="1">
              <a:gsLst>
                <a:gs pos="0">
                  <a:srgbClr val="CC9900">
                    <a:tint val="66000"/>
                    <a:satMod val="160000"/>
                  </a:srgbClr>
                </a:gs>
                <a:gs pos="50000">
                  <a:srgbClr val="CC9900">
                    <a:tint val="44500"/>
                    <a:satMod val="160000"/>
                  </a:srgbClr>
                </a:gs>
                <a:gs pos="100000">
                  <a:srgbClr val="CC9900">
                    <a:tint val="23500"/>
                    <a:satMod val="160000"/>
                  </a:srgbClr>
                </a:gs>
              </a:gsLst>
              <a:lin ang="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ShVSxSh!$B$2:$B$19</c:f>
              <c:strCache>
                <c:ptCount val="18"/>
                <c:pt idx="0">
                  <c:v>Pachuca</c:v>
                </c:pt>
                <c:pt idx="1">
                  <c:v>Necaxa</c:v>
                </c:pt>
                <c:pt idx="2">
                  <c:v>U.N.A.M.- Pumas</c:v>
                </c:pt>
                <c:pt idx="3">
                  <c:v>Santos Laguna</c:v>
                </c:pt>
                <c:pt idx="4">
                  <c:v>Toluca</c:v>
                </c:pt>
                <c:pt idx="5">
                  <c:v>Puebla</c:v>
                </c:pt>
                <c:pt idx="6">
                  <c:v>Atlas</c:v>
                </c:pt>
                <c:pt idx="7">
                  <c:v>U.A.N.L.- Tigres</c:v>
                </c:pt>
                <c:pt idx="8">
                  <c:v>Club Tijuana</c:v>
                </c:pt>
                <c:pt idx="9">
                  <c:v>Guadalajara Chivas</c:v>
                </c:pt>
                <c:pt idx="10">
                  <c:v>Atl. San Luis</c:v>
                </c:pt>
                <c:pt idx="11">
                  <c:v>Queretaro</c:v>
                </c:pt>
                <c:pt idx="12">
                  <c:v>Club America</c:v>
                </c:pt>
                <c:pt idx="13">
                  <c:v>Monterrey</c:v>
                </c:pt>
                <c:pt idx="14">
                  <c:v>Club Leon</c:v>
                </c:pt>
                <c:pt idx="15">
                  <c:v>Juarez</c:v>
                </c:pt>
                <c:pt idx="16">
                  <c:v>Cruz Azul</c:v>
                </c:pt>
                <c:pt idx="17">
                  <c:v>Mazatlan FC</c:v>
                </c:pt>
              </c:strCache>
            </c:strRef>
          </c:cat>
          <c:val>
            <c:numRef>
              <c:f>ShVSxSh!$C$2:$C$19</c:f>
              <c:numCache>
                <c:formatCode>General</c:formatCode>
                <c:ptCount val="18"/>
                <c:pt idx="0">
                  <c:v>271</c:v>
                </c:pt>
                <c:pt idx="1">
                  <c:v>248</c:v>
                </c:pt>
                <c:pt idx="2">
                  <c:v>225</c:v>
                </c:pt>
                <c:pt idx="3">
                  <c:v>250</c:v>
                </c:pt>
                <c:pt idx="4">
                  <c:v>226</c:v>
                </c:pt>
                <c:pt idx="5">
                  <c:v>221</c:v>
                </c:pt>
                <c:pt idx="6">
                  <c:v>237</c:v>
                </c:pt>
                <c:pt idx="7">
                  <c:v>227</c:v>
                </c:pt>
                <c:pt idx="8">
                  <c:v>201</c:v>
                </c:pt>
                <c:pt idx="9">
                  <c:v>206</c:v>
                </c:pt>
                <c:pt idx="10">
                  <c:v>196</c:v>
                </c:pt>
                <c:pt idx="11">
                  <c:v>188</c:v>
                </c:pt>
                <c:pt idx="12">
                  <c:v>224</c:v>
                </c:pt>
                <c:pt idx="13">
                  <c:v>205</c:v>
                </c:pt>
                <c:pt idx="14">
                  <c:v>189</c:v>
                </c:pt>
                <c:pt idx="15">
                  <c:v>157</c:v>
                </c:pt>
                <c:pt idx="16">
                  <c:v>169</c:v>
                </c:pt>
                <c:pt idx="17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1-46C3-9DBD-2E047CC0982F}"/>
            </c:ext>
          </c:extLst>
        </c:ser>
        <c:ser>
          <c:idx val="1"/>
          <c:order val="1"/>
          <c:tx>
            <c:strRef>
              <c:f>ShVSxSh!$D$1</c:f>
              <c:strCache>
                <c:ptCount val="1"/>
                <c:pt idx="0">
                  <c:v>Expected Shots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ShVSxSh!$B$2:$B$19</c:f>
              <c:strCache>
                <c:ptCount val="18"/>
                <c:pt idx="0">
                  <c:v>Pachuca</c:v>
                </c:pt>
                <c:pt idx="1">
                  <c:v>Necaxa</c:v>
                </c:pt>
                <c:pt idx="2">
                  <c:v>U.N.A.M.- Pumas</c:v>
                </c:pt>
                <c:pt idx="3">
                  <c:v>Santos Laguna</c:v>
                </c:pt>
                <c:pt idx="4">
                  <c:v>Toluca</c:v>
                </c:pt>
                <c:pt idx="5">
                  <c:v>Puebla</c:v>
                </c:pt>
                <c:pt idx="6">
                  <c:v>Atlas</c:v>
                </c:pt>
                <c:pt idx="7">
                  <c:v>U.A.N.L.- Tigres</c:v>
                </c:pt>
                <c:pt idx="8">
                  <c:v>Club Tijuana</c:v>
                </c:pt>
                <c:pt idx="9">
                  <c:v>Guadalajara Chivas</c:v>
                </c:pt>
                <c:pt idx="10">
                  <c:v>Atl. San Luis</c:v>
                </c:pt>
                <c:pt idx="11">
                  <c:v>Queretaro</c:v>
                </c:pt>
                <c:pt idx="12">
                  <c:v>Club America</c:v>
                </c:pt>
                <c:pt idx="13">
                  <c:v>Monterrey</c:v>
                </c:pt>
                <c:pt idx="14">
                  <c:v>Club Leon</c:v>
                </c:pt>
                <c:pt idx="15">
                  <c:v>Juarez</c:v>
                </c:pt>
                <c:pt idx="16">
                  <c:v>Cruz Azul</c:v>
                </c:pt>
                <c:pt idx="17">
                  <c:v>Mazatlan FC</c:v>
                </c:pt>
              </c:strCache>
            </c:strRef>
          </c:cat>
          <c:val>
            <c:numRef>
              <c:f>ShVSxSh!$D$2:$D$19</c:f>
              <c:numCache>
                <c:formatCode>0.0</c:formatCode>
                <c:ptCount val="18"/>
                <c:pt idx="0">
                  <c:v>203.017433822036</c:v>
                </c:pt>
                <c:pt idx="1">
                  <c:v>187.10975955558601</c:v>
                </c:pt>
                <c:pt idx="2">
                  <c:v>178.27190133257201</c:v>
                </c:pt>
                <c:pt idx="3">
                  <c:v>200.69060430784899</c:v>
                </c:pt>
                <c:pt idx="4">
                  <c:v>186.014459710719</c:v>
                </c:pt>
                <c:pt idx="5">
                  <c:v>186.393995864228</c:v>
                </c:pt>
                <c:pt idx="6">
                  <c:v>210.509549046355</c:v>
                </c:pt>
                <c:pt idx="7">
                  <c:v>203.80590977918101</c:v>
                </c:pt>
                <c:pt idx="8">
                  <c:v>183.38923446394799</c:v>
                </c:pt>
                <c:pt idx="9">
                  <c:v>190.13646300812599</c:v>
                </c:pt>
                <c:pt idx="10">
                  <c:v>180.98293445373901</c:v>
                </c:pt>
                <c:pt idx="11">
                  <c:v>175.53505328465599</c:v>
                </c:pt>
                <c:pt idx="12">
                  <c:v>215.01604335803901</c:v>
                </c:pt>
                <c:pt idx="13">
                  <c:v>213.25652608815301</c:v>
                </c:pt>
                <c:pt idx="14">
                  <c:v>204.02331774761001</c:v>
                </c:pt>
                <c:pt idx="15">
                  <c:v>171.67790500918301</c:v>
                </c:pt>
                <c:pt idx="16">
                  <c:v>205.98402391950799</c:v>
                </c:pt>
                <c:pt idx="17">
                  <c:v>173.284144126515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1-46C3-9DBD-2E047CC0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ShVSxSh!$E$1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ShVSxSh!$B$2:$B$19</c15:sqref>
                        </c15:formulaRef>
                      </c:ext>
                    </c:extLst>
                    <c:strCache>
                      <c:ptCount val="18"/>
                      <c:pt idx="0">
                        <c:v>Pachuca</c:v>
                      </c:pt>
                      <c:pt idx="1">
                        <c:v>Necaxa</c:v>
                      </c:pt>
                      <c:pt idx="2">
                        <c:v>U.N.A.M.- Pumas</c:v>
                      </c:pt>
                      <c:pt idx="3">
                        <c:v>Santos Laguna</c:v>
                      </c:pt>
                      <c:pt idx="4">
                        <c:v>Toluca</c:v>
                      </c:pt>
                      <c:pt idx="5">
                        <c:v>Puebla</c:v>
                      </c:pt>
                      <c:pt idx="6">
                        <c:v>Atlas</c:v>
                      </c:pt>
                      <c:pt idx="7">
                        <c:v>U.A.N.L.- Tigres</c:v>
                      </c:pt>
                      <c:pt idx="8">
                        <c:v>Club Tijuana</c:v>
                      </c:pt>
                      <c:pt idx="9">
                        <c:v>Guadalajara Chivas</c:v>
                      </c:pt>
                      <c:pt idx="10">
                        <c:v>Atl. San Luis</c:v>
                      </c:pt>
                      <c:pt idx="11">
                        <c:v>Queretaro</c:v>
                      </c:pt>
                      <c:pt idx="12">
                        <c:v>Club America</c:v>
                      </c:pt>
                      <c:pt idx="13">
                        <c:v>Monterrey</c:v>
                      </c:pt>
                      <c:pt idx="14">
                        <c:v>Club Leon</c:v>
                      </c:pt>
                      <c:pt idx="15">
                        <c:v>Juarez</c:v>
                      </c:pt>
                      <c:pt idx="16">
                        <c:v>Cruz Azul</c:v>
                      </c:pt>
                      <c:pt idx="17">
                        <c:v>Mazatlan FC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ShVSxSh!$E$2:$E$19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1.3348607304215911</c:v>
                      </c:pt>
                      <c:pt idx="1">
                        <c:v>1.3254252508743398</c:v>
                      </c:pt>
                      <c:pt idx="2">
                        <c:v>1.2621170151781531</c:v>
                      </c:pt>
                      <c:pt idx="3">
                        <c:v>1.2456985759857147</c:v>
                      </c:pt>
                      <c:pt idx="4">
                        <c:v>1.2149593120420028</c:v>
                      </c:pt>
                      <c:pt idx="5">
                        <c:v>1.1856605089413905</c:v>
                      </c:pt>
                      <c:pt idx="6">
                        <c:v>1.1258396641560982</c:v>
                      </c:pt>
                      <c:pt idx="7">
                        <c:v>1.1138047971521006</c:v>
                      </c:pt>
                      <c:pt idx="8">
                        <c:v>1.0960294402641944</c:v>
                      </c:pt>
                      <c:pt idx="9">
                        <c:v>1.0834323766251823</c:v>
                      </c:pt>
                      <c:pt idx="10">
                        <c:v>1.0829750362463015</c:v>
                      </c:pt>
                      <c:pt idx="11">
                        <c:v>1.0710111540806055</c:v>
                      </c:pt>
                      <c:pt idx="12">
                        <c:v>1.0417827270079616</c:v>
                      </c:pt>
                      <c:pt idx="13">
                        <c:v>0.96128359474101144</c:v>
                      </c:pt>
                      <c:pt idx="14">
                        <c:v>0.9263647022631265</c:v>
                      </c:pt>
                      <c:pt idx="15">
                        <c:v>0.91450323786046961</c:v>
                      </c:pt>
                      <c:pt idx="16">
                        <c:v>0.82045197867403463</c:v>
                      </c:pt>
                      <c:pt idx="17">
                        <c:v>0.76175463522863707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5F1-46C3-9DBD-2E047CC0982F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1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Apertura 2021 - Regular</a:t>
            </a:r>
            <a:r>
              <a:rPr lang="es-MX" sz="2000" baseline="0"/>
              <a:t> Season</a:t>
            </a:r>
            <a:endParaRPr lang="es-MX" sz="2000"/>
          </a:p>
          <a:p>
            <a:pPr>
              <a:defRPr sz="2000"/>
            </a:pPr>
            <a:r>
              <a:rPr lang="es-MX" sz="2000"/>
              <a:t>Shots Against</a:t>
            </a:r>
            <a:r>
              <a:rPr lang="es-MX" sz="2000" baseline="0"/>
              <a:t> Performance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ShAVSxShA!$C$1</c:f>
              <c:strCache>
                <c:ptCount val="1"/>
                <c:pt idx="0">
                  <c:v>Shots Against</c:v>
                </c:pt>
              </c:strCache>
            </c:strRef>
          </c:tx>
          <c:spPr>
            <a:gradFill flip="none" rotWithShape="1">
              <a:gsLst>
                <a:gs pos="0">
                  <a:srgbClr val="CC9900">
                    <a:tint val="66000"/>
                    <a:satMod val="160000"/>
                  </a:srgbClr>
                </a:gs>
                <a:gs pos="50000">
                  <a:srgbClr val="CC9900">
                    <a:tint val="44500"/>
                    <a:satMod val="160000"/>
                  </a:srgbClr>
                </a:gs>
                <a:gs pos="100000">
                  <a:srgbClr val="CC9900">
                    <a:tint val="23500"/>
                    <a:satMod val="160000"/>
                  </a:srgbClr>
                </a:gs>
              </a:gsLst>
              <a:lin ang="189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ShAVSxShA!$B$2:$B$19</c:f>
              <c:strCache>
                <c:ptCount val="18"/>
                <c:pt idx="0">
                  <c:v>PAC</c:v>
                </c:pt>
                <c:pt idx="1">
                  <c:v>SAN</c:v>
                </c:pt>
                <c:pt idx="2">
                  <c:v>QRO</c:v>
                </c:pt>
                <c:pt idx="3">
                  <c:v>TIJ</c:v>
                </c:pt>
                <c:pt idx="4">
                  <c:v>MAZ</c:v>
                </c:pt>
                <c:pt idx="5">
                  <c:v>TOL</c:v>
                </c:pt>
                <c:pt idx="6">
                  <c:v>TIG</c:v>
                </c:pt>
                <c:pt idx="7">
                  <c:v>PUM</c:v>
                </c:pt>
                <c:pt idx="8">
                  <c:v>JUA</c:v>
                </c:pt>
                <c:pt idx="9">
                  <c:v>SNL</c:v>
                </c:pt>
                <c:pt idx="10">
                  <c:v>MON</c:v>
                </c:pt>
                <c:pt idx="11">
                  <c:v>CAZ</c:v>
                </c:pt>
                <c:pt idx="12">
                  <c:v>LEO</c:v>
                </c:pt>
                <c:pt idx="13">
                  <c:v>PUE</c:v>
                </c:pt>
                <c:pt idx="14">
                  <c:v>NEC</c:v>
                </c:pt>
                <c:pt idx="15">
                  <c:v>ATL</c:v>
                </c:pt>
                <c:pt idx="16">
                  <c:v>CHI</c:v>
                </c:pt>
                <c:pt idx="17">
                  <c:v>AME</c:v>
                </c:pt>
              </c:strCache>
            </c:strRef>
          </c:cat>
          <c:val>
            <c:numRef>
              <c:f>ShAVSxShA!$C$2:$C$19</c:f>
              <c:numCache>
                <c:formatCode>General</c:formatCode>
                <c:ptCount val="18"/>
                <c:pt idx="0">
                  <c:v>225</c:v>
                </c:pt>
                <c:pt idx="1">
                  <c:v>224</c:v>
                </c:pt>
                <c:pt idx="2">
                  <c:v>250</c:v>
                </c:pt>
                <c:pt idx="3">
                  <c:v>234</c:v>
                </c:pt>
                <c:pt idx="4">
                  <c:v>251</c:v>
                </c:pt>
                <c:pt idx="5">
                  <c:v>228</c:v>
                </c:pt>
                <c:pt idx="6">
                  <c:v>201</c:v>
                </c:pt>
                <c:pt idx="7">
                  <c:v>232</c:v>
                </c:pt>
                <c:pt idx="8">
                  <c:v>236</c:v>
                </c:pt>
                <c:pt idx="9">
                  <c:v>218</c:v>
                </c:pt>
                <c:pt idx="10">
                  <c:v>188</c:v>
                </c:pt>
                <c:pt idx="11">
                  <c:v>190</c:v>
                </c:pt>
                <c:pt idx="12">
                  <c:v>189</c:v>
                </c:pt>
                <c:pt idx="13">
                  <c:v>206</c:v>
                </c:pt>
                <c:pt idx="14">
                  <c:v>200</c:v>
                </c:pt>
                <c:pt idx="15">
                  <c:v>174</c:v>
                </c:pt>
                <c:pt idx="16">
                  <c:v>186</c:v>
                </c:pt>
                <c:pt idx="1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3-4050-B4A1-8163848601A1}"/>
            </c:ext>
          </c:extLst>
        </c:ser>
        <c:ser>
          <c:idx val="1"/>
          <c:order val="1"/>
          <c:tx>
            <c:strRef>
              <c:f>ShAVSxShA!$D$1</c:f>
              <c:strCache>
                <c:ptCount val="1"/>
                <c:pt idx="0">
                  <c:v>Expected Shots Against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ShAVSxShA!$B$2:$B$19</c:f>
              <c:strCache>
                <c:ptCount val="18"/>
                <c:pt idx="0">
                  <c:v>PAC</c:v>
                </c:pt>
                <c:pt idx="1">
                  <c:v>SAN</c:v>
                </c:pt>
                <c:pt idx="2">
                  <c:v>QRO</c:v>
                </c:pt>
                <c:pt idx="3">
                  <c:v>TIJ</c:v>
                </c:pt>
                <c:pt idx="4">
                  <c:v>MAZ</c:v>
                </c:pt>
                <c:pt idx="5">
                  <c:v>TOL</c:v>
                </c:pt>
                <c:pt idx="6">
                  <c:v>TIG</c:v>
                </c:pt>
                <c:pt idx="7">
                  <c:v>PUM</c:v>
                </c:pt>
                <c:pt idx="8">
                  <c:v>JUA</c:v>
                </c:pt>
                <c:pt idx="9">
                  <c:v>SNL</c:v>
                </c:pt>
                <c:pt idx="10">
                  <c:v>MON</c:v>
                </c:pt>
                <c:pt idx="11">
                  <c:v>CAZ</c:v>
                </c:pt>
                <c:pt idx="12">
                  <c:v>LEO</c:v>
                </c:pt>
                <c:pt idx="13">
                  <c:v>PUE</c:v>
                </c:pt>
                <c:pt idx="14">
                  <c:v>NEC</c:v>
                </c:pt>
                <c:pt idx="15">
                  <c:v>ATL</c:v>
                </c:pt>
                <c:pt idx="16">
                  <c:v>CHI</c:v>
                </c:pt>
                <c:pt idx="17">
                  <c:v>AME</c:v>
                </c:pt>
              </c:strCache>
            </c:strRef>
          </c:cat>
          <c:val>
            <c:numRef>
              <c:f>ShAVSxShA!$D$2:$D$19</c:f>
              <c:numCache>
                <c:formatCode>0</c:formatCode>
                <c:ptCount val="18"/>
                <c:pt idx="0">
                  <c:v>181.52682940305999</c:v>
                </c:pt>
                <c:pt idx="1">
                  <c:v>184.02264417843901</c:v>
                </c:pt>
                <c:pt idx="2">
                  <c:v>208.632679648845</c:v>
                </c:pt>
                <c:pt idx="3">
                  <c:v>201.26183029965401</c:v>
                </c:pt>
                <c:pt idx="4">
                  <c:v>216.764193177327</c:v>
                </c:pt>
                <c:pt idx="5">
                  <c:v>198.39687631271201</c:v>
                </c:pt>
                <c:pt idx="6">
                  <c:v>181.263933872297</c:v>
                </c:pt>
                <c:pt idx="7">
                  <c:v>209.79331312807599</c:v>
                </c:pt>
                <c:pt idx="8">
                  <c:v>217.42331319649099</c:v>
                </c:pt>
                <c:pt idx="9">
                  <c:v>201.62568410351301</c:v>
                </c:pt>
                <c:pt idx="10">
                  <c:v>174.300222764008</c:v>
                </c:pt>
                <c:pt idx="11">
                  <c:v>178.315244243807</c:v>
                </c:pt>
                <c:pt idx="12">
                  <c:v>180.73600650326901</c:v>
                </c:pt>
                <c:pt idx="13">
                  <c:v>197.192525763502</c:v>
                </c:pt>
                <c:pt idx="14">
                  <c:v>196.818431993209</c:v>
                </c:pt>
                <c:pt idx="15">
                  <c:v>174.432727899383</c:v>
                </c:pt>
                <c:pt idx="16">
                  <c:v>193.91124444484799</c:v>
                </c:pt>
                <c:pt idx="17">
                  <c:v>172.68155794556401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3-4050-B4A1-81638486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31072"/>
        <c:axId val="664835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ShAVSxShA!$E$1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ShAVSxShA!$B$2:$B$19</c15:sqref>
                        </c15:formulaRef>
                      </c:ext>
                    </c:extLst>
                    <c:strCache>
                      <c:ptCount val="18"/>
                      <c:pt idx="0">
                        <c:v>PAC</c:v>
                      </c:pt>
                      <c:pt idx="1">
                        <c:v>SAN</c:v>
                      </c:pt>
                      <c:pt idx="2">
                        <c:v>QRO</c:v>
                      </c:pt>
                      <c:pt idx="3">
                        <c:v>TIJ</c:v>
                      </c:pt>
                      <c:pt idx="4">
                        <c:v>MAZ</c:v>
                      </c:pt>
                      <c:pt idx="5">
                        <c:v>TOL</c:v>
                      </c:pt>
                      <c:pt idx="6">
                        <c:v>TIG</c:v>
                      </c:pt>
                      <c:pt idx="7">
                        <c:v>PUM</c:v>
                      </c:pt>
                      <c:pt idx="8">
                        <c:v>JUA</c:v>
                      </c:pt>
                      <c:pt idx="9">
                        <c:v>SNL</c:v>
                      </c:pt>
                      <c:pt idx="10">
                        <c:v>MON</c:v>
                      </c:pt>
                      <c:pt idx="11">
                        <c:v>CAZ</c:v>
                      </c:pt>
                      <c:pt idx="12">
                        <c:v>LEO</c:v>
                      </c:pt>
                      <c:pt idx="13">
                        <c:v>PUE</c:v>
                      </c:pt>
                      <c:pt idx="14">
                        <c:v>NEC</c:v>
                      </c:pt>
                      <c:pt idx="15">
                        <c:v>ATL</c:v>
                      </c:pt>
                      <c:pt idx="16">
                        <c:v>CHI</c:v>
                      </c:pt>
                      <c:pt idx="17">
                        <c:v>AME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ShAVSxShA!$E$2:$E$19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1.2394862001385629</c:v>
                      </c:pt>
                      <c:pt idx="1">
                        <c:v>1.217241503077179</c:v>
                      </c:pt>
                      <c:pt idx="2">
                        <c:v>1.1982782391559241</c:v>
                      </c:pt>
                      <c:pt idx="3">
                        <c:v>1.1626645730668499</c:v>
                      </c:pt>
                      <c:pt idx="4">
                        <c:v>1.1579403236339219</c:v>
                      </c:pt>
                      <c:pt idx="5">
                        <c:v>1.1492116420251886</c:v>
                      </c:pt>
                      <c:pt idx="6">
                        <c:v>1.1088802703664555</c:v>
                      </c:pt>
                      <c:pt idx="7">
                        <c:v>1.1058503082906515</c:v>
                      </c:pt>
                      <c:pt idx="8">
                        <c:v>1.0854401790240442</c:v>
                      </c:pt>
                      <c:pt idx="9">
                        <c:v>1.0812114585961208</c:v>
                      </c:pt>
                      <c:pt idx="10">
                        <c:v>1.0785987362422405</c:v>
                      </c:pt>
                      <c:pt idx="11">
                        <c:v>1.0655286417364107</c:v>
                      </c:pt>
                      <c:pt idx="12">
                        <c:v>1.045724112514246</c:v>
                      </c:pt>
                      <c:pt idx="13">
                        <c:v>1.0446643411173759</c:v>
                      </c:pt>
                      <c:pt idx="14">
                        <c:v>1.0161649901107879</c:v>
                      </c:pt>
                      <c:pt idx="15">
                        <c:v>0.99751922758650768</c:v>
                      </c:pt>
                      <c:pt idx="16">
                        <c:v>0.95920172413158789</c:v>
                      </c:pt>
                      <c:pt idx="17">
                        <c:v>0.8107408901426143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43-4050-B4A1-8163848601A1}"/>
                  </c:ext>
                </c:extLst>
              </c15:ser>
            </c15:filteredBarSeries>
          </c:ext>
        </c:extLst>
      </c:barChart>
      <c:catAx>
        <c:axId val="6648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835336"/>
        <c:crosses val="autoZero"/>
        <c:auto val="1"/>
        <c:lblAlgn val="ctr"/>
        <c:lblOffset val="100"/>
        <c:noMultiLvlLbl val="0"/>
      </c:catAx>
      <c:valAx>
        <c:axId val="664835336"/>
        <c:scaling>
          <c:orientation val="minMax"/>
          <c:max val="32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6483107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8.png"/><Relationship Id="rId18" Type="http://schemas.openxmlformats.org/officeDocument/2006/relationships/image" Target="../media/image12.png"/><Relationship Id="rId3" Type="http://schemas.openxmlformats.org/officeDocument/2006/relationships/image" Target="../media/image19.png"/><Relationship Id="rId7" Type="http://schemas.openxmlformats.org/officeDocument/2006/relationships/image" Target="../media/image6.png"/><Relationship Id="rId12" Type="http://schemas.openxmlformats.org/officeDocument/2006/relationships/image" Target="../media/image15.png"/><Relationship Id="rId17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20.png"/><Relationship Id="rId1" Type="http://schemas.openxmlformats.org/officeDocument/2006/relationships/chart" Target="../charts/chart5.xml"/><Relationship Id="rId6" Type="http://schemas.openxmlformats.org/officeDocument/2006/relationships/image" Target="../media/image13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14.png"/><Relationship Id="rId10" Type="http://schemas.openxmlformats.org/officeDocument/2006/relationships/image" Target="../media/image1.png"/><Relationship Id="rId19" Type="http://schemas.openxmlformats.org/officeDocument/2006/relationships/image" Target="../media/image9.png"/><Relationship Id="rId4" Type="http://schemas.openxmlformats.org/officeDocument/2006/relationships/image" Target="../media/image16.png"/><Relationship Id="rId9" Type="http://schemas.openxmlformats.org/officeDocument/2006/relationships/image" Target="../media/image7.png"/><Relationship Id="rId1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chart" Target="../charts/chart6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24.png"/><Relationship Id="rId18" Type="http://schemas.openxmlformats.org/officeDocument/2006/relationships/image" Target="../media/image25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23.png"/><Relationship Id="rId17" Type="http://schemas.openxmlformats.org/officeDocument/2006/relationships/image" Target="../media/image16.png"/><Relationship Id="rId2" Type="http://schemas.openxmlformats.org/officeDocument/2006/relationships/image" Target="../media/image21.png"/><Relationship Id="rId16" Type="http://schemas.openxmlformats.org/officeDocument/2006/relationships/image" Target="../media/image15.png"/><Relationship Id="rId1" Type="http://schemas.openxmlformats.org/officeDocument/2006/relationships/chart" Target="../charts/chart7.xml"/><Relationship Id="rId6" Type="http://schemas.openxmlformats.org/officeDocument/2006/relationships/image" Target="../media/image22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645318</xdr:colOff>
      <xdr:row>0</xdr:row>
      <xdr:rowOff>0</xdr:rowOff>
    </xdr:from>
    <xdr:to>
      <xdr:col>18</xdr:col>
      <xdr:colOff>23812</xdr:colOff>
      <xdr:row>29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AD104-732A-4FDB-BE62-6A6FD2D15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304800</xdr:colOff>
      <xdr:row>10</xdr:row>
      <xdr:rowOff>80965</xdr:rowOff>
    </xdr:from>
    <xdr:to>
      <xdr:col>9</xdr:col>
      <xdr:colOff>21647</xdr:colOff>
      <xdr:row>12</xdr:row>
      <xdr:rowOff>83562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9CE12D8A-B190-4473-9E82-DC351BABF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890715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476032</xdr:colOff>
      <xdr:row>11</xdr:row>
      <xdr:rowOff>18829</xdr:rowOff>
    </xdr:from>
    <xdr:to>
      <xdr:col>8</xdr:col>
      <xdr:colOff>252195</xdr:colOff>
      <xdr:row>13</xdr:row>
      <xdr:rowOff>80742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03F7D38E-EE00-454E-B5F4-58FFFCD40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132" y="2009554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523881</xdr:colOff>
      <xdr:row>12</xdr:row>
      <xdr:rowOff>4</xdr:rowOff>
    </xdr:from>
    <xdr:to>
      <xdr:col>14</xdr:col>
      <xdr:colOff>252850</xdr:colOff>
      <xdr:row>14</xdr:row>
      <xdr:rowOff>14723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4E53C1F2-F8C9-4618-8A83-1EB57ACB4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81" y="2171704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101540</xdr:colOff>
      <xdr:row>9</xdr:row>
      <xdr:rowOff>72956</xdr:rowOff>
    </xdr:from>
    <xdr:to>
      <xdr:col>15</xdr:col>
      <xdr:colOff>487303</xdr:colOff>
      <xdr:row>11</xdr:row>
      <xdr:rowOff>96769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CAC7B107-BDAF-4430-981A-6DBC9DBC5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5240" y="1701731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473225</xdr:colOff>
      <xdr:row>13</xdr:row>
      <xdr:rowOff>20781</xdr:rowOff>
    </xdr:from>
    <xdr:to>
      <xdr:col>6</xdr:col>
      <xdr:colOff>206525</xdr:colOff>
      <xdr:row>15</xdr:row>
      <xdr:rowOff>39831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1EDA78A8-62A8-43D5-8FFF-557DA1585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925" y="2373456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56287</xdr:colOff>
      <xdr:row>11</xdr:row>
      <xdr:rowOff>75332</xdr:rowOff>
    </xdr:from>
    <xdr:to>
      <xdr:col>11</xdr:col>
      <xdr:colOff>494437</xdr:colOff>
      <xdr:row>13</xdr:row>
      <xdr:rowOff>151532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4BF78C64-AED4-4AAA-8FCF-0A075922A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9187" y="2066057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510205</xdr:colOff>
      <xdr:row>9</xdr:row>
      <xdr:rowOff>19655</xdr:rowOff>
    </xdr:from>
    <xdr:to>
      <xdr:col>10</xdr:col>
      <xdr:colOff>268270</xdr:colOff>
      <xdr:row>11</xdr:row>
      <xdr:rowOff>63470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4FC02E26-45B4-436D-834A-9CCC5614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7705" y="1648430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98038</xdr:colOff>
      <xdr:row>6</xdr:row>
      <xdr:rowOff>78973</xdr:rowOff>
    </xdr:from>
    <xdr:to>
      <xdr:col>17</xdr:col>
      <xdr:colOff>560954</xdr:colOff>
      <xdr:row>8</xdr:row>
      <xdr:rowOff>179939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4A2B6F6B-C962-4AFA-825F-34CF644D0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7138" y="1164823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513060</xdr:colOff>
      <xdr:row>7</xdr:row>
      <xdr:rowOff>93948</xdr:rowOff>
    </xdr:from>
    <xdr:to>
      <xdr:col>16</xdr:col>
      <xdr:colOff>313035</xdr:colOff>
      <xdr:row>9</xdr:row>
      <xdr:rowOff>179673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A9DA4374-6866-4B68-811B-ABD102C9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6760" y="1360773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46083</xdr:colOff>
      <xdr:row>9</xdr:row>
      <xdr:rowOff>74627</xdr:rowOff>
    </xdr:from>
    <xdr:to>
      <xdr:col>7</xdr:col>
      <xdr:colOff>499470</xdr:colOff>
      <xdr:row>11</xdr:row>
      <xdr:rowOff>166064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27D5AD90-2884-4B55-8EAF-AFF100DB9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8183" y="1703402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76655</xdr:colOff>
      <xdr:row>6</xdr:row>
      <xdr:rowOff>119481</xdr:rowOff>
    </xdr:from>
    <xdr:to>
      <xdr:col>13</xdr:col>
      <xdr:colOff>486229</xdr:colOff>
      <xdr:row>8</xdr:row>
      <xdr:rowOff>167105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A0F3A036-6E85-45DE-92DC-F7F5CEE6D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955" y="1205331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474529</xdr:colOff>
      <xdr:row>7</xdr:row>
      <xdr:rowOff>141139</xdr:rowOff>
    </xdr:from>
    <xdr:to>
      <xdr:col>12</xdr:col>
      <xdr:colOff>284030</xdr:colOff>
      <xdr:row>10</xdr:row>
      <xdr:rowOff>55415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8756EE11-28E4-41BC-9B8E-9224D549D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7429" y="1407964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296153</xdr:colOff>
      <xdr:row>8</xdr:row>
      <xdr:rowOff>91352</xdr:rowOff>
    </xdr:from>
    <xdr:to>
      <xdr:col>15</xdr:col>
      <xdr:colOff>48502</xdr:colOff>
      <xdr:row>10</xdr:row>
      <xdr:rowOff>129451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65A9185A-9702-4DBF-A5EA-D41A40D8C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2153" y="1539152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257181</xdr:colOff>
      <xdr:row>9</xdr:row>
      <xdr:rowOff>14287</xdr:rowOff>
    </xdr:from>
    <xdr:to>
      <xdr:col>11</xdr:col>
      <xdr:colOff>68412</xdr:colOff>
      <xdr:row>11</xdr:row>
      <xdr:rowOff>111268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F8706FCE-B433-47B6-9596-746D35494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81" y="1643062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46516</xdr:colOff>
      <xdr:row>9</xdr:row>
      <xdr:rowOff>51250</xdr:rowOff>
    </xdr:from>
    <xdr:to>
      <xdr:col>9</xdr:col>
      <xdr:colOff>490380</xdr:colOff>
      <xdr:row>11</xdr:row>
      <xdr:rowOff>133164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4B7E8BF1-54FC-4BE2-9E61-FFD8014FA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4016" y="1680025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307399</xdr:colOff>
      <xdr:row>7</xdr:row>
      <xdr:rowOff>121656</xdr:rowOff>
    </xdr:from>
    <xdr:to>
      <xdr:col>13</xdr:col>
      <xdr:colOff>21650</xdr:colOff>
      <xdr:row>9</xdr:row>
      <xdr:rowOff>121657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1AF51202-6A57-4AAD-A6E9-6F40CEA31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7999" y="1388481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339664</xdr:colOff>
      <xdr:row>10</xdr:row>
      <xdr:rowOff>6270</xdr:rowOff>
    </xdr:from>
    <xdr:to>
      <xdr:col>17</xdr:col>
      <xdr:colOff>58675</xdr:colOff>
      <xdr:row>12</xdr:row>
      <xdr:rowOff>11031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2B620DA1-F56C-4C3C-9515-5D6CCBF6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1064" y="1816020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283804</xdr:colOff>
      <xdr:row>13</xdr:row>
      <xdr:rowOff>169493</xdr:rowOff>
    </xdr:from>
    <xdr:to>
      <xdr:col>6</xdr:col>
      <xdr:colOff>640992</xdr:colOff>
      <xdr:row>15</xdr:row>
      <xdr:rowOff>164731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2EB02B59-FF19-4B81-ADAE-1CEA2913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8204" y="2522168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0.13171</cdr:x>
      <cdr:y>0.95301</cdr:y>
    </cdr:from>
    <cdr:to>
      <cdr:x>0.98324</cdr:x>
      <cdr:y>0.98639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D91681F-6E2F-45A3-91F1-81CAC4225FF7}"/>
            </a:ext>
          </a:extLst>
        </cdr:cNvPr>
        <cdr:cNvSpPr/>
      </cdr:nvSpPr>
      <cdr:spPr>
        <a:xfrm xmlns:a="http://schemas.openxmlformats.org/drawingml/2006/main">
          <a:off x="1197770" y="5167313"/>
          <a:ext cx="7743825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2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24FA0-73D5-4D50-BFF8-E7D366182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495297</xdr:colOff>
      <xdr:row>7</xdr:row>
      <xdr:rowOff>57150</xdr:rowOff>
    </xdr:from>
    <xdr:to>
      <xdr:col>6</xdr:col>
      <xdr:colOff>212144</xdr:colOff>
      <xdr:row>9</xdr:row>
      <xdr:rowOff>59747</xdr:rowOff>
    </xdr:to>
    <xdr:pic>
      <xdr:nvPicPr>
        <xdr:cNvPr id="4" name="Picture 3" descr="Logo&#10;&#10;Description automatically generated">
          <a:extLst>
            <a:ext uri="{FF2B5EF4-FFF2-40B4-BE49-F238E27FC236}">
              <a16:creationId xmlns:a16="http://schemas.microsoft.com/office/drawing/2014/main" id="{33DE7E20-5999-427D-B107-D92CA7DC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47" y="1323975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199802</xdr:colOff>
      <xdr:row>9</xdr:row>
      <xdr:rowOff>9303</xdr:rowOff>
    </xdr:from>
    <xdr:to>
      <xdr:col>17</xdr:col>
      <xdr:colOff>623665</xdr:colOff>
      <xdr:row>11</xdr:row>
      <xdr:rowOff>71216</xdr:rowOff>
    </xdr:to>
    <xdr:pic>
      <xdr:nvPicPr>
        <xdr:cNvPr id="5" name="Picture 4" descr="A picture containing text, clipart&#10;&#10;Description automatically generated">
          <a:extLst>
            <a:ext uri="{FF2B5EF4-FFF2-40B4-BE49-F238E27FC236}">
              <a16:creationId xmlns:a16="http://schemas.microsoft.com/office/drawing/2014/main" id="{2336C315-3DD0-4B80-916F-2F61E9DD2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252" y="1638078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19046</xdr:colOff>
      <xdr:row>13</xdr:row>
      <xdr:rowOff>104762</xdr:rowOff>
    </xdr:from>
    <xdr:to>
      <xdr:col>13</xdr:col>
      <xdr:colOff>395715</xdr:colOff>
      <xdr:row>15</xdr:row>
      <xdr:rowOff>119481</xdr:rowOff>
    </xdr:to>
    <xdr:pic>
      <xdr:nvPicPr>
        <xdr:cNvPr id="6" name="Picture 5" descr="Logo&#10;&#10;Description automatically generated">
          <a:extLst>
            <a:ext uri="{FF2B5EF4-FFF2-40B4-BE49-F238E27FC236}">
              <a16:creationId xmlns:a16="http://schemas.microsoft.com/office/drawing/2014/main" id="{3B5D359B-FA2F-469D-88BF-007A385A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696" y="2457437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549206</xdr:colOff>
      <xdr:row>9</xdr:row>
      <xdr:rowOff>44374</xdr:rowOff>
    </xdr:from>
    <xdr:to>
      <xdr:col>11</xdr:col>
      <xdr:colOff>287269</xdr:colOff>
      <xdr:row>11</xdr:row>
      <xdr:rowOff>68187</xdr:rowOff>
    </xdr:to>
    <xdr:pic>
      <xdr:nvPicPr>
        <xdr:cNvPr id="7" name="Picture 6" descr="Logo, company name&#10;&#10;Description automatically generated">
          <a:extLst>
            <a:ext uri="{FF2B5EF4-FFF2-40B4-BE49-F238E27FC236}">
              <a16:creationId xmlns:a16="http://schemas.microsoft.com/office/drawing/2014/main" id="{A90A953F-1F2B-43AE-B593-3C3236FFC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5756" y="1673149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568472</xdr:colOff>
      <xdr:row>9</xdr:row>
      <xdr:rowOff>168406</xdr:rowOff>
    </xdr:from>
    <xdr:to>
      <xdr:col>16</xdr:col>
      <xdr:colOff>301772</xdr:colOff>
      <xdr:row>12</xdr:row>
      <xdr:rowOff>6481</xdr:rowOff>
    </xdr:to>
    <xdr:pic>
      <xdr:nvPicPr>
        <xdr:cNvPr id="8" name="Picture 7" descr="Logo&#10;&#10;Description automatically generated with medium confidence">
          <a:extLst>
            <a:ext uri="{FF2B5EF4-FFF2-40B4-BE49-F238E27FC236}">
              <a16:creationId xmlns:a16="http://schemas.microsoft.com/office/drawing/2014/main" id="{0007FE22-31C5-483F-B05C-8AB919CC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3522" y="1797181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227730</xdr:colOff>
      <xdr:row>8</xdr:row>
      <xdr:rowOff>161050</xdr:rowOff>
    </xdr:from>
    <xdr:to>
      <xdr:col>10</xdr:col>
      <xdr:colOff>18180</xdr:colOff>
      <xdr:row>11</xdr:row>
      <xdr:rowOff>56275</xdr:rowOff>
    </xdr:to>
    <xdr:pic>
      <xdr:nvPicPr>
        <xdr:cNvPr id="9" name="Picture 8" descr="Logo&#10;&#10;Description automatically generated">
          <a:extLst>
            <a:ext uri="{FF2B5EF4-FFF2-40B4-BE49-F238E27FC236}">
              <a16:creationId xmlns:a16="http://schemas.microsoft.com/office/drawing/2014/main" id="{7F43C2E1-1A1E-4B88-A03C-EC56E4663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6580" y="1608850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67286</xdr:colOff>
      <xdr:row>9</xdr:row>
      <xdr:rowOff>86319</xdr:rowOff>
    </xdr:from>
    <xdr:to>
      <xdr:col>10</xdr:col>
      <xdr:colOff>473051</xdr:colOff>
      <xdr:row>11</xdr:row>
      <xdr:rowOff>130134</xdr:rowOff>
    </xdr:to>
    <xdr:pic>
      <xdr:nvPicPr>
        <xdr:cNvPr id="10" name="Picture 9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DA610815-C832-4394-948C-B435BA9A8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836" y="1715094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31353</xdr:colOff>
      <xdr:row>9</xdr:row>
      <xdr:rowOff>145644</xdr:rowOff>
    </xdr:from>
    <xdr:to>
      <xdr:col>18</xdr:col>
      <xdr:colOff>494269</xdr:colOff>
      <xdr:row>12</xdr:row>
      <xdr:rowOff>65635</xdr:rowOff>
    </xdr:to>
    <xdr:pic>
      <xdr:nvPicPr>
        <xdr:cNvPr id="11" name="Picture 10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C6ACD19E-96B2-40B2-8765-6D5A887D4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9503" y="1774419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441612</xdr:colOff>
      <xdr:row>10</xdr:row>
      <xdr:rowOff>32020</xdr:rowOff>
    </xdr:from>
    <xdr:to>
      <xdr:col>14</xdr:col>
      <xdr:colOff>241587</xdr:colOff>
      <xdr:row>12</xdr:row>
      <xdr:rowOff>117745</xdr:rowOff>
    </xdr:to>
    <xdr:pic>
      <xdr:nvPicPr>
        <xdr:cNvPr id="12" name="Picture 11" descr="A picture containing logo&#10;&#10;Description automatically generated">
          <a:extLst>
            <a:ext uri="{FF2B5EF4-FFF2-40B4-BE49-F238E27FC236}">
              <a16:creationId xmlns:a16="http://schemas.microsoft.com/office/drawing/2014/main" id="{42FBD01E-9DF5-4A9F-BF90-4019861F1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1262" y="1841770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155613</xdr:colOff>
      <xdr:row>11</xdr:row>
      <xdr:rowOff>50809</xdr:rowOff>
    </xdr:from>
    <xdr:to>
      <xdr:col>12</xdr:col>
      <xdr:colOff>609000</xdr:colOff>
      <xdr:row>13</xdr:row>
      <xdr:rowOff>142246</xdr:rowOff>
    </xdr:to>
    <xdr:pic>
      <xdr:nvPicPr>
        <xdr:cNvPr id="13" name="Picture 12" descr="A picture containing text, clipart&#10;&#10;Description automatically generated">
          <a:extLst>
            <a:ext uri="{FF2B5EF4-FFF2-40B4-BE49-F238E27FC236}">
              <a16:creationId xmlns:a16="http://schemas.microsoft.com/office/drawing/2014/main" id="{F2814C1B-2319-4A0E-B0B6-B88326F1C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7563" y="2041534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271906</xdr:colOff>
      <xdr:row>11</xdr:row>
      <xdr:rowOff>133763</xdr:rowOff>
    </xdr:from>
    <xdr:to>
      <xdr:col>15</xdr:col>
      <xdr:colOff>33780</xdr:colOff>
      <xdr:row>14</xdr:row>
      <xdr:rowOff>412</xdr:rowOff>
    </xdr:to>
    <xdr:pic>
      <xdr:nvPicPr>
        <xdr:cNvPr id="14" name="Picture 13" descr="Logo, company name&#10;&#10;Description automatically generated">
          <a:extLst>
            <a:ext uri="{FF2B5EF4-FFF2-40B4-BE49-F238E27FC236}">
              <a16:creationId xmlns:a16="http://schemas.microsoft.com/office/drawing/2014/main" id="{860BD176-E4AF-4E5D-8E13-0873241C3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9256" y="2124488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550722</xdr:colOff>
      <xdr:row>10</xdr:row>
      <xdr:rowOff>136384</xdr:rowOff>
    </xdr:from>
    <xdr:to>
      <xdr:col>8</xdr:col>
      <xdr:colOff>360223</xdr:colOff>
      <xdr:row>13</xdr:row>
      <xdr:rowOff>50660</xdr:rowOff>
    </xdr:to>
    <xdr:pic>
      <xdr:nvPicPr>
        <xdr:cNvPr id="15" name="Picture 14" descr="A picture containing text&#10;&#10;Description automatically generated">
          <a:extLst>
            <a:ext uri="{FF2B5EF4-FFF2-40B4-BE49-F238E27FC236}">
              <a16:creationId xmlns:a16="http://schemas.microsoft.com/office/drawing/2014/main" id="{2CD22663-2A7F-41E7-ACD4-616E8988C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4172" y="1946134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124694</xdr:colOff>
      <xdr:row>11</xdr:row>
      <xdr:rowOff>5629</xdr:rowOff>
    </xdr:from>
    <xdr:to>
      <xdr:col>7</xdr:col>
      <xdr:colOff>524743</xdr:colOff>
      <xdr:row>13</xdr:row>
      <xdr:rowOff>43728</xdr:rowOff>
    </xdr:to>
    <xdr:pic>
      <xdr:nvPicPr>
        <xdr:cNvPr id="16" name="Picture 15" descr="A picture containing text, clipart&#10;&#10;Description automatically generated">
          <a:extLst>
            <a:ext uri="{FF2B5EF4-FFF2-40B4-BE49-F238E27FC236}">
              <a16:creationId xmlns:a16="http://schemas.microsoft.com/office/drawing/2014/main" id="{D563A0BF-87AC-4923-8BC9-635730DC3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144" y="1996354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381000</xdr:colOff>
      <xdr:row>11</xdr:row>
      <xdr:rowOff>133342</xdr:rowOff>
    </xdr:from>
    <xdr:to>
      <xdr:col>17</xdr:col>
      <xdr:colOff>192231</xdr:colOff>
      <xdr:row>14</xdr:row>
      <xdr:rowOff>49348</xdr:rowOff>
    </xdr:to>
    <xdr:pic>
      <xdr:nvPicPr>
        <xdr:cNvPr id="17" name="Picture 16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D048C7A3-742D-4C80-90E0-4C56A6151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0" y="2124067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346547</xdr:colOff>
      <xdr:row>12</xdr:row>
      <xdr:rowOff>13142</xdr:rowOff>
    </xdr:from>
    <xdr:to>
      <xdr:col>12</xdr:col>
      <xdr:colOff>142711</xdr:colOff>
      <xdr:row>14</xdr:row>
      <xdr:rowOff>95056</xdr:rowOff>
    </xdr:to>
    <xdr:pic>
      <xdr:nvPicPr>
        <xdr:cNvPr id="18" name="Picture 17" descr="Logo&#10;&#10;Description automatically generated">
          <a:extLst>
            <a:ext uri="{FF2B5EF4-FFF2-40B4-BE49-F238E27FC236}">
              <a16:creationId xmlns:a16="http://schemas.microsoft.com/office/drawing/2014/main" id="{2AD30EE3-B6E7-438B-92C3-C0875531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797" y="2184842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416934</xdr:colOff>
      <xdr:row>12</xdr:row>
      <xdr:rowOff>45450</xdr:rowOff>
    </xdr:from>
    <xdr:to>
      <xdr:col>9</xdr:col>
      <xdr:colOff>131185</xdr:colOff>
      <xdr:row>14</xdr:row>
      <xdr:rowOff>45451</xdr:rowOff>
    </xdr:to>
    <xdr:pic>
      <xdr:nvPicPr>
        <xdr:cNvPr id="19" name="Picture 18" descr="Icon&#10;&#10;Description automatically generated">
          <a:extLst>
            <a:ext uri="{FF2B5EF4-FFF2-40B4-BE49-F238E27FC236}">
              <a16:creationId xmlns:a16="http://schemas.microsoft.com/office/drawing/2014/main" id="{0441E7BE-2CAC-410C-AAB7-E126C7187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8084" y="2217150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120579</xdr:colOff>
      <xdr:row>13</xdr:row>
      <xdr:rowOff>20558</xdr:rowOff>
    </xdr:from>
    <xdr:to>
      <xdr:col>15</xdr:col>
      <xdr:colOff>487290</xdr:colOff>
      <xdr:row>15</xdr:row>
      <xdr:rowOff>25319</xdr:rowOff>
    </xdr:to>
    <xdr:pic>
      <xdr:nvPicPr>
        <xdr:cNvPr id="20" name="Picture 19" descr="A picture containing text&#10;&#10;Description automatically generated">
          <a:extLst>
            <a:ext uri="{FF2B5EF4-FFF2-40B4-BE49-F238E27FC236}">
              <a16:creationId xmlns:a16="http://schemas.microsoft.com/office/drawing/2014/main" id="{96484E31-D9D2-45AD-A945-354DFAF0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5629" y="2373233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312374</xdr:colOff>
      <xdr:row>12</xdr:row>
      <xdr:rowOff>136150</xdr:rowOff>
    </xdr:from>
    <xdr:to>
      <xdr:col>7</xdr:col>
      <xdr:colOff>21862</xdr:colOff>
      <xdr:row>14</xdr:row>
      <xdr:rowOff>131388</xdr:rowOff>
    </xdr:to>
    <xdr:pic>
      <xdr:nvPicPr>
        <xdr:cNvPr id="21" name="Picture 20" descr="Logo&#10;&#10;Description automatically generated">
          <a:extLst>
            <a:ext uri="{FF2B5EF4-FFF2-40B4-BE49-F238E27FC236}">
              <a16:creationId xmlns:a16="http://schemas.microsoft.com/office/drawing/2014/main" id="{A00D876F-1717-46EB-ACFC-79E580E2C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8124" y="2307850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357179</xdr:colOff>
      <xdr:row>9</xdr:row>
      <xdr:rowOff>4279</xdr:rowOff>
    </xdr:from>
    <xdr:to>
      <xdr:col>6</xdr:col>
      <xdr:colOff>338134</xdr:colOff>
      <xdr:row>10</xdr:row>
      <xdr:rowOff>148105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C0E3F0D-26A2-42D9-952C-1E0473A09B83}"/>
                </a:ext>
              </a:extLst>
            </xdr:cNvPr>
            <xdr:cNvSpPr txBox="1"/>
          </xdr:nvSpPr>
          <xdr:spPr>
            <a:xfrm>
              <a:off x="3805229" y="163305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C0E3F0D-26A2-42D9-952C-1E0473A09B83}"/>
                </a:ext>
              </a:extLst>
            </xdr:cNvPr>
            <xdr:cNvSpPr txBox="1"/>
          </xdr:nvSpPr>
          <xdr:spPr>
            <a:xfrm>
              <a:off x="3805229" y="163305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+𝟔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9847FF6-02EC-4EB5-B3BB-1966E1440CFC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9847FF6-02EC-4EB5-B3BB-1966E1440CFC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E7F1A04-4F58-4C41-8467-F8F4407D4764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E7F1A04-4F58-4C41-8467-F8F4407D4764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DB2C416-1233-4885-8C46-1A1FD7C03AF9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DB2C416-1233-4885-8C46-1A1FD7C03AF9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1904D8B-77E7-4EE3-A935-8108F4F16407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1904D8B-77E7-4EE3-A935-8108F4F16407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C1B8621-8EAB-492E-8D97-03ED330C7DA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C1B8621-8EAB-492E-8D97-03ED330C7DA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595303</xdr:colOff>
      <xdr:row>11</xdr:row>
      <xdr:rowOff>109044</xdr:rowOff>
    </xdr:from>
    <xdr:to>
      <xdr:col>10</xdr:col>
      <xdr:colOff>576258</xdr:colOff>
      <xdr:row>13</xdr:row>
      <xdr:rowOff>71895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BAD6185-B931-4A78-AB2E-3DAAA0E4F87B}"/>
                </a:ext>
              </a:extLst>
            </xdr:cNvPr>
            <xdr:cNvSpPr txBox="1"/>
          </xdr:nvSpPr>
          <xdr:spPr>
            <a:xfrm>
              <a:off x="6634153" y="209976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BAD6185-B931-4A78-AB2E-3DAAA0E4F87B}"/>
                </a:ext>
              </a:extLst>
            </xdr:cNvPr>
            <xdr:cNvSpPr txBox="1"/>
          </xdr:nvSpPr>
          <xdr:spPr>
            <a:xfrm>
              <a:off x="6634153" y="209976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423863</xdr:colOff>
      <xdr:row>11</xdr:row>
      <xdr:rowOff>37614</xdr:rowOff>
    </xdr:from>
    <xdr:to>
      <xdr:col>11</xdr:col>
      <xdr:colOff>404818</xdr:colOff>
      <xdr:row>13</xdr:row>
      <xdr:rowOff>465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B04F2B30-49C1-4F30-84F9-B63E05B5DD93}"/>
                </a:ext>
              </a:extLst>
            </xdr:cNvPr>
            <xdr:cNvSpPr txBox="1"/>
          </xdr:nvSpPr>
          <xdr:spPr>
            <a:xfrm>
              <a:off x="7110413" y="202833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B04F2B30-49C1-4F30-84F9-B63E05B5DD93}"/>
                </a:ext>
              </a:extLst>
            </xdr:cNvPr>
            <xdr:cNvSpPr txBox="1"/>
          </xdr:nvSpPr>
          <xdr:spPr>
            <a:xfrm>
              <a:off x="7110413" y="202833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471485</xdr:colOff>
      <xdr:row>13</xdr:row>
      <xdr:rowOff>13809</xdr:rowOff>
    </xdr:from>
    <xdr:to>
      <xdr:col>8</xdr:col>
      <xdr:colOff>452440</xdr:colOff>
      <xdr:row>14</xdr:row>
      <xdr:rowOff>157635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DCC9583-D5CC-40C9-B831-92246EA90AB1}"/>
                </a:ext>
              </a:extLst>
            </xdr:cNvPr>
            <xdr:cNvSpPr txBox="1"/>
          </xdr:nvSpPr>
          <xdr:spPr>
            <a:xfrm>
              <a:off x="5214935" y="236648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DCC9583-D5CC-40C9-B831-92246EA90AB1}"/>
                </a:ext>
              </a:extLst>
            </xdr:cNvPr>
            <xdr:cNvSpPr txBox="1"/>
          </xdr:nvSpPr>
          <xdr:spPr>
            <a:xfrm>
              <a:off x="5214935" y="236648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9526</xdr:colOff>
      <xdr:row>13</xdr:row>
      <xdr:rowOff>9045</xdr:rowOff>
    </xdr:from>
    <xdr:to>
      <xdr:col>7</xdr:col>
      <xdr:colOff>638181</xdr:colOff>
      <xdr:row>14</xdr:row>
      <xdr:rowOff>152871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CCD756A4-C4FB-4159-92D0-5F562E1164E0}"/>
                </a:ext>
              </a:extLst>
            </xdr:cNvPr>
            <xdr:cNvSpPr txBox="1"/>
          </xdr:nvSpPr>
          <xdr:spPr>
            <a:xfrm>
              <a:off x="4752976" y="236172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CCD756A4-C4FB-4159-92D0-5F562E1164E0}"/>
                </a:ext>
              </a:extLst>
            </xdr:cNvPr>
            <xdr:cNvSpPr txBox="1"/>
          </xdr:nvSpPr>
          <xdr:spPr>
            <a:xfrm>
              <a:off x="4752976" y="236172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295275</xdr:colOff>
      <xdr:row>14</xdr:row>
      <xdr:rowOff>13795</xdr:rowOff>
    </xdr:from>
    <xdr:to>
      <xdr:col>9</xdr:col>
      <xdr:colOff>276230</xdr:colOff>
      <xdr:row>15</xdr:row>
      <xdr:rowOff>157621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B494D1EC-AF8A-4E1B-848F-A73F0DF83C4F}"/>
                </a:ext>
              </a:extLst>
            </xdr:cNvPr>
            <xdr:cNvSpPr txBox="1"/>
          </xdr:nvSpPr>
          <xdr:spPr>
            <a:xfrm>
              <a:off x="5686425" y="254744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B494D1EC-AF8A-4E1B-848F-A73F0DF83C4F}"/>
                </a:ext>
              </a:extLst>
            </xdr:cNvPr>
            <xdr:cNvSpPr txBox="1"/>
          </xdr:nvSpPr>
          <xdr:spPr>
            <a:xfrm>
              <a:off x="5686425" y="254744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171445</xdr:colOff>
      <xdr:row>14</xdr:row>
      <xdr:rowOff>94754</xdr:rowOff>
    </xdr:from>
    <xdr:to>
      <xdr:col>7</xdr:col>
      <xdr:colOff>152400</xdr:colOff>
      <xdr:row>16</xdr:row>
      <xdr:rowOff>57605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2F531091-E8C0-4A06-8F3D-EFFE4B64E667}"/>
                </a:ext>
              </a:extLst>
            </xdr:cNvPr>
            <xdr:cNvSpPr txBox="1"/>
          </xdr:nvSpPr>
          <xdr:spPr>
            <a:xfrm>
              <a:off x="4267195" y="262840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2F531091-E8C0-4A06-8F3D-EFFE4B64E667}"/>
                </a:ext>
              </a:extLst>
            </xdr:cNvPr>
            <xdr:cNvSpPr txBox="1"/>
          </xdr:nvSpPr>
          <xdr:spPr>
            <a:xfrm>
              <a:off x="4267195" y="262840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123826</xdr:colOff>
      <xdr:row>11</xdr:row>
      <xdr:rowOff>37616</xdr:rowOff>
    </xdr:from>
    <xdr:to>
      <xdr:col>10</xdr:col>
      <xdr:colOff>104781</xdr:colOff>
      <xdr:row>13</xdr:row>
      <xdr:rowOff>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8DD3A12-C8D6-441D-B3F7-28EBEE8EE42F}"/>
                </a:ext>
              </a:extLst>
            </xdr:cNvPr>
            <xdr:cNvSpPr txBox="1"/>
          </xdr:nvSpPr>
          <xdr:spPr>
            <a:xfrm>
              <a:off x="6162676" y="202834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6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8DD3A12-C8D6-441D-B3F7-28EBEE8EE42F}"/>
                </a:ext>
              </a:extLst>
            </xdr:cNvPr>
            <xdr:cNvSpPr txBox="1"/>
          </xdr:nvSpPr>
          <xdr:spPr>
            <a:xfrm>
              <a:off x="6162676" y="202834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6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100003</xdr:colOff>
      <xdr:row>11</xdr:row>
      <xdr:rowOff>42381</xdr:rowOff>
    </xdr:from>
    <xdr:to>
      <xdr:col>18</xdr:col>
      <xdr:colOff>80958</xdr:colOff>
      <xdr:row>13</xdr:row>
      <xdr:rowOff>5232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F8E6DEBD-50BB-457A-80F9-9D3543B4255E}"/>
                </a:ext>
              </a:extLst>
            </xdr:cNvPr>
            <xdr:cNvSpPr txBox="1"/>
          </xdr:nvSpPr>
          <xdr:spPr>
            <a:xfrm>
              <a:off x="11320453" y="203310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𝟕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F8E6DEBD-50BB-457A-80F9-9D3543B4255E}"/>
                </a:ext>
              </a:extLst>
            </xdr:cNvPr>
            <xdr:cNvSpPr txBox="1"/>
          </xdr:nvSpPr>
          <xdr:spPr>
            <a:xfrm>
              <a:off x="11320453" y="203310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−𝟕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623888</xdr:colOff>
      <xdr:row>15</xdr:row>
      <xdr:rowOff>13802</xdr:rowOff>
    </xdr:from>
    <xdr:to>
      <xdr:col>15</xdr:col>
      <xdr:colOff>604843</xdr:colOff>
      <xdr:row>16</xdr:row>
      <xdr:rowOff>157628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68C10BF7-D465-4560-BCE5-E088B536BB53}"/>
                </a:ext>
              </a:extLst>
            </xdr:cNvPr>
            <xdr:cNvSpPr txBox="1"/>
          </xdr:nvSpPr>
          <xdr:spPr>
            <a:xfrm>
              <a:off x="9901238" y="272842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68C10BF7-D465-4560-BCE5-E088B536BB53}"/>
                </a:ext>
              </a:extLst>
            </xdr:cNvPr>
            <xdr:cNvSpPr txBox="1"/>
          </xdr:nvSpPr>
          <xdr:spPr>
            <a:xfrm>
              <a:off x="9901238" y="272842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−𝟑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452440</xdr:colOff>
      <xdr:row>11</xdr:row>
      <xdr:rowOff>170949</xdr:rowOff>
    </xdr:from>
    <xdr:to>
      <xdr:col>16</xdr:col>
      <xdr:colOff>433395</xdr:colOff>
      <xdr:row>13</xdr:row>
      <xdr:rowOff>133800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10EAB90-B748-4141-81D2-729409DC3E87}"/>
                </a:ext>
              </a:extLst>
            </xdr:cNvPr>
            <xdr:cNvSpPr txBox="1"/>
          </xdr:nvSpPr>
          <xdr:spPr>
            <a:xfrm>
              <a:off x="10377490" y="216167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10EAB90-B748-4141-81D2-729409DC3E87}"/>
                </a:ext>
              </a:extLst>
            </xdr:cNvPr>
            <xdr:cNvSpPr txBox="1"/>
          </xdr:nvSpPr>
          <xdr:spPr>
            <a:xfrm>
              <a:off x="10377490" y="216167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180974</xdr:colOff>
      <xdr:row>13</xdr:row>
      <xdr:rowOff>147139</xdr:rowOff>
    </xdr:from>
    <xdr:to>
      <xdr:col>15</xdr:col>
      <xdr:colOff>161929</xdr:colOff>
      <xdr:row>15</xdr:row>
      <xdr:rowOff>109990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DAA3577-AA80-4C97-B997-B8D619AFFE6A}"/>
                </a:ext>
              </a:extLst>
            </xdr:cNvPr>
            <xdr:cNvSpPr txBox="1"/>
          </xdr:nvSpPr>
          <xdr:spPr>
            <a:xfrm>
              <a:off x="9458324" y="249981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DAA3577-AA80-4C97-B997-B8D619AFFE6A}"/>
                </a:ext>
              </a:extLst>
            </xdr:cNvPr>
            <xdr:cNvSpPr txBox="1"/>
          </xdr:nvSpPr>
          <xdr:spPr>
            <a:xfrm>
              <a:off x="9458324" y="249981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−𝟐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352420</xdr:colOff>
      <xdr:row>12</xdr:row>
      <xdr:rowOff>94746</xdr:rowOff>
    </xdr:from>
    <xdr:to>
      <xdr:col>14</xdr:col>
      <xdr:colOff>333375</xdr:colOff>
      <xdr:row>14</xdr:row>
      <xdr:rowOff>57597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8E90DF4-CC1F-4C43-8CBF-0979A400D330}"/>
                </a:ext>
              </a:extLst>
            </xdr:cNvPr>
            <xdr:cNvSpPr txBox="1"/>
          </xdr:nvSpPr>
          <xdr:spPr>
            <a:xfrm>
              <a:off x="8982070" y="226644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8E90DF4-CC1F-4C43-8CBF-0979A400D330}"/>
                </a:ext>
              </a:extLst>
            </xdr:cNvPr>
            <xdr:cNvSpPr txBox="1"/>
          </xdr:nvSpPr>
          <xdr:spPr>
            <a:xfrm>
              <a:off x="8982070" y="226644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538153</xdr:colOff>
      <xdr:row>15</xdr:row>
      <xdr:rowOff>113799</xdr:rowOff>
    </xdr:from>
    <xdr:to>
      <xdr:col>13</xdr:col>
      <xdr:colOff>519108</xdr:colOff>
      <xdr:row>17</xdr:row>
      <xdr:rowOff>76650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235C00D-EB68-43B0-9906-F5B350B0F070}"/>
                </a:ext>
              </a:extLst>
            </xdr:cNvPr>
            <xdr:cNvSpPr txBox="1"/>
          </xdr:nvSpPr>
          <xdr:spPr>
            <a:xfrm>
              <a:off x="8520103" y="282842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235C00D-EB68-43B0-9906-F5B350B0F070}"/>
                </a:ext>
              </a:extLst>
            </xdr:cNvPr>
            <xdr:cNvSpPr txBox="1"/>
          </xdr:nvSpPr>
          <xdr:spPr>
            <a:xfrm>
              <a:off x="8520103" y="282842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57149</xdr:colOff>
      <xdr:row>13</xdr:row>
      <xdr:rowOff>104285</xdr:rowOff>
    </xdr:from>
    <xdr:to>
      <xdr:col>13</xdr:col>
      <xdr:colOff>38104</xdr:colOff>
      <xdr:row>15</xdr:row>
      <xdr:rowOff>67136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72E40D8E-0F8F-4CCA-B348-7698EC933961}"/>
                </a:ext>
              </a:extLst>
            </xdr:cNvPr>
            <xdr:cNvSpPr txBox="1"/>
          </xdr:nvSpPr>
          <xdr:spPr>
            <a:xfrm>
              <a:off x="8039099" y="245696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MX" sz="1600" b="1">
                <a:solidFill>
                  <a:srgbClr val="002060"/>
                </a:solidFill>
              </a:endParaRPr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72E40D8E-0F8F-4CCA-B348-7698EC933961}"/>
                </a:ext>
              </a:extLst>
            </xdr:cNvPr>
            <xdr:cNvSpPr txBox="1"/>
          </xdr:nvSpPr>
          <xdr:spPr>
            <a:xfrm>
              <a:off x="8039099" y="245696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002060"/>
                  </a:solidFill>
                  <a:latin typeface="Cambria Math" panose="02040503050406030204" pitchFamily="18" charset="0"/>
                </a:rPr>
                <a:t>𝟎</a:t>
              </a:r>
              <a:endParaRPr lang="es-MX" sz="1600" b="1">
                <a:solidFill>
                  <a:srgbClr val="00206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247649</xdr:colOff>
      <xdr:row>14</xdr:row>
      <xdr:rowOff>75700</xdr:rowOff>
    </xdr:from>
    <xdr:to>
      <xdr:col>12</xdr:col>
      <xdr:colOff>228604</xdr:colOff>
      <xdr:row>16</xdr:row>
      <xdr:rowOff>38551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F580B270-B96E-4066-B269-E2DC725DF6FD}"/>
                </a:ext>
              </a:extLst>
            </xdr:cNvPr>
            <xdr:cNvSpPr txBox="1"/>
          </xdr:nvSpPr>
          <xdr:spPr>
            <a:xfrm>
              <a:off x="7581899" y="260935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002060"/>
                        </a:solidFill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MX" sz="1600" b="1">
                <a:solidFill>
                  <a:srgbClr val="002060"/>
                </a:solidFill>
              </a:endParaRP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F580B270-B96E-4066-B269-E2DC725DF6FD}"/>
                </a:ext>
              </a:extLst>
            </xdr:cNvPr>
            <xdr:cNvSpPr txBox="1"/>
          </xdr:nvSpPr>
          <xdr:spPr>
            <a:xfrm>
              <a:off x="7581899" y="260935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002060"/>
                  </a:solidFill>
                  <a:latin typeface="Cambria Math" panose="02040503050406030204" pitchFamily="18" charset="0"/>
                </a:rPr>
                <a:t>𝟎</a:t>
              </a:r>
              <a:endParaRPr lang="es-MX" sz="1600" b="1">
                <a:solidFill>
                  <a:srgbClr val="00206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585782</xdr:colOff>
      <xdr:row>12</xdr:row>
      <xdr:rowOff>51895</xdr:rowOff>
    </xdr:from>
    <xdr:to>
      <xdr:col>18</xdr:col>
      <xdr:colOff>566737</xdr:colOff>
      <xdr:row>14</xdr:row>
      <xdr:rowOff>14746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3B480BF-4D0B-4A66-8060-0E1C3F79856F}"/>
                </a:ext>
              </a:extLst>
            </xdr:cNvPr>
            <xdr:cNvSpPr txBox="1"/>
          </xdr:nvSpPr>
          <xdr:spPr>
            <a:xfrm>
              <a:off x="11806232" y="222359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3B480BF-4D0B-4A66-8060-0E1C3F79856F}"/>
                </a:ext>
              </a:extLst>
            </xdr:cNvPr>
            <xdr:cNvSpPr txBox="1"/>
          </xdr:nvSpPr>
          <xdr:spPr>
            <a:xfrm>
              <a:off x="11806232" y="222359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−𝟖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290508</xdr:colOff>
      <xdr:row>14</xdr:row>
      <xdr:rowOff>42364</xdr:rowOff>
    </xdr:from>
    <xdr:to>
      <xdr:col>17</xdr:col>
      <xdr:colOff>271463</xdr:colOff>
      <xdr:row>16</xdr:row>
      <xdr:rowOff>5215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EA44D2D8-FABB-4C63-911B-B4DC4605540C}"/>
                </a:ext>
              </a:extLst>
            </xdr:cNvPr>
            <xdr:cNvSpPr txBox="1"/>
          </xdr:nvSpPr>
          <xdr:spPr>
            <a:xfrm>
              <a:off x="10863258" y="257601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6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6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EA44D2D8-FABB-4C63-911B-B4DC4605540C}"/>
                </a:ext>
              </a:extLst>
            </xdr:cNvPr>
            <xdr:cNvSpPr txBox="1"/>
          </xdr:nvSpPr>
          <xdr:spPr>
            <a:xfrm>
              <a:off x="10863258" y="257601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6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−𝟔</a:t>
              </a:r>
              <a:endParaRPr lang="es-MX" sz="16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204793</xdr:colOff>
      <xdr:row>5</xdr:row>
      <xdr:rowOff>42105</xdr:rowOff>
    </xdr:from>
    <xdr:to>
      <xdr:col>13</xdr:col>
      <xdr:colOff>288138</xdr:colOff>
      <xdr:row>5</xdr:row>
      <xdr:rowOff>140495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3AA3411C-945B-4FEB-A2ED-AAF352388FCF}"/>
            </a:ext>
          </a:extLst>
        </xdr:cNvPr>
        <xdr:cNvSpPr/>
      </xdr:nvSpPr>
      <xdr:spPr>
        <a:xfrm>
          <a:off x="8834443" y="946980"/>
          <a:ext cx="83345" cy="98390"/>
        </a:xfrm>
        <a:prstGeom prst="triangle">
          <a:avLst>
            <a:gd name="adj" fmla="val 100000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3D0E2-8B0E-4024-B0AD-DA44C4EC3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600067</xdr:colOff>
      <xdr:row>7</xdr:row>
      <xdr:rowOff>90478</xdr:rowOff>
    </xdr:from>
    <xdr:to>
      <xdr:col>16</xdr:col>
      <xdr:colOff>316914</xdr:colOff>
      <xdr:row>9</xdr:row>
      <xdr:rowOff>93075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1F7BC33A-F613-472E-9914-2388F4786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17" y="1357303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385536</xdr:colOff>
      <xdr:row>7</xdr:row>
      <xdr:rowOff>4532</xdr:rowOff>
    </xdr:from>
    <xdr:to>
      <xdr:col>17</xdr:col>
      <xdr:colOff>161699</xdr:colOff>
      <xdr:row>9</xdr:row>
      <xdr:rowOff>66445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C2CF6425-5E2B-4770-8081-A5E9E5BA9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8286" y="1271357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552446</xdr:colOff>
      <xdr:row>10</xdr:row>
      <xdr:rowOff>147609</xdr:rowOff>
    </xdr:from>
    <xdr:to>
      <xdr:col>11</xdr:col>
      <xdr:colOff>281415</xdr:colOff>
      <xdr:row>12</xdr:row>
      <xdr:rowOff>162328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8BC6F0CF-CF2A-4B0C-BB3F-9874A88B9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8996" y="1957359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492049</xdr:colOff>
      <xdr:row>7</xdr:row>
      <xdr:rowOff>115807</xdr:rowOff>
    </xdr:from>
    <xdr:to>
      <xdr:col>14</xdr:col>
      <xdr:colOff>230112</xdr:colOff>
      <xdr:row>9</xdr:row>
      <xdr:rowOff>139620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391A5783-1DF8-413E-9674-C429E5708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1699" y="1382632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58883</xdr:colOff>
      <xdr:row>7</xdr:row>
      <xdr:rowOff>158878</xdr:rowOff>
    </xdr:from>
    <xdr:to>
      <xdr:col>10</xdr:col>
      <xdr:colOff>439883</xdr:colOff>
      <xdr:row>9</xdr:row>
      <xdr:rowOff>177928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A781B923-A84E-4116-956D-0DBC5D99D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5433" y="1425703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151529</xdr:colOff>
      <xdr:row>7</xdr:row>
      <xdr:rowOff>146754</xdr:rowOff>
    </xdr:from>
    <xdr:to>
      <xdr:col>12</xdr:col>
      <xdr:colOff>589679</xdr:colOff>
      <xdr:row>10</xdr:row>
      <xdr:rowOff>41979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24B6C8EA-2435-4A9D-9695-7C31D57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3479" y="1413579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476863</xdr:colOff>
      <xdr:row>7</xdr:row>
      <xdr:rowOff>29168</xdr:rowOff>
    </xdr:from>
    <xdr:to>
      <xdr:col>6</xdr:col>
      <xdr:colOff>234928</xdr:colOff>
      <xdr:row>9</xdr:row>
      <xdr:rowOff>72983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DED9ABC4-D85C-44D9-8EF9-A63DBEBEB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913" y="1295993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288532</xdr:colOff>
      <xdr:row>7</xdr:row>
      <xdr:rowOff>155156</xdr:rowOff>
    </xdr:from>
    <xdr:to>
      <xdr:col>15</xdr:col>
      <xdr:colOff>103748</xdr:colOff>
      <xdr:row>10</xdr:row>
      <xdr:rowOff>75147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532BC9C3-FAC3-417A-87C4-05684F533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5882" y="1421981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408276</xdr:colOff>
      <xdr:row>7</xdr:row>
      <xdr:rowOff>174888</xdr:rowOff>
    </xdr:from>
    <xdr:to>
      <xdr:col>9</xdr:col>
      <xdr:colOff>208251</xdr:colOff>
      <xdr:row>10</xdr:row>
      <xdr:rowOff>79638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D17E8466-C4C6-40F8-8548-D499551FF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9426" y="1441713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36548</xdr:colOff>
      <xdr:row>9</xdr:row>
      <xdr:rowOff>26990</xdr:rowOff>
    </xdr:from>
    <xdr:to>
      <xdr:col>18</xdr:col>
      <xdr:colOff>489935</xdr:colOff>
      <xdr:row>11</xdr:row>
      <xdr:rowOff>118427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DF007D77-AA38-4765-8774-598BDC2B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4698" y="1655765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95693</xdr:colOff>
      <xdr:row>9</xdr:row>
      <xdr:rowOff>100417</xdr:rowOff>
    </xdr:from>
    <xdr:to>
      <xdr:col>15</xdr:col>
      <xdr:colOff>505267</xdr:colOff>
      <xdr:row>11</xdr:row>
      <xdr:rowOff>148041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A6A51AD4-0B28-4EB3-9D05-49EFBEA6E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743" y="1729192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250689</xdr:colOff>
      <xdr:row>8</xdr:row>
      <xdr:rowOff>126832</xdr:rowOff>
    </xdr:from>
    <xdr:to>
      <xdr:col>7</xdr:col>
      <xdr:colOff>60190</xdr:colOff>
      <xdr:row>11</xdr:row>
      <xdr:rowOff>41108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77F036C8-DA39-412D-BC04-7F02CA7B5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6439" y="1574632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871</xdr:colOff>
      <xdr:row>9</xdr:row>
      <xdr:rowOff>143712</xdr:rowOff>
    </xdr:from>
    <xdr:to>
      <xdr:col>13</xdr:col>
      <xdr:colOff>400920</xdr:colOff>
      <xdr:row>12</xdr:row>
      <xdr:rowOff>836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2B1FD74E-3596-45E2-BA75-79D13F7F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0521" y="1772487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328620</xdr:colOff>
      <xdr:row>9</xdr:row>
      <xdr:rowOff>114282</xdr:rowOff>
    </xdr:from>
    <xdr:to>
      <xdr:col>12</xdr:col>
      <xdr:colOff>139851</xdr:colOff>
      <xdr:row>12</xdr:row>
      <xdr:rowOff>30288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C2ED0F0A-A524-41F1-AC03-977D2B32B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2870" y="1743057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584672</xdr:colOff>
      <xdr:row>9</xdr:row>
      <xdr:rowOff>136957</xdr:rowOff>
    </xdr:from>
    <xdr:to>
      <xdr:col>8</xdr:col>
      <xdr:colOff>380836</xdr:colOff>
      <xdr:row>12</xdr:row>
      <xdr:rowOff>37896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9D2522B4-6608-496D-A591-85B07158B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8122" y="1765732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245484</xdr:colOff>
      <xdr:row>10</xdr:row>
      <xdr:rowOff>112106</xdr:rowOff>
    </xdr:from>
    <xdr:to>
      <xdr:col>9</xdr:col>
      <xdr:colOff>607435</xdr:colOff>
      <xdr:row>12</xdr:row>
      <xdr:rowOff>112107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17CE5C63-3F9B-4899-9663-EE4F34181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4334" y="1921856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258688</xdr:colOff>
      <xdr:row>10</xdr:row>
      <xdr:rowOff>130080</xdr:rowOff>
    </xdr:from>
    <xdr:to>
      <xdr:col>17</xdr:col>
      <xdr:colOff>625399</xdr:colOff>
      <xdr:row>12</xdr:row>
      <xdr:rowOff>134841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FB710C6C-CD9C-46C5-85E2-A5907E943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9138" y="1939830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155211</xdr:colOff>
      <xdr:row>11</xdr:row>
      <xdr:rowOff>2794</xdr:rowOff>
    </xdr:from>
    <xdr:to>
      <xdr:col>7</xdr:col>
      <xdr:colOff>512399</xdr:colOff>
      <xdr:row>12</xdr:row>
      <xdr:rowOff>179007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34C86DE3-21FC-4E44-B191-E3762AF52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661" y="1993519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15</xdr:col>
      <xdr:colOff>461949</xdr:colOff>
      <xdr:row>9</xdr:row>
      <xdr:rowOff>37607</xdr:rowOff>
    </xdr:from>
    <xdr:to>
      <xdr:col>16</xdr:col>
      <xdr:colOff>442904</xdr:colOff>
      <xdr:row>11</xdr:row>
      <xdr:rowOff>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BCE4CBB-1C6A-439C-BC3B-1624EB997079}"/>
                </a:ext>
              </a:extLst>
            </xdr:cNvPr>
            <xdr:cNvSpPr txBox="1"/>
          </xdr:nvSpPr>
          <xdr:spPr>
            <a:xfrm>
              <a:off x="10386999" y="166638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BCE4CBB-1C6A-439C-BC3B-1624EB997079}"/>
                </a:ext>
              </a:extLst>
            </xdr:cNvPr>
            <xdr:cNvSpPr txBox="1"/>
          </xdr:nvSpPr>
          <xdr:spPr>
            <a:xfrm>
              <a:off x="10386999" y="166638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467EE35-B253-4C9E-903F-12EE13EB095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467EE35-B253-4C9E-903F-12EE13EB095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FF98F27-7D8B-46E1-9C24-BB3F8C729982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FF98F27-7D8B-46E1-9C24-BB3F8C729982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C19D370-4F53-4308-A137-503D214CC25D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C19D370-4F53-4308-A137-503D214CC25D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DD531E8-ADD0-4242-8671-0F4D8BD70D48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DD531E8-ADD0-4242-8671-0F4D8BD70D48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D65C9E6-8B83-44CE-ABB0-361CB1351510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D65C9E6-8B83-44CE-ABB0-361CB1351510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357180</xdr:colOff>
      <xdr:row>9</xdr:row>
      <xdr:rowOff>51893</xdr:rowOff>
    </xdr:from>
    <xdr:to>
      <xdr:col>6</xdr:col>
      <xdr:colOff>338135</xdr:colOff>
      <xdr:row>11</xdr:row>
      <xdr:rowOff>14744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04797D6-CD35-489B-9464-EE8933C467AC}"/>
                </a:ext>
              </a:extLst>
            </xdr:cNvPr>
            <xdr:cNvSpPr txBox="1"/>
          </xdr:nvSpPr>
          <xdr:spPr>
            <a:xfrm>
              <a:off x="3805230" y="168066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04797D6-CD35-489B-9464-EE8933C467AC}"/>
                </a:ext>
              </a:extLst>
            </xdr:cNvPr>
            <xdr:cNvSpPr txBox="1"/>
          </xdr:nvSpPr>
          <xdr:spPr>
            <a:xfrm>
              <a:off x="3805230" y="168066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366706</xdr:colOff>
      <xdr:row>9</xdr:row>
      <xdr:rowOff>109047</xdr:rowOff>
    </xdr:from>
    <xdr:to>
      <xdr:col>14</xdr:col>
      <xdr:colOff>347661</xdr:colOff>
      <xdr:row>11</xdr:row>
      <xdr:rowOff>71898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00B9593-579B-413D-B489-3F9D473CA08A}"/>
                </a:ext>
              </a:extLst>
            </xdr:cNvPr>
            <xdr:cNvSpPr txBox="1"/>
          </xdr:nvSpPr>
          <xdr:spPr>
            <a:xfrm>
              <a:off x="8996356" y="173782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00B9593-579B-413D-B489-3F9D473CA08A}"/>
                </a:ext>
              </a:extLst>
            </xdr:cNvPr>
            <xdr:cNvSpPr txBox="1"/>
          </xdr:nvSpPr>
          <xdr:spPr>
            <a:xfrm>
              <a:off x="8996356" y="1737822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171452</xdr:colOff>
      <xdr:row>11</xdr:row>
      <xdr:rowOff>13783</xdr:rowOff>
    </xdr:from>
    <xdr:to>
      <xdr:col>7</xdr:col>
      <xdr:colOff>152407</xdr:colOff>
      <xdr:row>12</xdr:row>
      <xdr:rowOff>157609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A99BDBB-D543-426D-BA23-710000D71380}"/>
                </a:ext>
              </a:extLst>
            </xdr:cNvPr>
            <xdr:cNvSpPr txBox="1"/>
          </xdr:nvSpPr>
          <xdr:spPr>
            <a:xfrm>
              <a:off x="4267202" y="200450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A99BDBB-D543-426D-BA23-710000D71380}"/>
                </a:ext>
              </a:extLst>
            </xdr:cNvPr>
            <xdr:cNvSpPr txBox="1"/>
          </xdr:nvSpPr>
          <xdr:spPr>
            <a:xfrm>
              <a:off x="4267202" y="200450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533403</xdr:colOff>
      <xdr:row>11</xdr:row>
      <xdr:rowOff>147128</xdr:rowOff>
    </xdr:from>
    <xdr:to>
      <xdr:col>13</xdr:col>
      <xdr:colOff>514358</xdr:colOff>
      <xdr:row>13</xdr:row>
      <xdr:rowOff>109979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3665063-D8B0-4FDC-A702-A6F2F80BAACF}"/>
                </a:ext>
              </a:extLst>
            </xdr:cNvPr>
            <xdr:cNvSpPr txBox="1"/>
          </xdr:nvSpPr>
          <xdr:spPr>
            <a:xfrm>
              <a:off x="8515353" y="2137853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3665063-D8B0-4FDC-A702-A6F2F80BAACF}"/>
                </a:ext>
              </a:extLst>
            </xdr:cNvPr>
            <xdr:cNvSpPr txBox="1"/>
          </xdr:nvSpPr>
          <xdr:spPr>
            <a:xfrm>
              <a:off x="8515353" y="2137853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123825</xdr:colOff>
      <xdr:row>12</xdr:row>
      <xdr:rowOff>80451</xdr:rowOff>
    </xdr:from>
    <xdr:to>
      <xdr:col>10</xdr:col>
      <xdr:colOff>104780</xdr:colOff>
      <xdr:row>14</xdr:row>
      <xdr:rowOff>43302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C9E18DF5-3804-4E3E-A420-08BFFDE150B7}"/>
                </a:ext>
              </a:extLst>
            </xdr:cNvPr>
            <xdr:cNvSpPr txBox="1"/>
          </xdr:nvSpPr>
          <xdr:spPr>
            <a:xfrm>
              <a:off x="6162675" y="225215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C9E18DF5-3804-4E3E-A420-08BFFDE150B7}"/>
                </a:ext>
              </a:extLst>
            </xdr:cNvPr>
            <xdr:cNvSpPr txBox="1"/>
          </xdr:nvSpPr>
          <xdr:spPr>
            <a:xfrm>
              <a:off x="6162675" y="2252151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14282</xdr:colOff>
      <xdr:row>12</xdr:row>
      <xdr:rowOff>151899</xdr:rowOff>
    </xdr:from>
    <xdr:to>
      <xdr:col>7</xdr:col>
      <xdr:colOff>642937</xdr:colOff>
      <xdr:row>14</xdr:row>
      <xdr:rowOff>114750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66AFF5C-775C-4353-A897-3BE7420E8711}"/>
                </a:ext>
              </a:extLst>
            </xdr:cNvPr>
            <xdr:cNvSpPr txBox="1"/>
          </xdr:nvSpPr>
          <xdr:spPr>
            <a:xfrm>
              <a:off x="4757732" y="232359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MX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66AFF5C-775C-4353-A897-3BE7420E8711}"/>
                </a:ext>
              </a:extLst>
            </xdr:cNvPr>
            <xdr:cNvSpPr txBox="1"/>
          </xdr:nvSpPr>
          <xdr:spPr>
            <a:xfrm>
              <a:off x="4757732" y="232359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</a:t>
              </a:r>
              <a:endParaRPr lang="es-MX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47625</xdr:colOff>
      <xdr:row>10</xdr:row>
      <xdr:rowOff>13794</xdr:rowOff>
    </xdr:from>
    <xdr:to>
      <xdr:col>13</xdr:col>
      <xdr:colOff>28580</xdr:colOff>
      <xdr:row>11</xdr:row>
      <xdr:rowOff>157620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DD9477-68EB-4256-8CC2-7F92D590A9CE}"/>
                </a:ext>
              </a:extLst>
            </xdr:cNvPr>
            <xdr:cNvSpPr txBox="1"/>
          </xdr:nvSpPr>
          <xdr:spPr>
            <a:xfrm>
              <a:off x="8029575" y="182354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DD9477-68EB-4256-8CC2-7F92D590A9CE}"/>
                </a:ext>
              </a:extLst>
            </xdr:cNvPr>
            <xdr:cNvSpPr txBox="1"/>
          </xdr:nvSpPr>
          <xdr:spPr>
            <a:xfrm>
              <a:off x="8029575" y="182354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285737</xdr:colOff>
      <xdr:row>9</xdr:row>
      <xdr:rowOff>37610</xdr:rowOff>
    </xdr:from>
    <xdr:to>
      <xdr:col>17</xdr:col>
      <xdr:colOff>266692</xdr:colOff>
      <xdr:row>11</xdr:row>
      <xdr:rowOff>461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4BB6D03-8B8D-454D-AB88-2E5F6562A046}"/>
                </a:ext>
              </a:extLst>
            </xdr:cNvPr>
            <xdr:cNvSpPr txBox="1"/>
          </xdr:nvSpPr>
          <xdr:spPr>
            <a:xfrm>
              <a:off x="10858487" y="166638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4BB6D03-8B8D-454D-AB88-2E5F6562A046}"/>
                </a:ext>
              </a:extLst>
            </xdr:cNvPr>
            <xdr:cNvSpPr txBox="1"/>
          </xdr:nvSpPr>
          <xdr:spPr>
            <a:xfrm>
              <a:off x="10858487" y="1666385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−𝟖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114297</xdr:colOff>
      <xdr:row>12</xdr:row>
      <xdr:rowOff>123324</xdr:rowOff>
    </xdr:from>
    <xdr:to>
      <xdr:col>18</xdr:col>
      <xdr:colOff>95252</xdr:colOff>
      <xdr:row>14</xdr:row>
      <xdr:rowOff>86175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3822E46-4DAA-44B7-9975-829192C3AFFE}"/>
                </a:ext>
              </a:extLst>
            </xdr:cNvPr>
            <xdr:cNvSpPr txBox="1"/>
          </xdr:nvSpPr>
          <xdr:spPr>
            <a:xfrm>
              <a:off x="11334747" y="229502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3822E46-4DAA-44B7-9975-829192C3AFFE}"/>
                </a:ext>
              </a:extLst>
            </xdr:cNvPr>
            <xdr:cNvSpPr txBox="1"/>
          </xdr:nvSpPr>
          <xdr:spPr>
            <a:xfrm>
              <a:off x="11334747" y="2295024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−𝟖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590551</xdr:colOff>
      <xdr:row>9</xdr:row>
      <xdr:rowOff>161421</xdr:rowOff>
    </xdr:from>
    <xdr:to>
      <xdr:col>10</xdr:col>
      <xdr:colOff>571506</xdr:colOff>
      <xdr:row>11</xdr:row>
      <xdr:rowOff>124272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11A8600E-423D-459D-B22C-5C6790263AC6}"/>
                </a:ext>
              </a:extLst>
            </xdr:cNvPr>
            <xdr:cNvSpPr txBox="1"/>
          </xdr:nvSpPr>
          <xdr:spPr>
            <a:xfrm>
              <a:off x="6629401" y="179019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11A8600E-423D-459D-B22C-5C6790263AC6}"/>
                </a:ext>
              </a:extLst>
            </xdr:cNvPr>
            <xdr:cNvSpPr txBox="1"/>
          </xdr:nvSpPr>
          <xdr:spPr>
            <a:xfrm>
              <a:off x="6629401" y="179019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4761</xdr:colOff>
      <xdr:row>11</xdr:row>
      <xdr:rowOff>113793</xdr:rowOff>
    </xdr:from>
    <xdr:to>
      <xdr:col>15</xdr:col>
      <xdr:colOff>633416</xdr:colOff>
      <xdr:row>13</xdr:row>
      <xdr:rowOff>76644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AB70C4DF-AA10-439D-AE67-45065273E13C}"/>
                </a:ext>
              </a:extLst>
            </xdr:cNvPr>
            <xdr:cNvSpPr txBox="1"/>
          </xdr:nvSpPr>
          <xdr:spPr>
            <a:xfrm>
              <a:off x="9929811" y="210451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AB70C4DF-AA10-439D-AE67-45065273E13C}"/>
                </a:ext>
              </a:extLst>
            </xdr:cNvPr>
            <xdr:cNvSpPr txBox="1"/>
          </xdr:nvSpPr>
          <xdr:spPr>
            <a:xfrm>
              <a:off x="9929811" y="2104518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319084</xdr:colOff>
      <xdr:row>10</xdr:row>
      <xdr:rowOff>56639</xdr:rowOff>
    </xdr:from>
    <xdr:to>
      <xdr:col>9</xdr:col>
      <xdr:colOff>300039</xdr:colOff>
      <xdr:row>12</xdr:row>
      <xdr:rowOff>19490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F95490E9-2A13-430D-9B2B-F51C31F6AE03}"/>
                </a:ext>
              </a:extLst>
            </xdr:cNvPr>
            <xdr:cNvSpPr txBox="1"/>
          </xdr:nvSpPr>
          <xdr:spPr>
            <a:xfrm>
              <a:off x="5710234" y="186638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F95490E9-2A13-430D-9B2B-F51C31F6AE03}"/>
                </a:ext>
              </a:extLst>
            </xdr:cNvPr>
            <xdr:cNvSpPr txBox="1"/>
          </xdr:nvSpPr>
          <xdr:spPr>
            <a:xfrm>
              <a:off x="5710234" y="1866389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423853</xdr:colOff>
      <xdr:row>12</xdr:row>
      <xdr:rowOff>156646</xdr:rowOff>
    </xdr:from>
    <xdr:to>
      <xdr:col>11</xdr:col>
      <xdr:colOff>404808</xdr:colOff>
      <xdr:row>14</xdr:row>
      <xdr:rowOff>119497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126F96B7-36A3-4C86-B8A9-F7DF297FCF1A}"/>
                </a:ext>
              </a:extLst>
            </xdr:cNvPr>
            <xdr:cNvSpPr txBox="1"/>
          </xdr:nvSpPr>
          <xdr:spPr>
            <a:xfrm>
              <a:off x="7110403" y="232834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126F96B7-36A3-4C86-B8A9-F7DF297FCF1A}"/>
                </a:ext>
              </a:extLst>
            </xdr:cNvPr>
            <xdr:cNvSpPr txBox="1"/>
          </xdr:nvSpPr>
          <xdr:spPr>
            <a:xfrm>
              <a:off x="7110403" y="232834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585784</xdr:colOff>
      <xdr:row>11</xdr:row>
      <xdr:rowOff>89992</xdr:rowOff>
    </xdr:from>
    <xdr:to>
      <xdr:col>18</xdr:col>
      <xdr:colOff>566739</xdr:colOff>
      <xdr:row>13</xdr:row>
      <xdr:rowOff>52843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CE412CC-BF77-4A55-B9F1-680261F16FC9}"/>
                </a:ext>
              </a:extLst>
            </xdr:cNvPr>
            <xdr:cNvSpPr txBox="1"/>
          </xdr:nvSpPr>
          <xdr:spPr>
            <a:xfrm>
              <a:off x="11806234" y="208071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ECE412CC-BF77-4A55-B9F1-680261F16FC9}"/>
                </a:ext>
              </a:extLst>
            </xdr:cNvPr>
            <xdr:cNvSpPr txBox="1"/>
          </xdr:nvSpPr>
          <xdr:spPr>
            <a:xfrm>
              <a:off x="11806234" y="208071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−𝟗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485774</xdr:colOff>
      <xdr:row>12</xdr:row>
      <xdr:rowOff>18540</xdr:rowOff>
    </xdr:from>
    <xdr:to>
      <xdr:col>8</xdr:col>
      <xdr:colOff>466729</xdr:colOff>
      <xdr:row>13</xdr:row>
      <xdr:rowOff>162366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6709381-4DA6-42F5-9228-EA8C33507667}"/>
                </a:ext>
              </a:extLst>
            </xdr:cNvPr>
            <xdr:cNvSpPr txBox="1"/>
          </xdr:nvSpPr>
          <xdr:spPr>
            <a:xfrm>
              <a:off x="5229224" y="219024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6709381-4DA6-42F5-9228-EA8C33507667}"/>
                </a:ext>
              </a:extLst>
            </xdr:cNvPr>
            <xdr:cNvSpPr txBox="1"/>
          </xdr:nvSpPr>
          <xdr:spPr>
            <a:xfrm>
              <a:off x="5229224" y="2190240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195261</xdr:colOff>
      <xdr:row>10</xdr:row>
      <xdr:rowOff>61407</xdr:rowOff>
    </xdr:from>
    <xdr:to>
      <xdr:col>15</xdr:col>
      <xdr:colOff>176216</xdr:colOff>
      <xdr:row>12</xdr:row>
      <xdr:rowOff>24258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2ABB6ABB-2607-4924-B002-4BFFD22DF16B}"/>
                </a:ext>
              </a:extLst>
            </xdr:cNvPr>
            <xdr:cNvSpPr txBox="1"/>
          </xdr:nvSpPr>
          <xdr:spPr>
            <a:xfrm>
              <a:off x="9472611" y="187115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2ABB6ABB-2607-4924-B002-4BFFD22DF16B}"/>
                </a:ext>
              </a:extLst>
            </xdr:cNvPr>
            <xdr:cNvSpPr txBox="1"/>
          </xdr:nvSpPr>
          <xdr:spPr>
            <a:xfrm>
              <a:off x="9472611" y="1871157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238128</xdr:colOff>
      <xdr:row>11</xdr:row>
      <xdr:rowOff>175701</xdr:rowOff>
    </xdr:from>
    <xdr:to>
      <xdr:col>12</xdr:col>
      <xdr:colOff>219083</xdr:colOff>
      <xdr:row>13</xdr:row>
      <xdr:rowOff>138552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DE5C36B9-8598-4BD1-A4A5-7586E398EC06}"/>
                </a:ext>
              </a:extLst>
            </xdr:cNvPr>
            <xdr:cNvSpPr txBox="1"/>
          </xdr:nvSpPr>
          <xdr:spPr>
            <a:xfrm>
              <a:off x="7572378" y="216642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𝟒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DE5C36B9-8598-4BD1-A4A5-7586E398EC06}"/>
                </a:ext>
              </a:extLst>
            </xdr:cNvPr>
            <xdr:cNvSpPr txBox="1"/>
          </xdr:nvSpPr>
          <xdr:spPr>
            <a:xfrm>
              <a:off x="7572378" y="2166426"/>
              <a:ext cx="628655" cy="324801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−𝟒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481014</xdr:colOff>
      <xdr:row>5</xdr:row>
      <xdr:rowOff>47625</xdr:rowOff>
    </xdr:from>
    <xdr:to>
      <xdr:col>13</xdr:col>
      <xdr:colOff>564359</xdr:colOff>
      <xdr:row>5</xdr:row>
      <xdr:rowOff>146015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CE6AEF51-7BD8-43FC-85C4-895FD462A106}"/>
            </a:ext>
          </a:extLst>
        </xdr:cNvPr>
        <xdr:cNvSpPr/>
      </xdr:nvSpPr>
      <xdr:spPr>
        <a:xfrm>
          <a:off x="9110664" y="952500"/>
          <a:ext cx="83345" cy="98390"/>
        </a:xfrm>
        <a:prstGeom prst="triangle">
          <a:avLst>
            <a:gd name="adj" fmla="val 100000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</xdr:colOff>
      <xdr:row>0</xdr:row>
      <xdr:rowOff>0</xdr:rowOff>
    </xdr:from>
    <xdr:to>
      <xdr:col>19</xdr:col>
      <xdr:colOff>638175</xdr:colOff>
      <xdr:row>29</xdr:row>
      <xdr:rowOff>159544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E3157-531B-4596-A32C-32C22DA31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147625</xdr:colOff>
      <xdr:row>11</xdr:row>
      <xdr:rowOff>9504</xdr:rowOff>
    </xdr:from>
    <xdr:to>
      <xdr:col>8</xdr:col>
      <xdr:colOff>512172</xdr:colOff>
      <xdr:row>13</xdr:row>
      <xdr:rowOff>12101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894E8849-1012-4334-A44B-5B0E45D22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8775" y="2000229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452216</xdr:colOff>
      <xdr:row>10</xdr:row>
      <xdr:rowOff>95003</xdr:rowOff>
    </xdr:from>
    <xdr:to>
      <xdr:col>15</xdr:col>
      <xdr:colOff>228379</xdr:colOff>
      <xdr:row>12</xdr:row>
      <xdr:rowOff>156916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91D3AF08-F57C-4277-B906-1B2ED526A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9566" y="1904753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14285</xdr:colOff>
      <xdr:row>6</xdr:row>
      <xdr:rowOff>109519</xdr:rowOff>
    </xdr:from>
    <xdr:to>
      <xdr:col>14</xdr:col>
      <xdr:colOff>390954</xdr:colOff>
      <xdr:row>8</xdr:row>
      <xdr:rowOff>124238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ED503677-6B72-4BF0-8FB1-B340D1A4C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1635" y="1195369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311081</xdr:colOff>
      <xdr:row>10</xdr:row>
      <xdr:rowOff>101514</xdr:rowOff>
    </xdr:from>
    <xdr:to>
      <xdr:col>8</xdr:col>
      <xdr:colOff>49144</xdr:colOff>
      <xdr:row>12</xdr:row>
      <xdr:rowOff>125327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ECE5C865-F443-4321-89D4-2E657D58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4531" y="1911264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287484</xdr:colOff>
      <xdr:row>10</xdr:row>
      <xdr:rowOff>77912</xdr:rowOff>
    </xdr:from>
    <xdr:to>
      <xdr:col>16</xdr:col>
      <xdr:colOff>20784</xdr:colOff>
      <xdr:row>12</xdr:row>
      <xdr:rowOff>96962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0594E071-F57A-4742-AC91-2DF24D57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2534" y="1887662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41992</xdr:colOff>
      <xdr:row>9</xdr:row>
      <xdr:rowOff>156272</xdr:rowOff>
    </xdr:from>
    <xdr:to>
      <xdr:col>11</xdr:col>
      <xdr:colOff>480142</xdr:colOff>
      <xdr:row>12</xdr:row>
      <xdr:rowOff>51497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A6C496BC-F64C-41D3-BD2D-A11B1CA20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242" y="1785047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238739</xdr:colOff>
      <xdr:row>9</xdr:row>
      <xdr:rowOff>167269</xdr:rowOff>
    </xdr:from>
    <xdr:to>
      <xdr:col>10</xdr:col>
      <xdr:colOff>644504</xdr:colOff>
      <xdr:row>12</xdr:row>
      <xdr:rowOff>30109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BCEB6CC6-846F-4760-8B41-0F64B8267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5289" y="1796044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193281</xdr:colOff>
      <xdr:row>8</xdr:row>
      <xdr:rowOff>174205</xdr:rowOff>
    </xdr:from>
    <xdr:to>
      <xdr:col>19</xdr:col>
      <xdr:colOff>8497</xdr:colOff>
      <xdr:row>11</xdr:row>
      <xdr:rowOff>94196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FF576B89-F8EB-4849-8948-D310D75D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1431" y="1622005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513050</xdr:colOff>
      <xdr:row>9</xdr:row>
      <xdr:rowOff>51064</xdr:rowOff>
    </xdr:from>
    <xdr:to>
      <xdr:col>12</xdr:col>
      <xdr:colOff>313025</xdr:colOff>
      <xdr:row>11</xdr:row>
      <xdr:rowOff>136789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24939885-37C4-4B0B-951C-18B4AC53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7300" y="1679839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455649</xdr:colOff>
      <xdr:row>8</xdr:row>
      <xdr:rowOff>126997</xdr:rowOff>
    </xdr:from>
    <xdr:to>
      <xdr:col>7</xdr:col>
      <xdr:colOff>261336</xdr:colOff>
      <xdr:row>11</xdr:row>
      <xdr:rowOff>37459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086EF6F4-CBA6-48AD-BA5D-B60404D6A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1399" y="1574797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557658</xdr:colOff>
      <xdr:row>8</xdr:row>
      <xdr:rowOff>119468</xdr:rowOff>
    </xdr:from>
    <xdr:to>
      <xdr:col>17</xdr:col>
      <xdr:colOff>319532</xdr:colOff>
      <xdr:row>10</xdr:row>
      <xdr:rowOff>167092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615EC74F-E08C-4216-BF88-5A86CB719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0408" y="1567268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84001</xdr:colOff>
      <xdr:row>8</xdr:row>
      <xdr:rowOff>50627</xdr:rowOff>
    </xdr:from>
    <xdr:to>
      <xdr:col>16</xdr:col>
      <xdr:colOff>541202</xdr:colOff>
      <xdr:row>10</xdr:row>
      <xdr:rowOff>145878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22DC6DA2-DC66-4952-8549-B543577AC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6751" y="1498427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596177</xdr:colOff>
      <xdr:row>8</xdr:row>
      <xdr:rowOff>100850</xdr:rowOff>
    </xdr:from>
    <xdr:to>
      <xdr:col>9</xdr:col>
      <xdr:colOff>348526</xdr:colOff>
      <xdr:row>10</xdr:row>
      <xdr:rowOff>138949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01D63D8E-A734-4836-B055-3952F7E21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7327" y="1548650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23816</xdr:colOff>
      <xdr:row>6</xdr:row>
      <xdr:rowOff>90479</xdr:rowOff>
    </xdr:from>
    <xdr:to>
      <xdr:col>19</xdr:col>
      <xdr:colOff>482747</xdr:colOff>
      <xdr:row>9</xdr:row>
      <xdr:rowOff>6485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941F7C43-4D08-474C-9698-B4C2837FF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9666" y="1176329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389411</xdr:colOff>
      <xdr:row>7</xdr:row>
      <xdr:rowOff>170291</xdr:rowOff>
    </xdr:from>
    <xdr:to>
      <xdr:col>18</xdr:col>
      <xdr:colOff>185575</xdr:colOff>
      <xdr:row>10</xdr:row>
      <xdr:rowOff>71230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D63F4EB4-EEAD-4664-A51D-E1B8CCF47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9861" y="1437116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178806</xdr:colOff>
      <xdr:row>7</xdr:row>
      <xdr:rowOff>154978</xdr:rowOff>
    </xdr:from>
    <xdr:to>
      <xdr:col>13</xdr:col>
      <xdr:colOff>540757</xdr:colOff>
      <xdr:row>9</xdr:row>
      <xdr:rowOff>154979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00342173-23F5-4636-8966-9B4B438EB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8456" y="1421803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430142</xdr:colOff>
      <xdr:row>7</xdr:row>
      <xdr:rowOff>120554</xdr:rowOff>
    </xdr:from>
    <xdr:to>
      <xdr:col>10</xdr:col>
      <xdr:colOff>149153</xdr:colOff>
      <xdr:row>9</xdr:row>
      <xdr:rowOff>125315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5D917FA7-41A7-412D-8275-E89F7565D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8992" y="1387379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369524</xdr:colOff>
      <xdr:row>6</xdr:row>
      <xdr:rowOff>179016</xdr:rowOff>
    </xdr:from>
    <xdr:to>
      <xdr:col>13</xdr:col>
      <xdr:colOff>79012</xdr:colOff>
      <xdr:row>8</xdr:row>
      <xdr:rowOff>174254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583ECED5-CA89-45D1-A265-DF7E8128B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1474" y="1264866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128662</xdr:colOff>
      <xdr:row>12</xdr:row>
      <xdr:rowOff>152371</xdr:rowOff>
    </xdr:from>
    <xdr:to>
      <xdr:col>8</xdr:col>
      <xdr:colOff>519007</xdr:colOff>
      <xdr:row>14</xdr:row>
      <xdr:rowOff>85695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7F88DEA-32B2-4C7E-9477-F89D05E33C57}"/>
                </a:ext>
              </a:extLst>
            </xdr:cNvPr>
            <xdr:cNvSpPr txBox="1"/>
          </xdr:nvSpPr>
          <xdr:spPr>
            <a:xfrm>
              <a:off x="5519812" y="232407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𝟖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7F88DEA-32B2-4C7E-9477-F89D05E33C57}"/>
                </a:ext>
              </a:extLst>
            </xdr:cNvPr>
            <xdr:cNvSpPr txBox="1"/>
          </xdr:nvSpPr>
          <xdr:spPr>
            <a:xfrm>
              <a:off x="5519812" y="232407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−𝟖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EDB3B22-DA29-488B-84F0-DE3366344C1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EDB3B22-DA29-488B-84F0-DE3366344C10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4B80588-2681-4E4E-A406-1886C6190FB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4B80588-2681-4E4E-A406-1886C6190FB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61C6EEC-EE66-4A4D-ACC7-56EAE6E58951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61C6EEC-EE66-4A4D-ACC7-56EAE6E58951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489C502-04A8-4E03-B8E0-5E9760E37373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489C502-04A8-4E03-B8E0-5E9760E37373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F632F38-DB19-4F48-90C6-5E225FE05087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F632F38-DB19-4F48-90C6-5E225FE05087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238211</xdr:colOff>
      <xdr:row>12</xdr:row>
      <xdr:rowOff>23782</xdr:rowOff>
    </xdr:from>
    <xdr:to>
      <xdr:col>10</xdr:col>
      <xdr:colOff>628556</xdr:colOff>
      <xdr:row>13</xdr:row>
      <xdr:rowOff>138081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281B27-E392-4486-B856-C0DDFCADCDA3}"/>
                </a:ext>
              </a:extLst>
            </xdr:cNvPr>
            <xdr:cNvSpPr txBox="1"/>
          </xdr:nvSpPr>
          <xdr:spPr>
            <a:xfrm>
              <a:off x="6924761" y="219548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281B27-E392-4486-B856-C0DDFCADCDA3}"/>
                </a:ext>
              </a:extLst>
            </xdr:cNvPr>
            <xdr:cNvSpPr txBox="1"/>
          </xdr:nvSpPr>
          <xdr:spPr>
            <a:xfrm>
              <a:off x="6924761" y="2195482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304893</xdr:colOff>
      <xdr:row>12</xdr:row>
      <xdr:rowOff>109517</xdr:rowOff>
    </xdr:from>
    <xdr:to>
      <xdr:col>8</xdr:col>
      <xdr:colOff>47538</xdr:colOff>
      <xdr:row>14</xdr:row>
      <xdr:rowOff>42841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24DE65C-E04C-4E2C-97DD-74EA4E81F9CF}"/>
                </a:ext>
              </a:extLst>
            </xdr:cNvPr>
            <xdr:cNvSpPr txBox="1"/>
          </xdr:nvSpPr>
          <xdr:spPr>
            <a:xfrm>
              <a:off x="5048343" y="2281217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24DE65C-E04C-4E2C-97DD-74EA4E81F9CF}"/>
                </a:ext>
              </a:extLst>
            </xdr:cNvPr>
            <xdr:cNvSpPr txBox="1"/>
          </xdr:nvSpPr>
          <xdr:spPr>
            <a:xfrm>
              <a:off x="5048343" y="2281217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−𝟗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123919</xdr:colOff>
      <xdr:row>10</xdr:row>
      <xdr:rowOff>123790</xdr:rowOff>
    </xdr:from>
    <xdr:to>
      <xdr:col>16</xdr:col>
      <xdr:colOff>514264</xdr:colOff>
      <xdr:row>12</xdr:row>
      <xdr:rowOff>57114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F3AB39E-BC42-45D2-A504-CC4291FFE994}"/>
                </a:ext>
              </a:extLst>
            </xdr:cNvPr>
            <xdr:cNvSpPr txBox="1"/>
          </xdr:nvSpPr>
          <xdr:spPr>
            <a:xfrm>
              <a:off x="10696669" y="1933540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F3AB39E-BC42-45D2-A504-CC4291FFE994}"/>
                </a:ext>
              </a:extLst>
            </xdr:cNvPr>
            <xdr:cNvSpPr txBox="1"/>
          </xdr:nvSpPr>
          <xdr:spPr>
            <a:xfrm>
              <a:off x="10696669" y="1933540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600164</xdr:colOff>
      <xdr:row>10</xdr:row>
      <xdr:rowOff>119029</xdr:rowOff>
    </xdr:from>
    <xdr:to>
      <xdr:col>9</xdr:col>
      <xdr:colOff>342809</xdr:colOff>
      <xdr:row>12</xdr:row>
      <xdr:rowOff>52353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4C1B7AE-2249-4756-B6F1-FD90B517FBEF}"/>
                </a:ext>
              </a:extLst>
            </xdr:cNvPr>
            <xdr:cNvSpPr txBox="1"/>
          </xdr:nvSpPr>
          <xdr:spPr>
            <a:xfrm>
              <a:off x="5991314" y="1928779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𝟕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4C1B7AE-2249-4756-B6F1-FD90B517FBEF}"/>
                </a:ext>
              </a:extLst>
            </xdr:cNvPr>
            <xdr:cNvSpPr txBox="1"/>
          </xdr:nvSpPr>
          <xdr:spPr>
            <a:xfrm>
              <a:off x="5991314" y="1928779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−𝟕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176302</xdr:colOff>
      <xdr:row>9</xdr:row>
      <xdr:rowOff>138086</xdr:rowOff>
    </xdr:from>
    <xdr:to>
      <xdr:col>13</xdr:col>
      <xdr:colOff>566647</xdr:colOff>
      <xdr:row>11</xdr:row>
      <xdr:rowOff>71410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B0538C1-2525-4643-9E05-DCC7CDF1DADB}"/>
                </a:ext>
              </a:extLst>
            </xdr:cNvPr>
            <xdr:cNvSpPr txBox="1"/>
          </xdr:nvSpPr>
          <xdr:spPr>
            <a:xfrm>
              <a:off x="8805952" y="176686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B0538C1-2525-4643-9E05-DCC7CDF1DADB}"/>
                </a:ext>
              </a:extLst>
            </xdr:cNvPr>
            <xdr:cNvSpPr txBox="1"/>
          </xdr:nvSpPr>
          <xdr:spPr>
            <a:xfrm>
              <a:off x="8805952" y="176686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−𝟑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347750</xdr:colOff>
      <xdr:row>8</xdr:row>
      <xdr:rowOff>152383</xdr:rowOff>
    </xdr:from>
    <xdr:to>
      <xdr:col>13</xdr:col>
      <xdr:colOff>90395</xdr:colOff>
      <xdr:row>10</xdr:row>
      <xdr:rowOff>85707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B4767DB-72C6-4BD1-8289-1F89373CFA86}"/>
                </a:ext>
              </a:extLst>
            </xdr:cNvPr>
            <xdr:cNvSpPr txBox="1"/>
          </xdr:nvSpPr>
          <xdr:spPr>
            <a:xfrm>
              <a:off x="8329700" y="1600183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B4767DB-72C6-4BD1-8289-1F89373CFA86}"/>
                </a:ext>
              </a:extLst>
            </xdr:cNvPr>
            <xdr:cNvSpPr txBox="1"/>
          </xdr:nvSpPr>
          <xdr:spPr>
            <a:xfrm>
              <a:off x="8329700" y="1600183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−𝟑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57243</xdr:colOff>
      <xdr:row>12</xdr:row>
      <xdr:rowOff>47601</xdr:rowOff>
    </xdr:from>
    <xdr:to>
      <xdr:col>11</xdr:col>
      <xdr:colOff>447588</xdr:colOff>
      <xdr:row>13</xdr:row>
      <xdr:rowOff>161900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4D97FBB-7A09-46AD-B77B-80AFF802369A}"/>
                </a:ext>
              </a:extLst>
            </xdr:cNvPr>
            <xdr:cNvSpPr txBox="1"/>
          </xdr:nvSpPr>
          <xdr:spPr>
            <a:xfrm>
              <a:off x="7391493" y="221930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4D97FBB-7A09-46AD-B77B-80AFF802369A}"/>
                </a:ext>
              </a:extLst>
            </xdr:cNvPr>
            <xdr:cNvSpPr txBox="1"/>
          </xdr:nvSpPr>
          <xdr:spPr>
            <a:xfrm>
              <a:off x="7391493" y="221930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471572</xdr:colOff>
      <xdr:row>12</xdr:row>
      <xdr:rowOff>142844</xdr:rowOff>
    </xdr:from>
    <xdr:to>
      <xdr:col>15</xdr:col>
      <xdr:colOff>214217</xdr:colOff>
      <xdr:row>14</xdr:row>
      <xdr:rowOff>76168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453044F-9324-4DE5-8B28-E295BC3C5FC3}"/>
                </a:ext>
              </a:extLst>
            </xdr:cNvPr>
            <xdr:cNvSpPr txBox="1"/>
          </xdr:nvSpPr>
          <xdr:spPr>
            <a:xfrm>
              <a:off x="9748922" y="231454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453044F-9324-4DE5-8B28-E295BC3C5FC3}"/>
                </a:ext>
              </a:extLst>
            </xdr:cNvPr>
            <xdr:cNvSpPr txBox="1"/>
          </xdr:nvSpPr>
          <xdr:spPr>
            <a:xfrm>
              <a:off x="9748922" y="231454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404906</xdr:colOff>
      <xdr:row>9</xdr:row>
      <xdr:rowOff>128561</xdr:rowOff>
    </xdr:from>
    <xdr:to>
      <xdr:col>10</xdr:col>
      <xdr:colOff>147551</xdr:colOff>
      <xdr:row>11</xdr:row>
      <xdr:rowOff>61885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90718A7-C332-4B4F-A10F-44F97971CC4E}"/>
                </a:ext>
              </a:extLst>
            </xdr:cNvPr>
            <xdr:cNvSpPr txBox="1"/>
          </xdr:nvSpPr>
          <xdr:spPr>
            <a:xfrm>
              <a:off x="6443756" y="175733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𝟔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90718A7-C332-4B4F-A10F-44F97971CC4E}"/>
                </a:ext>
              </a:extLst>
            </xdr:cNvPr>
            <xdr:cNvSpPr txBox="1"/>
          </xdr:nvSpPr>
          <xdr:spPr>
            <a:xfrm>
              <a:off x="6443756" y="175733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−𝟔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290607</xdr:colOff>
      <xdr:row>12</xdr:row>
      <xdr:rowOff>95218</xdr:rowOff>
    </xdr:from>
    <xdr:to>
      <xdr:col>16</xdr:col>
      <xdr:colOff>33252</xdr:colOff>
      <xdr:row>14</xdr:row>
      <xdr:rowOff>28542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A000D75-86F9-4BBA-9D15-CC8EBD0FC1D6}"/>
                </a:ext>
              </a:extLst>
            </xdr:cNvPr>
            <xdr:cNvSpPr txBox="1"/>
          </xdr:nvSpPr>
          <xdr:spPr>
            <a:xfrm>
              <a:off x="10215657" y="2266918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DA000D75-86F9-4BBA-9D15-CC8EBD0FC1D6}"/>
                </a:ext>
              </a:extLst>
            </xdr:cNvPr>
            <xdr:cNvSpPr txBox="1"/>
          </xdr:nvSpPr>
          <xdr:spPr>
            <a:xfrm>
              <a:off x="10215657" y="2266918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585881</xdr:colOff>
      <xdr:row>10</xdr:row>
      <xdr:rowOff>147607</xdr:rowOff>
    </xdr:from>
    <xdr:to>
      <xdr:col>17</xdr:col>
      <xdr:colOff>328526</xdr:colOff>
      <xdr:row>12</xdr:row>
      <xdr:rowOff>80931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ED3EFE9-F622-4D18-983D-89A0E2EBC1C9}"/>
                </a:ext>
              </a:extLst>
            </xdr:cNvPr>
            <xdr:cNvSpPr txBox="1"/>
          </xdr:nvSpPr>
          <xdr:spPr>
            <a:xfrm>
              <a:off x="11158631" y="1957357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6ED3EFE9-F622-4D18-983D-89A0E2EBC1C9}"/>
                </a:ext>
              </a:extLst>
            </xdr:cNvPr>
            <xdr:cNvSpPr txBox="1"/>
          </xdr:nvSpPr>
          <xdr:spPr>
            <a:xfrm>
              <a:off x="11158631" y="1957357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543013</xdr:colOff>
      <xdr:row>11</xdr:row>
      <xdr:rowOff>128553</xdr:rowOff>
    </xdr:from>
    <xdr:to>
      <xdr:col>12</xdr:col>
      <xdr:colOff>285658</xdr:colOff>
      <xdr:row>13</xdr:row>
      <xdr:rowOff>61877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29D8418-E129-4E2A-A9C3-3693A46A47CF}"/>
                </a:ext>
              </a:extLst>
            </xdr:cNvPr>
            <xdr:cNvSpPr txBox="1"/>
          </xdr:nvSpPr>
          <xdr:spPr>
            <a:xfrm>
              <a:off x="7877263" y="2119278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𝟓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29D8418-E129-4E2A-A9C3-3693A46A47CF}"/>
                </a:ext>
              </a:extLst>
            </xdr:cNvPr>
            <xdr:cNvSpPr txBox="1"/>
          </xdr:nvSpPr>
          <xdr:spPr>
            <a:xfrm>
              <a:off x="7877263" y="2119278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−𝟓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4847</xdr:colOff>
      <xdr:row>8</xdr:row>
      <xdr:rowOff>133319</xdr:rowOff>
    </xdr:from>
    <xdr:to>
      <xdr:col>14</xdr:col>
      <xdr:colOff>395192</xdr:colOff>
      <xdr:row>10</xdr:row>
      <xdr:rowOff>66643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94E2746-316B-4C92-81CF-14A0EF076A03}"/>
                </a:ext>
              </a:extLst>
            </xdr:cNvPr>
            <xdr:cNvSpPr txBox="1"/>
          </xdr:nvSpPr>
          <xdr:spPr>
            <a:xfrm>
              <a:off x="9282197" y="1581119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94E2746-316B-4C92-81CF-14A0EF076A03}"/>
                </a:ext>
              </a:extLst>
            </xdr:cNvPr>
            <xdr:cNvSpPr txBox="1"/>
          </xdr:nvSpPr>
          <xdr:spPr>
            <a:xfrm>
              <a:off x="9282197" y="1581119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−𝟐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476340</xdr:colOff>
      <xdr:row>11</xdr:row>
      <xdr:rowOff>14261</xdr:rowOff>
    </xdr:from>
    <xdr:to>
      <xdr:col>7</xdr:col>
      <xdr:colOff>218985</xdr:colOff>
      <xdr:row>12</xdr:row>
      <xdr:rowOff>128560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E73F054-1350-4C5B-8E42-0FA8FAE5884B}"/>
                </a:ext>
              </a:extLst>
            </xdr:cNvPr>
            <xdr:cNvSpPr txBox="1"/>
          </xdr:nvSpPr>
          <xdr:spPr>
            <a:xfrm>
              <a:off x="4572090" y="200498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E73F054-1350-4C5B-8E42-0FA8FAE5884B}"/>
                </a:ext>
              </a:extLst>
            </xdr:cNvPr>
            <xdr:cNvSpPr txBox="1"/>
          </xdr:nvSpPr>
          <xdr:spPr>
            <a:xfrm>
              <a:off x="4572090" y="2004986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−𝟗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409668</xdr:colOff>
      <xdr:row>10</xdr:row>
      <xdr:rowOff>66637</xdr:rowOff>
    </xdr:from>
    <xdr:to>
      <xdr:col>18</xdr:col>
      <xdr:colOff>152313</xdr:colOff>
      <xdr:row>11</xdr:row>
      <xdr:rowOff>180936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DCFEFEFD-3CD6-4DFF-92C5-907BA0EE042A}"/>
                </a:ext>
              </a:extLst>
            </xdr:cNvPr>
            <xdr:cNvSpPr txBox="1"/>
          </xdr:nvSpPr>
          <xdr:spPr>
            <a:xfrm>
              <a:off x="11630118" y="1876387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DCFEFEFD-3CD6-4DFF-92C5-907BA0EE042A}"/>
                </a:ext>
              </a:extLst>
            </xdr:cNvPr>
            <xdr:cNvSpPr txBox="1"/>
          </xdr:nvSpPr>
          <xdr:spPr>
            <a:xfrm>
              <a:off x="11630118" y="1876387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18</xdr:col>
      <xdr:colOff>219165</xdr:colOff>
      <xdr:row>11</xdr:row>
      <xdr:rowOff>95219</xdr:rowOff>
    </xdr:from>
    <xdr:to>
      <xdr:col>18</xdr:col>
      <xdr:colOff>609510</xdr:colOff>
      <xdr:row>13</xdr:row>
      <xdr:rowOff>28543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AD305A7-1516-4C80-A8DD-4DEE91A35BA6}"/>
                </a:ext>
              </a:extLst>
            </xdr:cNvPr>
            <xdr:cNvSpPr txBox="1"/>
          </xdr:nvSpPr>
          <xdr:spPr>
            <a:xfrm>
              <a:off x="12087315" y="208594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BAD305A7-1516-4C80-A8DD-4DEE91A35BA6}"/>
                </a:ext>
              </a:extLst>
            </xdr:cNvPr>
            <xdr:cNvSpPr txBox="1"/>
          </xdr:nvSpPr>
          <xdr:spPr>
            <a:xfrm>
              <a:off x="12087315" y="2085944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19</xdr:col>
      <xdr:colOff>52479</xdr:colOff>
      <xdr:row>8</xdr:row>
      <xdr:rowOff>166661</xdr:rowOff>
    </xdr:from>
    <xdr:to>
      <xdr:col>19</xdr:col>
      <xdr:colOff>442824</xdr:colOff>
      <xdr:row>10</xdr:row>
      <xdr:rowOff>99985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4273502-C01F-48AF-9337-93E2C9988A4E}"/>
                </a:ext>
              </a:extLst>
            </xdr:cNvPr>
            <xdr:cNvSpPr txBox="1"/>
          </xdr:nvSpPr>
          <xdr:spPr>
            <a:xfrm>
              <a:off x="12568329" y="161446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𝟑</m:t>
                    </m:r>
                  </m:oMath>
                </m:oMathPara>
              </a14:m>
              <a:endParaRPr lang="es-MX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4273502-C01F-48AF-9337-93E2C9988A4E}"/>
                </a:ext>
              </a:extLst>
            </xdr:cNvPr>
            <xdr:cNvSpPr txBox="1"/>
          </xdr:nvSpPr>
          <xdr:spPr>
            <a:xfrm>
              <a:off x="12568329" y="1614461"/>
              <a:ext cx="39034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+𝟑</a:t>
              </a:r>
              <a:endParaRPr lang="es-MX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209550</xdr:colOff>
      <xdr:row>5</xdr:row>
      <xdr:rowOff>14287</xdr:rowOff>
    </xdr:from>
    <xdr:to>
      <xdr:col>15</xdr:col>
      <xdr:colOff>292895</xdr:colOff>
      <xdr:row>5</xdr:row>
      <xdr:rowOff>112677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3CA5E384-7A11-4404-AF5A-5E476BD2BA5E}"/>
            </a:ext>
          </a:extLst>
        </xdr:cNvPr>
        <xdr:cNvSpPr/>
      </xdr:nvSpPr>
      <xdr:spPr>
        <a:xfrm>
          <a:off x="10134600" y="919162"/>
          <a:ext cx="83345" cy="98390"/>
        </a:xfrm>
        <a:prstGeom prst="triangle">
          <a:avLst>
            <a:gd name="adj" fmla="val 100000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649216</xdr:colOff>
      <xdr:row>1</xdr:row>
      <xdr:rowOff>8874</xdr:rowOff>
    </xdr:from>
    <xdr:to>
      <xdr:col>13</xdr:col>
      <xdr:colOff>571501</xdr:colOff>
      <xdr:row>31</xdr:row>
      <xdr:rowOff>4330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293DF-2636-4A9E-916B-AE9A32C1E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60613</xdr:colOff>
      <xdr:row>31</xdr:row>
      <xdr:rowOff>112568</xdr:rowOff>
    </xdr:from>
    <xdr:to>
      <xdr:col>3</xdr:col>
      <xdr:colOff>606135</xdr:colOff>
      <xdr:row>43</xdr:row>
      <xdr:rowOff>155863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1938970-101F-4BA5-8353-CD365DEC63FF}"/>
            </a:ext>
          </a:extLst>
        </xdr:cNvPr>
        <xdr:cNvSpPr/>
      </xdr:nvSpPr>
      <xdr:spPr>
        <a:xfrm>
          <a:off x="60613" y="5749636"/>
          <a:ext cx="2970067" cy="2225386"/>
        </a:xfrm>
        <a:prstGeom prst="rect">
          <a:avLst/>
        </a:prstGeom>
        <a:solidFill>
          <a:srgbClr val="FFCCCC">
            <a:alpha val="49804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62346</xdr:colOff>
      <xdr:row>31</xdr:row>
      <xdr:rowOff>109971</xdr:rowOff>
    </xdr:from>
    <xdr:to>
      <xdr:col>8</xdr:col>
      <xdr:colOff>458931</xdr:colOff>
      <xdr:row>43</xdr:row>
      <xdr:rowOff>151533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ABE64EC-3E63-43FF-B7AC-C967723D2D79}"/>
            </a:ext>
          </a:extLst>
        </xdr:cNvPr>
        <xdr:cNvSpPr/>
      </xdr:nvSpPr>
      <xdr:spPr>
        <a:xfrm>
          <a:off x="3136323" y="5747039"/>
          <a:ext cx="2994313" cy="2223653"/>
        </a:xfrm>
        <a:prstGeom prst="rect">
          <a:avLst/>
        </a:prstGeom>
        <a:solidFill>
          <a:schemeClr val="accent4">
            <a:lumMod val="40000"/>
            <a:lumOff val="6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535132</xdr:colOff>
      <xdr:row>32</xdr:row>
      <xdr:rowOff>34637</xdr:rowOff>
    </xdr:from>
    <xdr:to>
      <xdr:col>18</xdr:col>
      <xdr:colOff>268433</xdr:colOff>
      <xdr:row>44</xdr:row>
      <xdr:rowOff>77932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300D6DA-14F3-4368-9BCD-1E3D362F1E5D}"/>
            </a:ext>
          </a:extLst>
        </xdr:cNvPr>
        <xdr:cNvSpPr/>
      </xdr:nvSpPr>
      <xdr:spPr>
        <a:xfrm>
          <a:off x="9453996" y="5853546"/>
          <a:ext cx="2980460" cy="2225386"/>
        </a:xfrm>
        <a:prstGeom prst="rect">
          <a:avLst/>
        </a:prstGeom>
        <a:solidFill>
          <a:schemeClr val="accent6">
            <a:lumMod val="40000"/>
            <a:lumOff val="6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584485</xdr:colOff>
      <xdr:row>5</xdr:row>
      <xdr:rowOff>12984</xdr:rowOff>
    </xdr:from>
    <xdr:to>
      <xdr:col>9</xdr:col>
      <xdr:colOff>645101</xdr:colOff>
      <xdr:row>7</xdr:row>
      <xdr:rowOff>116894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63A7BB6-8396-4AF9-8C60-3A01B2AC23A7}"/>
            </a:ext>
          </a:extLst>
        </xdr:cNvPr>
        <xdr:cNvSpPr/>
      </xdr:nvSpPr>
      <xdr:spPr>
        <a:xfrm>
          <a:off x="5606758" y="922189"/>
          <a:ext cx="1359479" cy="467591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es-MX" sz="1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↑ Less goals</a:t>
          </a:r>
          <a:r>
            <a:rPr lang="es-MX" sz="10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received than expected</a:t>
          </a:r>
          <a:endParaRPr lang="es-MX" sz="1000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4</xdr:col>
      <xdr:colOff>53685</xdr:colOff>
      <xdr:row>16</xdr:row>
      <xdr:rowOff>4330</xdr:rowOff>
    </xdr:from>
    <xdr:to>
      <xdr:col>5</xdr:col>
      <xdr:colOff>402650</xdr:colOff>
      <xdr:row>19</xdr:row>
      <xdr:rowOff>177513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B4E935C-D0B5-438C-890D-DF2D6A6F6E45}"/>
            </a:ext>
          </a:extLst>
        </xdr:cNvPr>
        <xdr:cNvSpPr/>
      </xdr:nvSpPr>
      <xdr:spPr>
        <a:xfrm>
          <a:off x="3127662" y="2913785"/>
          <a:ext cx="998397" cy="718705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s-MX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← Less goals Scored</a:t>
          </a:r>
          <a:r>
            <a:rPr lang="es-MX" sz="10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than expected</a:t>
          </a:r>
          <a:endParaRPr lang="es-MX" sz="1000">
            <a:solidFill>
              <a:srgbClr val="FF0000"/>
            </a:solidFill>
            <a:effectLst/>
          </a:endParaRPr>
        </a:p>
      </xdr:txBody>
    </xdr:sp>
    <xdr:clientData/>
  </xdr:twoCellAnchor>
  <xdr:twoCellAnchor editAs="oneCell">
    <xdr:from>
      <xdr:col>5</xdr:col>
      <xdr:colOff>125560</xdr:colOff>
      <xdr:row>14</xdr:row>
      <xdr:rowOff>69273</xdr:rowOff>
    </xdr:from>
    <xdr:to>
      <xdr:col>5</xdr:col>
      <xdr:colOff>510890</xdr:colOff>
      <xdr:row>16</xdr:row>
      <xdr:rowOff>90921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81817029-7636-40CE-AA97-84C3001D2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969" y="2615046"/>
          <a:ext cx="385330" cy="3853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454604</xdr:colOff>
      <xdr:row>13</xdr:row>
      <xdr:rowOff>82261</xdr:rowOff>
    </xdr:from>
    <xdr:to>
      <xdr:col>9</xdr:col>
      <xdr:colOff>129889</xdr:colOff>
      <xdr:row>15</xdr:row>
      <xdr:rowOff>43295</xdr:rowOff>
    </xdr:to>
    <xdr:pic>
      <xdr:nvPicPr>
        <xdr:cNvPr id="16" name="Picture 15" descr="Logo&#10;&#10;Description automatically generated">
          <a:extLst>
            <a:ext uri="{FF2B5EF4-FFF2-40B4-BE49-F238E27FC236}">
              <a16:creationId xmlns:a16="http://schemas.microsoft.com/office/drawing/2014/main" id="{00334030-00DE-45D0-95B8-CFD1A159E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309" y="2446193"/>
          <a:ext cx="324716" cy="3247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536863</xdr:colOff>
      <xdr:row>13</xdr:row>
      <xdr:rowOff>151534</xdr:rowOff>
    </xdr:from>
    <xdr:to>
      <xdr:col>8</xdr:col>
      <xdr:colOff>216477</xdr:colOff>
      <xdr:row>15</xdr:row>
      <xdr:rowOff>116898</xdr:rowOff>
    </xdr:to>
    <xdr:pic>
      <xdr:nvPicPr>
        <xdr:cNvPr id="17" name="Picture 16" descr="Icon&#10;&#10;Description automatically generated">
          <a:extLst>
            <a:ext uri="{FF2B5EF4-FFF2-40B4-BE49-F238E27FC236}">
              <a16:creationId xmlns:a16="http://schemas.microsoft.com/office/drawing/2014/main" id="{6DEE8C80-CB1D-45E9-8440-5B0D9DD9B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9136" y="2515466"/>
          <a:ext cx="329046" cy="32904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532532</xdr:colOff>
      <xdr:row>13</xdr:row>
      <xdr:rowOff>173182</xdr:rowOff>
    </xdr:from>
    <xdr:to>
      <xdr:col>7</xdr:col>
      <xdr:colOff>212145</xdr:colOff>
      <xdr:row>15</xdr:row>
      <xdr:rowOff>138545</xdr:rowOff>
    </xdr:to>
    <xdr:pic>
      <xdr:nvPicPr>
        <xdr:cNvPr id="18" name="Picture 17" descr="Logo&#10;&#10;Description automatically generated">
          <a:extLst>
            <a:ext uri="{FF2B5EF4-FFF2-40B4-BE49-F238E27FC236}">
              <a16:creationId xmlns:a16="http://schemas.microsoft.com/office/drawing/2014/main" id="{C813BA07-CD6A-4318-8F0D-B96750ACB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3" y="2537114"/>
          <a:ext cx="329045" cy="3290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355022</xdr:colOff>
      <xdr:row>8</xdr:row>
      <xdr:rowOff>77932</xdr:rowOff>
    </xdr:from>
    <xdr:to>
      <xdr:col>7</xdr:col>
      <xdr:colOff>69271</xdr:colOff>
      <xdr:row>10</xdr:row>
      <xdr:rowOff>77931</xdr:rowOff>
    </xdr:to>
    <xdr:pic>
      <xdr:nvPicPr>
        <xdr:cNvPr id="19" name="Picture 18" descr="A picture containing text, clipart&#10;&#10;Description automatically generated">
          <a:extLst>
            <a:ext uri="{FF2B5EF4-FFF2-40B4-BE49-F238E27FC236}">
              <a16:creationId xmlns:a16="http://schemas.microsoft.com/office/drawing/2014/main" id="{20209262-935D-4683-A9D4-772F6D662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7863" y="1532659"/>
          <a:ext cx="363681" cy="3636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346364</xdr:colOff>
      <xdr:row>10</xdr:row>
      <xdr:rowOff>82263</xdr:rowOff>
    </xdr:from>
    <xdr:to>
      <xdr:col>7</xdr:col>
      <xdr:colOff>95250</xdr:colOff>
      <xdr:row>12</xdr:row>
      <xdr:rowOff>116899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3CA616C5-1E9A-453F-B7BC-ED9EBE5EA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9205" y="1900672"/>
          <a:ext cx="398318" cy="39831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320387</xdr:colOff>
      <xdr:row>6</xdr:row>
      <xdr:rowOff>95249</xdr:rowOff>
    </xdr:from>
    <xdr:to>
      <xdr:col>7</xdr:col>
      <xdr:colOff>21649</xdr:colOff>
      <xdr:row>8</xdr:row>
      <xdr:rowOff>82261</xdr:rowOff>
    </xdr:to>
    <xdr:pic>
      <xdr:nvPicPr>
        <xdr:cNvPr id="21" name="Picture 20" descr="Logo, company name&#10;&#10;Description automatically generated">
          <a:extLst>
            <a:ext uri="{FF2B5EF4-FFF2-40B4-BE49-F238E27FC236}">
              <a16:creationId xmlns:a16="http://schemas.microsoft.com/office/drawing/2014/main" id="{65F41C5C-AFF8-4832-B7AA-ECD3FC36A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228" y="1186294"/>
          <a:ext cx="350694" cy="3506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350693</xdr:colOff>
      <xdr:row>10</xdr:row>
      <xdr:rowOff>38966</xdr:rowOff>
    </xdr:from>
    <xdr:to>
      <xdr:col>10</xdr:col>
      <xdr:colOff>70138</xdr:colOff>
      <xdr:row>12</xdr:row>
      <xdr:rowOff>44161</xdr:rowOff>
    </xdr:to>
    <xdr:pic>
      <xdr:nvPicPr>
        <xdr:cNvPr id="22" name="Picture 21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D6012D68-303F-45B8-B4AE-311490EE2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1829" y="1857375"/>
          <a:ext cx="368877" cy="3688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51955</xdr:colOff>
      <xdr:row>7</xdr:row>
      <xdr:rowOff>82262</xdr:rowOff>
    </xdr:from>
    <xdr:to>
      <xdr:col>6</xdr:col>
      <xdr:colOff>416502</xdr:colOff>
      <xdr:row>9</xdr:row>
      <xdr:rowOff>83127</xdr:rowOff>
    </xdr:to>
    <xdr:pic>
      <xdr:nvPicPr>
        <xdr:cNvPr id="23" name="Picture 22" descr="Logo&#10;&#10;Description automatically generated">
          <a:extLst>
            <a:ext uri="{FF2B5EF4-FFF2-40B4-BE49-F238E27FC236}">
              <a16:creationId xmlns:a16="http://schemas.microsoft.com/office/drawing/2014/main" id="{5B7A90C1-AE93-4A1B-B85C-4EB1314DB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4796" y="1355148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471921</xdr:colOff>
      <xdr:row>5</xdr:row>
      <xdr:rowOff>151536</xdr:rowOff>
    </xdr:from>
    <xdr:to>
      <xdr:col>5</xdr:col>
      <xdr:colOff>234659</xdr:colOff>
      <xdr:row>8</xdr:row>
      <xdr:rowOff>18184</xdr:rowOff>
    </xdr:to>
    <xdr:pic>
      <xdr:nvPicPr>
        <xdr:cNvPr id="24" name="Picture 23" descr="A picture containing text, clipart&#10;&#10;Description automatically generated">
          <a:extLst>
            <a:ext uri="{FF2B5EF4-FFF2-40B4-BE49-F238E27FC236}">
              <a16:creationId xmlns:a16="http://schemas.microsoft.com/office/drawing/2014/main" id="{61B6D9EC-2709-46CD-90CF-0144AF1C9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5898" y="1060741"/>
          <a:ext cx="412170" cy="412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199159</xdr:colOff>
      <xdr:row>16</xdr:row>
      <xdr:rowOff>17318</xdr:rowOff>
    </xdr:from>
    <xdr:to>
      <xdr:col>8</xdr:col>
      <xdr:colOff>602672</xdr:colOff>
      <xdr:row>18</xdr:row>
      <xdr:rowOff>57150</xdr:rowOff>
    </xdr:to>
    <xdr:pic>
      <xdr:nvPicPr>
        <xdr:cNvPr id="25" name="Picture 24" descr="Logo&#10;&#10;Description automatically generated">
          <a:extLst>
            <a:ext uri="{FF2B5EF4-FFF2-40B4-BE49-F238E27FC236}">
              <a16:creationId xmlns:a16="http://schemas.microsoft.com/office/drawing/2014/main" id="{1D9BA562-4393-4F1B-8CD7-98079C47E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0864" y="2926773"/>
          <a:ext cx="403513" cy="403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173182</xdr:colOff>
      <xdr:row>16</xdr:row>
      <xdr:rowOff>0</xdr:rowOff>
    </xdr:from>
    <xdr:to>
      <xdr:col>6</xdr:col>
      <xdr:colOff>594014</xdr:colOff>
      <xdr:row>18</xdr:row>
      <xdr:rowOff>57151</xdr:rowOff>
    </xdr:to>
    <xdr:pic>
      <xdr:nvPicPr>
        <xdr:cNvPr id="26" name="Picture 25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88F93D67-1018-41E4-B22E-0C8D0B37D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6023" y="2909455"/>
          <a:ext cx="420832" cy="4208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25977</xdr:colOff>
      <xdr:row>15</xdr:row>
      <xdr:rowOff>60613</xdr:rowOff>
    </xdr:from>
    <xdr:to>
      <xdr:col>7</xdr:col>
      <xdr:colOff>372341</xdr:colOff>
      <xdr:row>17</xdr:row>
      <xdr:rowOff>43296</xdr:rowOff>
    </xdr:to>
    <xdr:pic>
      <xdr:nvPicPr>
        <xdr:cNvPr id="27" name="Picture 26" descr="Logo&#10;&#10;Description automatically generated with medium confidence">
          <a:extLst>
            <a:ext uri="{FF2B5EF4-FFF2-40B4-BE49-F238E27FC236}">
              <a16:creationId xmlns:a16="http://schemas.microsoft.com/office/drawing/2014/main" id="{38B32C95-D3DB-4BF3-8F28-BACC32A72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788227"/>
          <a:ext cx="346364" cy="3463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424295</xdr:colOff>
      <xdr:row>20</xdr:row>
      <xdr:rowOff>77931</xdr:rowOff>
    </xdr:from>
    <xdr:to>
      <xdr:col>7</xdr:col>
      <xdr:colOff>233794</xdr:colOff>
      <xdr:row>22</xdr:row>
      <xdr:rowOff>173180</xdr:rowOff>
    </xdr:to>
    <xdr:pic>
      <xdr:nvPicPr>
        <xdr:cNvPr id="28" name="Picture 27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CCEC8D3A-4BEA-4FC4-AD1D-4EDC6AA9A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7136" y="3714749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151536</xdr:colOff>
      <xdr:row>9</xdr:row>
      <xdr:rowOff>69274</xdr:rowOff>
    </xdr:from>
    <xdr:to>
      <xdr:col>5</xdr:col>
      <xdr:colOff>454603</xdr:colOff>
      <xdr:row>11</xdr:row>
      <xdr:rowOff>8659</xdr:rowOff>
    </xdr:to>
    <xdr:pic>
      <xdr:nvPicPr>
        <xdr:cNvPr id="30" name="Picture 29" descr="A picture containing text&#10;&#10;Description automatically generated">
          <a:extLst>
            <a:ext uri="{FF2B5EF4-FFF2-40B4-BE49-F238E27FC236}">
              <a16:creationId xmlns:a16="http://schemas.microsoft.com/office/drawing/2014/main" id="{ADCC984C-34D8-45DA-BA70-AB6B84EDA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4945" y="1705842"/>
          <a:ext cx="303067" cy="30306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587085</xdr:colOff>
      <xdr:row>31</xdr:row>
      <xdr:rowOff>123825</xdr:rowOff>
    </xdr:from>
    <xdr:to>
      <xdr:col>13</xdr:col>
      <xdr:colOff>316055</xdr:colOff>
      <xdr:row>43</xdr:row>
      <xdr:rowOff>165387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8F5DE00-074E-4275-B477-A2E542345292}"/>
            </a:ext>
          </a:extLst>
        </xdr:cNvPr>
        <xdr:cNvSpPr/>
      </xdr:nvSpPr>
      <xdr:spPr>
        <a:xfrm>
          <a:off x="6258790" y="5760893"/>
          <a:ext cx="2976129" cy="2223653"/>
        </a:xfrm>
        <a:prstGeom prst="rect">
          <a:avLst/>
        </a:prstGeom>
        <a:solidFill>
          <a:schemeClr val="accent1">
            <a:lumMod val="20000"/>
            <a:lumOff val="80000"/>
            <a:alpha val="49804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160194</xdr:colOff>
      <xdr:row>18</xdr:row>
      <xdr:rowOff>116901</xdr:rowOff>
    </xdr:from>
    <xdr:to>
      <xdr:col>6</xdr:col>
      <xdr:colOff>532534</xdr:colOff>
      <xdr:row>20</xdr:row>
      <xdr:rowOff>125559</xdr:rowOff>
    </xdr:to>
    <xdr:pic>
      <xdr:nvPicPr>
        <xdr:cNvPr id="31" name="Picture 30" descr="Logo, company name&#10;&#10;Description automatically generated">
          <a:extLst>
            <a:ext uri="{FF2B5EF4-FFF2-40B4-BE49-F238E27FC236}">
              <a16:creationId xmlns:a16="http://schemas.microsoft.com/office/drawing/2014/main" id="{03884A1C-1D3B-4597-AAB0-9D39BAA59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035" y="3390037"/>
          <a:ext cx="372340" cy="3723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108238</xdr:colOff>
      <xdr:row>15</xdr:row>
      <xdr:rowOff>86590</xdr:rowOff>
    </xdr:from>
    <xdr:to>
      <xdr:col>9</xdr:col>
      <xdr:colOff>523875</xdr:colOff>
      <xdr:row>17</xdr:row>
      <xdr:rowOff>138546</xdr:rowOff>
    </xdr:to>
    <xdr:pic>
      <xdr:nvPicPr>
        <xdr:cNvPr id="32" name="Picture 31" descr="A picture containing text&#10;&#10;Description automatically generated">
          <a:extLst>
            <a:ext uri="{FF2B5EF4-FFF2-40B4-BE49-F238E27FC236}">
              <a16:creationId xmlns:a16="http://schemas.microsoft.com/office/drawing/2014/main" id="{78A58B6E-2152-4F20-B333-9AF5E0302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4" y="2814204"/>
          <a:ext cx="415637" cy="4156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86590</xdr:colOff>
      <xdr:row>11</xdr:row>
      <xdr:rowOff>51954</xdr:rowOff>
    </xdr:from>
    <xdr:to>
      <xdr:col>8</xdr:col>
      <xdr:colOff>493567</xdr:colOff>
      <xdr:row>13</xdr:row>
      <xdr:rowOff>95249</xdr:rowOff>
    </xdr:to>
    <xdr:pic>
      <xdr:nvPicPr>
        <xdr:cNvPr id="33" name="Picture 32" descr="A picture containing logo&#10;&#10;Description automatically generated">
          <a:extLst>
            <a:ext uri="{FF2B5EF4-FFF2-40B4-BE49-F238E27FC236}">
              <a16:creationId xmlns:a16="http://schemas.microsoft.com/office/drawing/2014/main" id="{4B24F210-1EB2-42EF-A717-3CDD2F49A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8295" y="2052204"/>
          <a:ext cx="406977" cy="40697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12</xdr:col>
      <xdr:colOff>181840</xdr:colOff>
      <xdr:row>16</xdr:row>
      <xdr:rowOff>17315</xdr:rowOff>
    </xdr:from>
    <xdr:to>
      <xdr:col>13</xdr:col>
      <xdr:colOff>528204</xdr:colOff>
      <xdr:row>20</xdr:row>
      <xdr:rowOff>4327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A7A7D32-51DE-4CB1-B3B7-006E2C8B42B7}"/>
            </a:ext>
          </a:extLst>
        </xdr:cNvPr>
        <xdr:cNvSpPr/>
      </xdr:nvSpPr>
      <xdr:spPr>
        <a:xfrm>
          <a:off x="8451272" y="2926770"/>
          <a:ext cx="995796" cy="714375"/>
        </a:xfrm>
        <a:prstGeom prst="roundRect">
          <a:avLst/>
        </a:prstGeom>
        <a:ln>
          <a:solidFill>
            <a:srgbClr val="0070C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s-MX" sz="1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→ More goals scored than expected</a:t>
          </a:r>
          <a:endParaRPr lang="es-MX" sz="1050">
            <a:solidFill>
              <a:srgbClr val="0070C0"/>
            </a:solidFill>
            <a:effectLst/>
          </a:endParaRPr>
        </a:p>
      </xdr:txBody>
    </xdr:sp>
    <xdr:clientData/>
  </xdr:twoCellAnchor>
  <xdr:twoCellAnchor>
    <xdr:from>
      <xdr:col>7</xdr:col>
      <xdr:colOff>537728</xdr:colOff>
      <xdr:row>28</xdr:row>
      <xdr:rowOff>26835</xdr:rowOff>
    </xdr:from>
    <xdr:to>
      <xdr:col>10</xdr:col>
      <xdr:colOff>60615</xdr:colOff>
      <xdr:row>30</xdr:row>
      <xdr:rowOff>134208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2003CD3-F1DE-4EDA-A738-819813274AF8}"/>
            </a:ext>
          </a:extLst>
        </xdr:cNvPr>
        <xdr:cNvSpPr/>
      </xdr:nvSpPr>
      <xdr:spPr>
        <a:xfrm>
          <a:off x="5560001" y="5118380"/>
          <a:ext cx="1471182" cy="471055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eaLnBrk="1" fontAlgn="auto" latinLnBrk="0" hangingPunct="1"/>
          <a:r>
            <a:rPr lang="es-MX" sz="1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↓ More</a:t>
          </a:r>
          <a:r>
            <a:rPr lang="es-MX" sz="10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goals received than expected</a:t>
          </a:r>
          <a:endParaRPr lang="es-MX" sz="100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4946C-24D0-4430-A98D-44D494624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352422</xdr:colOff>
      <xdr:row>9</xdr:row>
      <xdr:rowOff>133369</xdr:rowOff>
    </xdr:from>
    <xdr:to>
      <xdr:col>15</xdr:col>
      <xdr:colOff>69269</xdr:colOff>
      <xdr:row>11</xdr:row>
      <xdr:rowOff>135966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BA9FBF9F-4D03-4A85-B912-36ECBDE4D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2" y="1762144"/>
          <a:ext cx="364547" cy="3645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142653</xdr:colOff>
      <xdr:row>9</xdr:row>
      <xdr:rowOff>166486</xdr:rowOff>
    </xdr:from>
    <xdr:to>
      <xdr:col>15</xdr:col>
      <xdr:colOff>566516</xdr:colOff>
      <xdr:row>12</xdr:row>
      <xdr:rowOff>47424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FD69D626-0053-4C3A-AD40-91C87152A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703" y="1795261"/>
          <a:ext cx="423863" cy="423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447671</xdr:colOff>
      <xdr:row>12</xdr:row>
      <xdr:rowOff>119080</xdr:rowOff>
    </xdr:from>
    <xdr:to>
      <xdr:col>17</xdr:col>
      <xdr:colOff>176640</xdr:colOff>
      <xdr:row>14</xdr:row>
      <xdr:rowOff>133799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ED213931-7902-4826-BA42-FD4ED9FD8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1" y="2290780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130107</xdr:colOff>
      <xdr:row>8</xdr:row>
      <xdr:rowOff>120596</xdr:rowOff>
    </xdr:from>
    <xdr:to>
      <xdr:col>10</xdr:col>
      <xdr:colOff>515870</xdr:colOff>
      <xdr:row>10</xdr:row>
      <xdr:rowOff>144409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C602363F-1F3D-4E28-BD9F-B1CC93866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6657" y="1568396"/>
          <a:ext cx="385763" cy="385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254145</xdr:colOff>
      <xdr:row>10</xdr:row>
      <xdr:rowOff>101760</xdr:rowOff>
    </xdr:from>
    <xdr:to>
      <xdr:col>17</xdr:col>
      <xdr:colOff>635145</xdr:colOff>
      <xdr:row>12</xdr:row>
      <xdr:rowOff>120810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047D9866-691F-4F8B-9CBA-AEE2FF6D4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4595" y="1911510"/>
          <a:ext cx="38100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613492</xdr:colOff>
      <xdr:row>10</xdr:row>
      <xdr:rowOff>70583</xdr:rowOff>
    </xdr:from>
    <xdr:to>
      <xdr:col>16</xdr:col>
      <xdr:colOff>403942</xdr:colOff>
      <xdr:row>12</xdr:row>
      <xdr:rowOff>146783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B9D6959F-D200-48D6-A514-077526E08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8542" y="1880333"/>
          <a:ext cx="438150" cy="438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591161</xdr:colOff>
      <xdr:row>9</xdr:row>
      <xdr:rowOff>24434</xdr:rowOff>
    </xdr:from>
    <xdr:to>
      <xdr:col>11</xdr:col>
      <xdr:colOff>349226</xdr:colOff>
      <xdr:row>11</xdr:row>
      <xdr:rowOff>68249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59AE5728-FE2E-4311-BD74-1B7A9EFFA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711" y="1653209"/>
          <a:ext cx="405765" cy="405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540939</xdr:colOff>
      <xdr:row>6</xdr:row>
      <xdr:rowOff>2795</xdr:rowOff>
    </xdr:from>
    <xdr:to>
      <xdr:col>6</xdr:col>
      <xdr:colOff>356155</xdr:colOff>
      <xdr:row>8</xdr:row>
      <xdr:rowOff>103761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8B775D41-D3DB-4065-9743-935C6E69F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8989" y="1088645"/>
          <a:ext cx="462916" cy="4629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8225</xdr:colOff>
      <xdr:row>7</xdr:row>
      <xdr:rowOff>89199</xdr:rowOff>
    </xdr:from>
    <xdr:to>
      <xdr:col>8</xdr:col>
      <xdr:colOff>455900</xdr:colOff>
      <xdr:row>9</xdr:row>
      <xdr:rowOff>174924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13F17F9D-3328-4D6B-B7F1-1F84FABC9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9375" y="1356024"/>
          <a:ext cx="447675" cy="447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212756</xdr:colOff>
      <xdr:row>10</xdr:row>
      <xdr:rowOff>50836</xdr:rowOff>
    </xdr:from>
    <xdr:to>
      <xdr:col>13</xdr:col>
      <xdr:colOff>18443</xdr:colOff>
      <xdr:row>12</xdr:row>
      <xdr:rowOff>142273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0FEBDF3C-EDC8-4D38-B864-1793250E8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4706" y="1860586"/>
          <a:ext cx="453387" cy="453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343352</xdr:colOff>
      <xdr:row>7</xdr:row>
      <xdr:rowOff>157603</xdr:rowOff>
    </xdr:from>
    <xdr:to>
      <xdr:col>7</xdr:col>
      <xdr:colOff>105226</xdr:colOff>
      <xdr:row>10</xdr:row>
      <xdr:rowOff>24252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C7EC57DD-7254-4461-9843-8E8BA3C0D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9102" y="1424428"/>
          <a:ext cx="409574" cy="40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445951</xdr:colOff>
      <xdr:row>8</xdr:row>
      <xdr:rowOff>179255</xdr:rowOff>
    </xdr:from>
    <xdr:to>
      <xdr:col>9</xdr:col>
      <xdr:colOff>255452</xdr:colOff>
      <xdr:row>11</xdr:row>
      <xdr:rowOff>93531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4DC88EAB-D59E-4002-8DD8-0CEAD6496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7101" y="1627055"/>
          <a:ext cx="457201" cy="457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300907</xdr:colOff>
      <xdr:row>9</xdr:row>
      <xdr:rowOff>110412</xdr:rowOff>
    </xdr:from>
    <xdr:to>
      <xdr:col>10</xdr:col>
      <xdr:colOff>53256</xdr:colOff>
      <xdr:row>11</xdr:row>
      <xdr:rowOff>148511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0BD76931-5681-42CD-AA1C-18B9A93C5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757" y="1739187"/>
          <a:ext cx="400049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395289</xdr:colOff>
      <xdr:row>10</xdr:row>
      <xdr:rowOff>76212</xdr:rowOff>
    </xdr:from>
    <xdr:to>
      <xdr:col>12</xdr:col>
      <xdr:colOff>206520</xdr:colOff>
      <xdr:row>12</xdr:row>
      <xdr:rowOff>173193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87363E04-E155-4217-A7EA-D56D87055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9539" y="1885962"/>
          <a:ext cx="458931" cy="4589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22697</xdr:colOff>
      <xdr:row>10</xdr:row>
      <xdr:rowOff>156049</xdr:rowOff>
    </xdr:from>
    <xdr:to>
      <xdr:col>13</xdr:col>
      <xdr:colOff>466561</xdr:colOff>
      <xdr:row>13</xdr:row>
      <xdr:rowOff>56988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CB68FF7E-72EB-4E45-BF22-B4FB7735E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2347" y="1965799"/>
          <a:ext cx="443864" cy="4438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197857</xdr:colOff>
      <xdr:row>9</xdr:row>
      <xdr:rowOff>102621</xdr:rowOff>
    </xdr:from>
    <xdr:to>
      <xdr:col>7</xdr:col>
      <xdr:colOff>559808</xdr:colOff>
      <xdr:row>11</xdr:row>
      <xdr:rowOff>102622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5061ADA1-2742-460E-B6EE-38F0E9AD6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1307" y="1731396"/>
          <a:ext cx="361951" cy="361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534919</xdr:colOff>
      <xdr:row>11</xdr:row>
      <xdr:rowOff>134872</xdr:rowOff>
    </xdr:from>
    <xdr:to>
      <xdr:col>14</xdr:col>
      <xdr:colOff>253930</xdr:colOff>
      <xdr:row>13</xdr:row>
      <xdr:rowOff>139633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0F0B4CA1-41E9-4363-9BFE-4C209A685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4569" y="2125597"/>
          <a:ext cx="366711" cy="3667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102824</xdr:colOff>
      <xdr:row>12</xdr:row>
      <xdr:rowOff>150463</xdr:rowOff>
    </xdr:from>
    <xdr:to>
      <xdr:col>18</xdr:col>
      <xdr:colOff>460012</xdr:colOff>
      <xdr:row>14</xdr:row>
      <xdr:rowOff>145701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1AB8A252-11F6-4FD1-8199-000E7258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0974" y="2322163"/>
          <a:ext cx="357188" cy="35718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214304</xdr:colOff>
      <xdr:row>11</xdr:row>
      <xdr:rowOff>95261</xdr:rowOff>
    </xdr:from>
    <xdr:to>
      <xdr:col>15</xdr:col>
      <xdr:colOff>195259</xdr:colOff>
      <xdr:row>13</xdr:row>
      <xdr:rowOff>28585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BE04733-B4EB-4078-9B3B-7724FD0CB65C}"/>
                </a:ext>
              </a:extLst>
            </xdr:cNvPr>
            <xdr:cNvSpPr txBox="1"/>
          </xdr:nvSpPr>
          <xdr:spPr>
            <a:xfrm>
              <a:off x="9491654" y="208598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BE04733-B4EB-4078-9B3B-7724FD0CB65C}"/>
                </a:ext>
              </a:extLst>
            </xdr:cNvPr>
            <xdr:cNvSpPr txBox="1"/>
          </xdr:nvSpPr>
          <xdr:spPr>
            <a:xfrm>
              <a:off x="9491654" y="208598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55BB822-D41D-4581-BA8E-5387611F8B5D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55BB822-D41D-4581-BA8E-5387611F8B5D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B209CD3-1F4E-4C17-977F-0380E65A5AFB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B209CD3-1F4E-4C17-977F-0380E65A5AFB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23CAC24-5FE0-403A-9324-05F1626346F5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23CAC24-5FE0-403A-9324-05F1626346F5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011DEBF-7276-45EF-8294-84B28493ADD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011DEBF-7276-45EF-8294-84B28493ADD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F56F2B4-225D-4DD0-8C2F-F2FDFF8B4A0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F56F2B4-225D-4DD0-8C2F-F2FDFF8B4A0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471478</xdr:colOff>
      <xdr:row>11</xdr:row>
      <xdr:rowOff>61922</xdr:rowOff>
    </xdr:from>
    <xdr:to>
      <xdr:col>11</xdr:col>
      <xdr:colOff>452433</xdr:colOff>
      <xdr:row>12</xdr:row>
      <xdr:rowOff>176221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514886A-D48F-4999-9A4C-66A78C19BA90}"/>
                </a:ext>
              </a:extLst>
            </xdr:cNvPr>
            <xdr:cNvSpPr txBox="1"/>
          </xdr:nvSpPr>
          <xdr:spPr>
            <a:xfrm>
              <a:off x="7158028" y="205264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𝟏𝟏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7514886A-D48F-4999-9A4C-66A78C19BA90}"/>
                </a:ext>
              </a:extLst>
            </xdr:cNvPr>
            <xdr:cNvSpPr txBox="1"/>
          </xdr:nvSpPr>
          <xdr:spPr>
            <a:xfrm>
              <a:off x="7158028" y="205264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+𝟏𝟏%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4764</xdr:colOff>
      <xdr:row>10</xdr:row>
      <xdr:rowOff>128599</xdr:rowOff>
    </xdr:from>
    <xdr:to>
      <xdr:col>10</xdr:col>
      <xdr:colOff>633419</xdr:colOff>
      <xdr:row>12</xdr:row>
      <xdr:rowOff>61923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07F5DE8-DB56-4562-97D0-2E2B58D8E04E}"/>
                </a:ext>
              </a:extLst>
            </xdr:cNvPr>
            <xdr:cNvSpPr txBox="1"/>
          </xdr:nvSpPr>
          <xdr:spPr>
            <a:xfrm>
              <a:off x="6691314" y="1938349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𝟏𝟑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07F5DE8-DB56-4562-97D0-2E2B58D8E04E}"/>
                </a:ext>
              </a:extLst>
            </xdr:cNvPr>
            <xdr:cNvSpPr txBox="1"/>
          </xdr:nvSpPr>
          <xdr:spPr>
            <a:xfrm>
              <a:off x="6691314" y="1938349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+𝟏𝟑%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366714</xdr:colOff>
      <xdr:row>11</xdr:row>
      <xdr:rowOff>71443</xdr:rowOff>
    </xdr:from>
    <xdr:to>
      <xdr:col>9</xdr:col>
      <xdr:colOff>347669</xdr:colOff>
      <xdr:row>13</xdr:row>
      <xdr:rowOff>4767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A4F8E38-D07E-4A67-92C3-F640DB7280BC}"/>
                </a:ext>
              </a:extLst>
            </xdr:cNvPr>
            <xdr:cNvSpPr txBox="1"/>
          </xdr:nvSpPr>
          <xdr:spPr>
            <a:xfrm>
              <a:off x="5757864" y="2062168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𝟐𝟏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A4F8E38-D07E-4A67-92C3-F640DB7280BC}"/>
                </a:ext>
              </a:extLst>
            </xdr:cNvPr>
            <xdr:cNvSpPr txBox="1"/>
          </xdr:nvSpPr>
          <xdr:spPr>
            <a:xfrm>
              <a:off x="5757864" y="2062168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+𝟐𝟏%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185739</xdr:colOff>
      <xdr:row>11</xdr:row>
      <xdr:rowOff>128591</xdr:rowOff>
    </xdr:from>
    <xdr:to>
      <xdr:col>10</xdr:col>
      <xdr:colOff>166694</xdr:colOff>
      <xdr:row>13</xdr:row>
      <xdr:rowOff>61915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538EAAD-91BC-4B4C-ADF4-8FB3D5D6026D}"/>
                </a:ext>
              </a:extLst>
            </xdr:cNvPr>
            <xdr:cNvSpPr txBox="1"/>
          </xdr:nvSpPr>
          <xdr:spPr>
            <a:xfrm>
              <a:off x="6224589" y="211931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𝟏𝟗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538EAAD-91BC-4B4C-ADF4-8FB3D5D6026D}"/>
                </a:ext>
              </a:extLst>
            </xdr:cNvPr>
            <xdr:cNvSpPr txBox="1"/>
          </xdr:nvSpPr>
          <xdr:spPr>
            <a:xfrm>
              <a:off x="6224589" y="211931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+𝟏𝟗%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76198</xdr:colOff>
      <xdr:row>11</xdr:row>
      <xdr:rowOff>85729</xdr:rowOff>
    </xdr:from>
    <xdr:to>
      <xdr:col>8</xdr:col>
      <xdr:colOff>57153</xdr:colOff>
      <xdr:row>13</xdr:row>
      <xdr:rowOff>19053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857214-6AA3-4DD4-9FD0-830FF61F8EA2}"/>
                </a:ext>
              </a:extLst>
            </xdr:cNvPr>
            <xdr:cNvSpPr txBox="1"/>
          </xdr:nvSpPr>
          <xdr:spPr>
            <a:xfrm>
              <a:off x="4819648" y="20764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𝟐𝟔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857214-6AA3-4DD4-9FD0-830FF61F8EA2}"/>
                </a:ext>
              </a:extLst>
            </xdr:cNvPr>
            <xdr:cNvSpPr txBox="1"/>
          </xdr:nvSpPr>
          <xdr:spPr>
            <a:xfrm>
              <a:off x="4819648" y="20764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+𝟐𝟔%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609595</xdr:colOff>
      <xdr:row>14</xdr:row>
      <xdr:rowOff>123830</xdr:rowOff>
    </xdr:from>
    <xdr:to>
      <xdr:col>18</xdr:col>
      <xdr:colOff>590550</xdr:colOff>
      <xdr:row>16</xdr:row>
      <xdr:rowOff>57154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7B14159-6AC3-4CA5-95EA-1BD71D85C5BE}"/>
                </a:ext>
              </a:extLst>
            </xdr:cNvPr>
            <xdr:cNvSpPr txBox="1"/>
          </xdr:nvSpPr>
          <xdr:spPr>
            <a:xfrm>
              <a:off x="11830045" y="265748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7B14159-6AC3-4CA5-95EA-1BD71D85C5BE}"/>
                </a:ext>
              </a:extLst>
            </xdr:cNvPr>
            <xdr:cNvSpPr txBox="1"/>
          </xdr:nvSpPr>
          <xdr:spPr>
            <a:xfrm>
              <a:off x="11830045" y="265748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−𝟐𝟒%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509588</xdr:colOff>
      <xdr:row>12</xdr:row>
      <xdr:rowOff>142887</xdr:rowOff>
    </xdr:from>
    <xdr:to>
      <xdr:col>16</xdr:col>
      <xdr:colOff>490543</xdr:colOff>
      <xdr:row>14</xdr:row>
      <xdr:rowOff>76211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1DD9E3D2-94B4-410D-89C6-A1D103A18493}"/>
                </a:ext>
              </a:extLst>
            </xdr:cNvPr>
            <xdr:cNvSpPr txBox="1"/>
          </xdr:nvSpPr>
          <xdr:spPr>
            <a:xfrm>
              <a:off x="10434638" y="231458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1DD9E3D2-94B4-410D-89C6-A1D103A18493}"/>
                </a:ext>
              </a:extLst>
            </xdr:cNvPr>
            <xdr:cNvSpPr txBox="1"/>
          </xdr:nvSpPr>
          <xdr:spPr>
            <a:xfrm>
              <a:off x="10434638" y="231458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−𝟕%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42854</xdr:colOff>
      <xdr:row>12</xdr:row>
      <xdr:rowOff>33352</xdr:rowOff>
    </xdr:from>
    <xdr:to>
      <xdr:col>16</xdr:col>
      <xdr:colOff>23809</xdr:colOff>
      <xdr:row>13</xdr:row>
      <xdr:rowOff>147651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ADDC449-E796-4FFE-A9E6-9605E23840BA}"/>
                </a:ext>
              </a:extLst>
            </xdr:cNvPr>
            <xdr:cNvSpPr txBox="1"/>
          </xdr:nvSpPr>
          <xdr:spPr>
            <a:xfrm>
              <a:off x="9967904" y="220505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ADDC449-E796-4FFE-A9E6-9605E23840BA}"/>
                </a:ext>
              </a:extLst>
            </xdr:cNvPr>
            <xdr:cNvSpPr txBox="1"/>
          </xdr:nvSpPr>
          <xdr:spPr>
            <a:xfrm>
              <a:off x="9967904" y="220505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390528</xdr:colOff>
      <xdr:row>13</xdr:row>
      <xdr:rowOff>142879</xdr:rowOff>
    </xdr:from>
    <xdr:to>
      <xdr:col>14</xdr:col>
      <xdr:colOff>371483</xdr:colOff>
      <xdr:row>15</xdr:row>
      <xdr:rowOff>76203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6D189D1-0B4E-4412-A0C7-076ED63E1DBE}"/>
                </a:ext>
              </a:extLst>
            </xdr:cNvPr>
            <xdr:cNvSpPr txBox="1"/>
          </xdr:nvSpPr>
          <xdr:spPr>
            <a:xfrm>
              <a:off x="9020178" y="24955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86D189D1-0B4E-4412-A0C7-076ED63E1DBE}"/>
                </a:ext>
              </a:extLst>
            </xdr:cNvPr>
            <xdr:cNvSpPr txBox="1"/>
          </xdr:nvSpPr>
          <xdr:spPr>
            <a:xfrm>
              <a:off x="9020178" y="249555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+𝟕%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138113</xdr:colOff>
      <xdr:row>12</xdr:row>
      <xdr:rowOff>119066</xdr:rowOff>
    </xdr:from>
    <xdr:to>
      <xdr:col>18</xdr:col>
      <xdr:colOff>119068</xdr:colOff>
      <xdr:row>14</xdr:row>
      <xdr:rowOff>52390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F4ED9CBE-610C-488A-95B3-86D63ECAB33E}"/>
                </a:ext>
              </a:extLst>
            </xdr:cNvPr>
            <xdr:cNvSpPr txBox="1"/>
          </xdr:nvSpPr>
          <xdr:spPr>
            <a:xfrm>
              <a:off x="11358563" y="229076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𝟏𝟖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F4ED9CBE-610C-488A-95B3-86D63ECAB33E}"/>
                </a:ext>
              </a:extLst>
            </xdr:cNvPr>
            <xdr:cNvSpPr txBox="1"/>
          </xdr:nvSpPr>
          <xdr:spPr>
            <a:xfrm>
              <a:off x="11358563" y="2290766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−𝟏𝟖%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252420</xdr:colOff>
      <xdr:row>10</xdr:row>
      <xdr:rowOff>4767</xdr:rowOff>
    </xdr:from>
    <xdr:to>
      <xdr:col>7</xdr:col>
      <xdr:colOff>233375</xdr:colOff>
      <xdr:row>11</xdr:row>
      <xdr:rowOff>119066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F770E60A-413A-4603-855D-8FBF234C5076}"/>
                </a:ext>
              </a:extLst>
            </xdr:cNvPr>
            <xdr:cNvSpPr txBox="1"/>
          </xdr:nvSpPr>
          <xdr:spPr>
            <a:xfrm>
              <a:off x="4348170" y="181451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𝟑𝟑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F770E60A-413A-4603-855D-8FBF234C5076}"/>
                </a:ext>
              </a:extLst>
            </xdr:cNvPr>
            <xdr:cNvSpPr txBox="1"/>
          </xdr:nvSpPr>
          <xdr:spPr>
            <a:xfrm>
              <a:off x="4348170" y="1814517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+𝟑𝟑%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566733</xdr:colOff>
      <xdr:row>9</xdr:row>
      <xdr:rowOff>166688</xdr:rowOff>
    </xdr:from>
    <xdr:to>
      <xdr:col>8</xdr:col>
      <xdr:colOff>547688</xdr:colOff>
      <xdr:row>11</xdr:row>
      <xdr:rowOff>100012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4924E47-2CFA-4141-9DC9-8964883C1559}"/>
                </a:ext>
              </a:extLst>
            </xdr:cNvPr>
            <xdr:cNvSpPr txBox="1"/>
          </xdr:nvSpPr>
          <xdr:spPr>
            <a:xfrm>
              <a:off x="5310183" y="1795463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𝟐𝟓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4924E47-2CFA-4141-9DC9-8964883C1559}"/>
                </a:ext>
              </a:extLst>
            </xdr:cNvPr>
            <xdr:cNvSpPr txBox="1"/>
          </xdr:nvSpPr>
          <xdr:spPr>
            <a:xfrm>
              <a:off x="5310183" y="1795463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+𝟐𝟓%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319078</xdr:colOff>
      <xdr:row>14</xdr:row>
      <xdr:rowOff>142880</xdr:rowOff>
    </xdr:from>
    <xdr:to>
      <xdr:col>17</xdr:col>
      <xdr:colOff>300033</xdr:colOff>
      <xdr:row>16</xdr:row>
      <xdr:rowOff>76204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4981E68F-C4ED-41C8-8E0E-AB893EC5A118}"/>
                </a:ext>
              </a:extLst>
            </xdr:cNvPr>
            <xdr:cNvSpPr txBox="1"/>
          </xdr:nvSpPr>
          <xdr:spPr>
            <a:xfrm>
              <a:off x="10891828" y="267653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𝟗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4981E68F-C4ED-41C8-8E0E-AB893EC5A118}"/>
                </a:ext>
              </a:extLst>
            </xdr:cNvPr>
            <xdr:cNvSpPr txBox="1"/>
          </xdr:nvSpPr>
          <xdr:spPr>
            <a:xfrm>
              <a:off x="10891828" y="267653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−𝟗%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114292</xdr:colOff>
      <xdr:row>12</xdr:row>
      <xdr:rowOff>119075</xdr:rowOff>
    </xdr:from>
    <xdr:to>
      <xdr:col>13</xdr:col>
      <xdr:colOff>95247</xdr:colOff>
      <xdr:row>14</xdr:row>
      <xdr:rowOff>52399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83CFA21-2A14-4024-B289-F5007011ACCD}"/>
                </a:ext>
              </a:extLst>
            </xdr:cNvPr>
            <xdr:cNvSpPr txBox="1"/>
          </xdr:nvSpPr>
          <xdr:spPr>
            <a:xfrm>
              <a:off x="8096242" y="2290775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83CFA21-2A14-4024-B289-F5007011ACCD}"/>
                </a:ext>
              </a:extLst>
            </xdr:cNvPr>
            <xdr:cNvSpPr txBox="1"/>
          </xdr:nvSpPr>
          <xdr:spPr>
            <a:xfrm>
              <a:off x="8096242" y="2290775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571499</xdr:colOff>
      <xdr:row>13</xdr:row>
      <xdr:rowOff>52395</xdr:rowOff>
    </xdr:from>
    <xdr:to>
      <xdr:col>13</xdr:col>
      <xdr:colOff>552454</xdr:colOff>
      <xdr:row>14</xdr:row>
      <xdr:rowOff>166694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76D1607-F27C-47A9-9553-071B26F0F459}"/>
                </a:ext>
              </a:extLst>
            </xdr:cNvPr>
            <xdr:cNvSpPr txBox="1"/>
          </xdr:nvSpPr>
          <xdr:spPr>
            <a:xfrm>
              <a:off x="8553449" y="240507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76D1607-F27C-47A9-9553-071B26F0F459}"/>
                </a:ext>
              </a:extLst>
            </xdr:cNvPr>
            <xdr:cNvSpPr txBox="1"/>
          </xdr:nvSpPr>
          <xdr:spPr>
            <a:xfrm>
              <a:off x="8553449" y="240507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447668</xdr:colOff>
      <xdr:row>8</xdr:row>
      <xdr:rowOff>104784</xdr:rowOff>
    </xdr:from>
    <xdr:to>
      <xdr:col>6</xdr:col>
      <xdr:colOff>428623</xdr:colOff>
      <xdr:row>10</xdr:row>
      <xdr:rowOff>38108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57C224A-02E5-4626-AD8E-AB592BAC3126}"/>
                </a:ext>
              </a:extLst>
            </xdr:cNvPr>
            <xdr:cNvSpPr txBox="1"/>
          </xdr:nvSpPr>
          <xdr:spPr>
            <a:xfrm>
              <a:off x="3895718" y="155258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𝟑𝟑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57C224A-02E5-4626-AD8E-AB592BAC3126}"/>
                </a:ext>
              </a:extLst>
            </xdr:cNvPr>
            <xdr:cNvSpPr txBox="1"/>
          </xdr:nvSpPr>
          <xdr:spPr>
            <a:xfrm>
              <a:off x="3895718" y="1552584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+𝟑𝟑%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304797</xdr:colOff>
      <xdr:row>12</xdr:row>
      <xdr:rowOff>180972</xdr:rowOff>
    </xdr:from>
    <xdr:to>
      <xdr:col>12</xdr:col>
      <xdr:colOff>285752</xdr:colOff>
      <xdr:row>14</xdr:row>
      <xdr:rowOff>114296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2E1377D-B036-481D-A043-91656C80ABE8}"/>
                </a:ext>
              </a:extLst>
            </xdr:cNvPr>
            <xdr:cNvSpPr txBox="1"/>
          </xdr:nvSpPr>
          <xdr:spPr>
            <a:xfrm>
              <a:off x="7639047" y="235267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𝟏𝟎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2E1377D-B036-481D-A043-91656C80ABE8}"/>
                </a:ext>
              </a:extLst>
            </xdr:cNvPr>
            <xdr:cNvSpPr txBox="1"/>
          </xdr:nvSpPr>
          <xdr:spPr>
            <a:xfrm>
              <a:off x="7639047" y="235267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+𝟏𝟎%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0</xdr:row>
      <xdr:rowOff>26193</xdr:rowOff>
    </xdr:from>
    <xdr:to>
      <xdr:col>19</xdr:col>
      <xdr:colOff>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BA3A5-01A9-4252-A982-7CDFE49D1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140395</xdr:colOff>
      <xdr:row>11</xdr:row>
      <xdr:rowOff>68977</xdr:rowOff>
    </xdr:from>
    <xdr:to>
      <xdr:col>18</xdr:col>
      <xdr:colOff>471801</xdr:colOff>
      <xdr:row>13</xdr:row>
      <xdr:rowOff>38433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B2E5CD5E-3224-4816-8F29-E4723FC18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8545" y="2231152"/>
          <a:ext cx="331406" cy="3314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390517</xdr:colOff>
      <xdr:row>10</xdr:row>
      <xdr:rowOff>4780</xdr:rowOff>
    </xdr:from>
    <xdr:to>
      <xdr:col>14</xdr:col>
      <xdr:colOff>128147</xdr:colOff>
      <xdr:row>12</xdr:row>
      <xdr:rowOff>28160</xdr:rowOff>
    </xdr:to>
    <xdr:pic>
      <xdr:nvPicPr>
        <xdr:cNvPr id="4" name="Picture 3" descr="A picture containing text, clipart&#10;&#10;Description automatically generated">
          <a:extLst>
            <a:ext uri="{FF2B5EF4-FFF2-40B4-BE49-F238E27FC236}">
              <a16:creationId xmlns:a16="http://schemas.microsoft.com/office/drawing/2014/main" id="{B8E7D1D7-0F11-460F-AE3F-99915A545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67" y="1985980"/>
          <a:ext cx="385330" cy="3853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219069</xdr:colOff>
      <xdr:row>7</xdr:row>
      <xdr:rowOff>38117</xdr:rowOff>
    </xdr:from>
    <xdr:to>
      <xdr:col>12</xdr:col>
      <xdr:colOff>595738</xdr:colOff>
      <xdr:row>9</xdr:row>
      <xdr:rowOff>52836</xdr:rowOff>
    </xdr:to>
    <xdr:pic>
      <xdr:nvPicPr>
        <xdr:cNvPr id="5" name="Picture 4" descr="Logo&#10;&#10;Description automatically generated">
          <a:extLst>
            <a:ext uri="{FF2B5EF4-FFF2-40B4-BE49-F238E27FC236}">
              <a16:creationId xmlns:a16="http://schemas.microsoft.com/office/drawing/2014/main" id="{41EC3F4A-B4EC-4290-9529-83AC53C36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19" y="1476392"/>
          <a:ext cx="376669" cy="376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576268</xdr:colOff>
      <xdr:row>11</xdr:row>
      <xdr:rowOff>22</xdr:rowOff>
    </xdr:from>
    <xdr:to>
      <xdr:col>17</xdr:col>
      <xdr:colOff>279262</xdr:colOff>
      <xdr:row>12</xdr:row>
      <xdr:rowOff>169741</xdr:rowOff>
    </xdr:to>
    <xdr:pic>
      <xdr:nvPicPr>
        <xdr:cNvPr id="6" name="Picture 5" descr="Logo, company name&#10;&#10;Description automatically generated">
          <a:extLst>
            <a:ext uri="{FF2B5EF4-FFF2-40B4-BE49-F238E27FC236}">
              <a16:creationId xmlns:a16="http://schemas.microsoft.com/office/drawing/2014/main" id="{8071C487-5659-4324-A154-9402D214D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9018" y="2162197"/>
          <a:ext cx="350694" cy="3506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187195</xdr:colOff>
      <xdr:row>10</xdr:row>
      <xdr:rowOff>25289</xdr:rowOff>
    </xdr:from>
    <xdr:to>
      <xdr:col>14</xdr:col>
      <xdr:colOff>502071</xdr:colOff>
      <xdr:row>11</xdr:row>
      <xdr:rowOff>159190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DE8AEAF5-F840-4258-B25C-0659BDB52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4545" y="2006489"/>
          <a:ext cx="314876" cy="3148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599128</xdr:colOff>
      <xdr:row>9</xdr:row>
      <xdr:rowOff>170518</xdr:rowOff>
    </xdr:from>
    <xdr:to>
      <xdr:col>15</xdr:col>
      <xdr:colOff>313535</xdr:colOff>
      <xdr:row>11</xdr:row>
      <xdr:rowOff>170675</xdr:rowOff>
    </xdr:to>
    <xdr:pic>
      <xdr:nvPicPr>
        <xdr:cNvPr id="8" name="Picture 7" descr="Logo&#10;&#10;Description automatically generated">
          <a:extLst>
            <a:ext uri="{FF2B5EF4-FFF2-40B4-BE49-F238E27FC236}">
              <a16:creationId xmlns:a16="http://schemas.microsoft.com/office/drawing/2014/main" id="{2FD8986B-A070-430B-9BC6-8B860524E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478" y="1970743"/>
          <a:ext cx="362107" cy="3621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23820</xdr:colOff>
      <xdr:row>9</xdr:row>
      <xdr:rowOff>57164</xdr:rowOff>
    </xdr:from>
    <xdr:to>
      <xdr:col>11</xdr:col>
      <xdr:colOff>392697</xdr:colOff>
      <xdr:row>11</xdr:row>
      <xdr:rowOff>64091</xdr:rowOff>
    </xdr:to>
    <xdr:pic>
      <xdr:nvPicPr>
        <xdr:cNvPr id="9" name="Picture 8" descr="A blue and yellow logo&#10;&#10;Description automatically generated with low confidence">
          <a:extLst>
            <a:ext uri="{FF2B5EF4-FFF2-40B4-BE49-F238E27FC236}">
              <a16:creationId xmlns:a16="http://schemas.microsoft.com/office/drawing/2014/main" id="{C4D30162-9F9A-4B51-816F-92B98FF46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8070" y="1857389"/>
          <a:ext cx="368877" cy="3688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61919</xdr:colOff>
      <xdr:row>7</xdr:row>
      <xdr:rowOff>104801</xdr:rowOff>
    </xdr:from>
    <xdr:to>
      <xdr:col>7</xdr:col>
      <xdr:colOff>482752</xdr:colOff>
      <xdr:row>9</xdr:row>
      <xdr:rowOff>163684</xdr:rowOff>
    </xdr:to>
    <xdr:pic>
      <xdr:nvPicPr>
        <xdr:cNvPr id="10" name="Picture 9" descr="A picture containing text, sign, outdoor&#10;&#10;Description automatically generated">
          <a:extLst>
            <a:ext uri="{FF2B5EF4-FFF2-40B4-BE49-F238E27FC236}">
              <a16:creationId xmlns:a16="http://schemas.microsoft.com/office/drawing/2014/main" id="{23DAA97B-3251-4B26-9243-09E9BF50A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5369" y="1543076"/>
          <a:ext cx="420833" cy="4208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523879</xdr:colOff>
      <xdr:row>7</xdr:row>
      <xdr:rowOff>142884</xdr:rowOff>
    </xdr:from>
    <xdr:to>
      <xdr:col>8</xdr:col>
      <xdr:colOff>283156</xdr:colOff>
      <xdr:row>10</xdr:row>
      <xdr:rowOff>6936</xdr:rowOff>
    </xdr:to>
    <xdr:pic>
      <xdr:nvPicPr>
        <xdr:cNvPr id="11" name="Picture 10" descr="A picture containing logo&#10;&#10;Description automatically generated">
          <a:extLst>
            <a:ext uri="{FF2B5EF4-FFF2-40B4-BE49-F238E27FC236}">
              <a16:creationId xmlns:a16="http://schemas.microsoft.com/office/drawing/2014/main" id="{71739020-BBF0-4E18-A277-3EDE80430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9" y="1581159"/>
          <a:ext cx="406977" cy="40697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323855</xdr:colOff>
      <xdr:row>9</xdr:row>
      <xdr:rowOff>100017</xdr:rowOff>
    </xdr:from>
    <xdr:to>
      <xdr:col>18</xdr:col>
      <xdr:colOff>88325</xdr:colOff>
      <xdr:row>11</xdr:row>
      <xdr:rowOff>150237</xdr:rowOff>
    </xdr:to>
    <xdr:pic>
      <xdr:nvPicPr>
        <xdr:cNvPr id="12" name="Picture 11" descr="A picture containing text, clipart&#10;&#10;Description automatically generated">
          <a:extLst>
            <a:ext uri="{FF2B5EF4-FFF2-40B4-BE49-F238E27FC236}">
              <a16:creationId xmlns:a16="http://schemas.microsoft.com/office/drawing/2014/main" id="{B46D951C-21AD-4703-B4CE-2992417B8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5" y="1900242"/>
          <a:ext cx="412170" cy="412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136008</xdr:colOff>
      <xdr:row>9</xdr:row>
      <xdr:rowOff>97892</xdr:rowOff>
    </xdr:from>
    <xdr:to>
      <xdr:col>16</xdr:col>
      <xdr:colOff>474499</xdr:colOff>
      <xdr:row>11</xdr:row>
      <xdr:rowOff>74433</xdr:rowOff>
    </xdr:to>
    <xdr:pic>
      <xdr:nvPicPr>
        <xdr:cNvPr id="13" name="Picture 12" descr="Logo, company name&#10;&#10;Description automatically generated">
          <a:extLst>
            <a:ext uri="{FF2B5EF4-FFF2-40B4-BE49-F238E27FC236}">
              <a16:creationId xmlns:a16="http://schemas.microsoft.com/office/drawing/2014/main" id="{00E92BE2-71A3-462B-B6D8-EB6AD0437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8758" y="1898117"/>
          <a:ext cx="338491" cy="3384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228446</xdr:colOff>
      <xdr:row>7</xdr:row>
      <xdr:rowOff>114151</xdr:rowOff>
    </xdr:from>
    <xdr:to>
      <xdr:col>10</xdr:col>
      <xdr:colOff>606298</xdr:colOff>
      <xdr:row>9</xdr:row>
      <xdr:rowOff>130053</xdr:rowOff>
    </xdr:to>
    <xdr:pic>
      <xdr:nvPicPr>
        <xdr:cNvPr id="14" name="Picture 13" descr="A picture containing text&#10;&#10;Description automatically generated">
          <a:extLst>
            <a:ext uri="{FF2B5EF4-FFF2-40B4-BE49-F238E27FC236}">
              <a16:creationId xmlns:a16="http://schemas.microsoft.com/office/drawing/2014/main" id="{F49C9839-4CB4-45B2-93C9-3BC750BB6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996" y="1552426"/>
          <a:ext cx="377852" cy="3778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361953</xdr:colOff>
      <xdr:row>9</xdr:row>
      <xdr:rowOff>23824</xdr:rowOff>
    </xdr:from>
    <xdr:to>
      <xdr:col>16</xdr:col>
      <xdr:colOff>77934</xdr:colOff>
      <xdr:row>11</xdr:row>
      <xdr:rowOff>25555</xdr:rowOff>
    </xdr:to>
    <xdr:pic>
      <xdr:nvPicPr>
        <xdr:cNvPr id="15" name="Picture 14" descr="A picture containing text, clipart&#10;&#10;Description automatically generated">
          <a:extLst>
            <a:ext uri="{FF2B5EF4-FFF2-40B4-BE49-F238E27FC236}">
              <a16:creationId xmlns:a16="http://schemas.microsoft.com/office/drawing/2014/main" id="{CF55F9E4-E792-4AB3-9A40-B97478054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3" y="1824049"/>
          <a:ext cx="363681" cy="3636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30385</xdr:colOff>
      <xdr:row>7</xdr:row>
      <xdr:rowOff>6583</xdr:rowOff>
    </xdr:from>
    <xdr:to>
      <xdr:col>9</xdr:col>
      <xdr:colOff>447595</xdr:colOff>
      <xdr:row>9</xdr:row>
      <xdr:rowOff>61843</xdr:rowOff>
    </xdr:to>
    <xdr:pic>
      <xdr:nvPicPr>
        <xdr:cNvPr id="16" name="Picture 15" descr="A logo with a person's face on it&#10;&#10;Description automatically generated with low confidence">
          <a:extLst>
            <a:ext uri="{FF2B5EF4-FFF2-40B4-BE49-F238E27FC236}">
              <a16:creationId xmlns:a16="http://schemas.microsoft.com/office/drawing/2014/main" id="{1FA257DF-301A-46D5-9E58-16D1A7E42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9235" y="1444858"/>
          <a:ext cx="417210" cy="4172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623897</xdr:colOff>
      <xdr:row>8</xdr:row>
      <xdr:rowOff>19064</xdr:rowOff>
    </xdr:from>
    <xdr:to>
      <xdr:col>13</xdr:col>
      <xdr:colOff>379710</xdr:colOff>
      <xdr:row>10</xdr:row>
      <xdr:rowOff>60627</xdr:rowOff>
    </xdr:to>
    <xdr:pic>
      <xdr:nvPicPr>
        <xdr:cNvPr id="17" name="Picture 16" descr="Logo&#10;&#10;Description automatically generated">
          <a:extLst>
            <a:ext uri="{FF2B5EF4-FFF2-40B4-BE49-F238E27FC236}">
              <a16:creationId xmlns:a16="http://schemas.microsoft.com/office/drawing/2014/main" id="{D0A62F03-9B9D-4478-B676-CB7E12DE2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5847" y="1638314"/>
          <a:ext cx="403513" cy="403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442912</xdr:colOff>
      <xdr:row>7</xdr:row>
      <xdr:rowOff>138124</xdr:rowOff>
    </xdr:from>
    <xdr:to>
      <xdr:col>12</xdr:col>
      <xdr:colOff>124258</xdr:colOff>
      <xdr:row>9</xdr:row>
      <xdr:rowOff>105220</xdr:rowOff>
    </xdr:to>
    <xdr:pic>
      <xdr:nvPicPr>
        <xdr:cNvPr id="18" name="Picture 17" descr="Icon&#10;&#10;Description automatically generated">
          <a:extLst>
            <a:ext uri="{FF2B5EF4-FFF2-40B4-BE49-F238E27FC236}">
              <a16:creationId xmlns:a16="http://schemas.microsoft.com/office/drawing/2014/main" id="{690D6630-E1F9-45BD-A6BB-286D1039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7162" y="1576399"/>
          <a:ext cx="329046" cy="32904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308706</xdr:colOff>
      <xdr:row>6</xdr:row>
      <xdr:rowOff>103912</xdr:rowOff>
    </xdr:from>
    <xdr:to>
      <xdr:col>8</xdr:col>
      <xdr:colOff>642080</xdr:colOff>
      <xdr:row>8</xdr:row>
      <xdr:rowOff>75336</xdr:rowOff>
    </xdr:to>
    <xdr:pic>
      <xdr:nvPicPr>
        <xdr:cNvPr id="19" name="Picture 18" descr="A picture containing text&#10;&#10;Description automatically generated">
          <a:extLst>
            <a:ext uri="{FF2B5EF4-FFF2-40B4-BE49-F238E27FC236}">
              <a16:creationId xmlns:a16="http://schemas.microsoft.com/office/drawing/2014/main" id="{CEA2587C-82D1-4B46-8BFB-553DFC704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856" y="1361212"/>
          <a:ext cx="333374" cy="3333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500060</xdr:colOff>
      <xdr:row>6</xdr:row>
      <xdr:rowOff>128599</xdr:rowOff>
    </xdr:from>
    <xdr:to>
      <xdr:col>10</xdr:col>
      <xdr:colOff>177076</xdr:colOff>
      <xdr:row>8</xdr:row>
      <xdr:rowOff>91365</xdr:rowOff>
    </xdr:to>
    <xdr:pic>
      <xdr:nvPicPr>
        <xdr:cNvPr id="20" name="Picture 19" descr="Logo&#10;&#10;Description automatically generated">
          <a:extLst>
            <a:ext uri="{FF2B5EF4-FFF2-40B4-BE49-F238E27FC236}">
              <a16:creationId xmlns:a16="http://schemas.microsoft.com/office/drawing/2014/main" id="{585CEFB9-3701-4EB7-902D-F04DA3C73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10" y="1385899"/>
          <a:ext cx="324716" cy="32471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14282</xdr:colOff>
      <xdr:row>13</xdr:row>
      <xdr:rowOff>14299</xdr:rowOff>
    </xdr:from>
    <xdr:to>
      <xdr:col>18</xdr:col>
      <xdr:colOff>585787</xdr:colOff>
      <xdr:row>14</xdr:row>
      <xdr:rowOff>128598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66E663F-B4C6-43DE-AB93-708818E7BFC5}"/>
                </a:ext>
              </a:extLst>
            </xdr:cNvPr>
            <xdr:cNvSpPr txBox="1"/>
          </xdr:nvSpPr>
          <xdr:spPr>
            <a:xfrm>
              <a:off x="11882432" y="253842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𝟏𝟗</m:t>
                    </m:r>
                    <m:r>
                      <a:rPr lang="es-MX" sz="12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66E663F-B4C6-43DE-AB93-708818E7BFC5}"/>
                </a:ext>
              </a:extLst>
            </xdr:cNvPr>
            <xdr:cNvSpPr txBox="1"/>
          </xdr:nvSpPr>
          <xdr:spPr>
            <a:xfrm>
              <a:off x="11882432" y="253842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−𝟏𝟗%</a:t>
              </a:r>
              <a:endParaRPr lang="es-MX" sz="12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1</xdr:col>
      <xdr:colOff>628655</xdr:colOff>
      <xdr:row>21</xdr:row>
      <xdr:rowOff>114299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8532CD2-3867-4B92-8283-229E69BDDB48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8532CD2-3867-4B92-8283-229E69BDDB48}"/>
                </a:ext>
              </a:extLst>
            </xdr:cNvPr>
            <xdr:cNvSpPr txBox="1"/>
          </xdr:nvSpPr>
          <xdr:spPr>
            <a:xfrm>
              <a:off x="647700" y="36195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20</xdr:row>
      <xdr:rowOff>152400</xdr:rowOff>
    </xdr:from>
    <xdr:to>
      <xdr:col>1</xdr:col>
      <xdr:colOff>781055</xdr:colOff>
      <xdr:row>22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61C7F8C-7C57-4F37-88CC-950B0DFC04F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61C7F8C-7C57-4F37-88CC-950B0DFC04F5}"/>
                </a:ext>
              </a:extLst>
            </xdr:cNvPr>
            <xdr:cNvSpPr txBox="1"/>
          </xdr:nvSpPr>
          <xdr:spPr>
            <a:xfrm>
              <a:off x="800100" y="37719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123825</xdr:rowOff>
    </xdr:from>
    <xdr:to>
      <xdr:col>2</xdr:col>
      <xdr:colOff>76205</xdr:colOff>
      <xdr:row>23</xdr:row>
      <xdr:rowOff>57149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7F1D028-CE28-4772-AFA8-16E5BBB7800C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7F1D028-CE28-4772-AFA8-16E5BBB7800C}"/>
                </a:ext>
              </a:extLst>
            </xdr:cNvPr>
            <xdr:cNvSpPr txBox="1"/>
          </xdr:nvSpPr>
          <xdr:spPr>
            <a:xfrm>
              <a:off x="952500" y="39243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457200</xdr:colOff>
      <xdr:row>22</xdr:row>
      <xdr:rowOff>95250</xdr:rowOff>
    </xdr:from>
    <xdr:to>
      <xdr:col>2</xdr:col>
      <xdr:colOff>228605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E57333C-C1C3-434C-BDA5-BF6F6FD1638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E57333C-C1C3-434C-BDA5-BF6F6FD1638D}"/>
                </a:ext>
              </a:extLst>
            </xdr:cNvPr>
            <xdr:cNvSpPr txBox="1"/>
          </xdr:nvSpPr>
          <xdr:spPr>
            <a:xfrm>
              <a:off x="1104900" y="40767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609600</xdr:colOff>
      <xdr:row>23</xdr:row>
      <xdr:rowOff>66675</xdr:rowOff>
    </xdr:from>
    <xdr:to>
      <xdr:col>2</xdr:col>
      <xdr:colOff>381005</xdr:colOff>
      <xdr:row>24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A530A47-7983-4B93-B793-55D6A86319E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4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 b="1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A530A47-7983-4B93-B793-55D6A86319E9}"/>
                </a:ext>
              </a:extLst>
            </xdr:cNvPr>
            <xdr:cNvSpPr txBox="1"/>
          </xdr:nvSpPr>
          <xdr:spPr>
            <a:xfrm>
              <a:off x="1257300" y="4229100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4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400" b="1">
                <a:solidFill>
                  <a:srgbClr val="0070C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561968</xdr:colOff>
      <xdr:row>11</xdr:row>
      <xdr:rowOff>76208</xdr:rowOff>
    </xdr:from>
    <xdr:to>
      <xdr:col>11</xdr:col>
      <xdr:colOff>485773</xdr:colOff>
      <xdr:row>13</xdr:row>
      <xdr:rowOff>9532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E9837EB-C6B5-4522-A5EA-1ACBB916CACC}"/>
                </a:ext>
              </a:extLst>
            </xdr:cNvPr>
            <xdr:cNvSpPr txBox="1"/>
          </xdr:nvSpPr>
          <xdr:spPr>
            <a:xfrm>
              <a:off x="7248518" y="223838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𝟏𝟏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E9837EB-C6B5-4522-A5EA-1ACBB916CACC}"/>
                </a:ext>
              </a:extLst>
            </xdr:cNvPr>
            <xdr:cNvSpPr txBox="1"/>
          </xdr:nvSpPr>
          <xdr:spPr>
            <a:xfrm>
              <a:off x="7248518" y="223838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+𝟏𝟏%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461966</xdr:colOff>
      <xdr:row>12</xdr:row>
      <xdr:rowOff>171466</xdr:rowOff>
    </xdr:from>
    <xdr:to>
      <xdr:col>17</xdr:col>
      <xdr:colOff>385771</xdr:colOff>
      <xdr:row>14</xdr:row>
      <xdr:rowOff>104790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317856D-DC9D-4DDD-99CA-F1D722D51372}"/>
                </a:ext>
              </a:extLst>
            </xdr:cNvPr>
            <xdr:cNvSpPr txBox="1"/>
          </xdr:nvSpPr>
          <xdr:spPr>
            <a:xfrm>
              <a:off x="11034716" y="2514616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317856D-DC9D-4DDD-99CA-F1D722D51372}"/>
                </a:ext>
              </a:extLst>
            </xdr:cNvPr>
            <xdr:cNvSpPr txBox="1"/>
          </xdr:nvSpPr>
          <xdr:spPr>
            <a:xfrm>
              <a:off x="11034716" y="2514616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𝟎%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164087</xdr:colOff>
      <xdr:row>9</xdr:row>
      <xdr:rowOff>147640</xdr:rowOff>
    </xdr:from>
    <xdr:to>
      <xdr:col>11</xdr:col>
      <xdr:colOff>35937</xdr:colOff>
      <xdr:row>11</xdr:row>
      <xdr:rowOff>80964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E93A63A-2793-448C-86A4-09CDE3A6F231}"/>
                </a:ext>
              </a:extLst>
            </xdr:cNvPr>
            <xdr:cNvSpPr txBox="1"/>
          </xdr:nvSpPr>
          <xdr:spPr>
            <a:xfrm>
              <a:off x="6850637" y="194786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𝟏𝟓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E93A63A-2793-448C-86A4-09CDE3A6F231}"/>
                </a:ext>
              </a:extLst>
            </xdr:cNvPr>
            <xdr:cNvSpPr txBox="1"/>
          </xdr:nvSpPr>
          <xdr:spPr>
            <a:xfrm>
              <a:off x="6850637" y="194786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+𝟏𝟓%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257176</xdr:colOff>
      <xdr:row>11</xdr:row>
      <xdr:rowOff>23819</xdr:rowOff>
    </xdr:from>
    <xdr:to>
      <xdr:col>16</xdr:col>
      <xdr:colOff>180981</xdr:colOff>
      <xdr:row>12</xdr:row>
      <xdr:rowOff>138118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87DBBCA-0FA4-4AA6-AC12-83416986F634}"/>
                </a:ext>
              </a:extLst>
            </xdr:cNvPr>
            <xdr:cNvSpPr txBox="1"/>
          </xdr:nvSpPr>
          <xdr:spPr>
            <a:xfrm>
              <a:off x="10182226" y="218599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587DBBCA-0FA4-4AA6-AC12-83416986F634}"/>
                </a:ext>
              </a:extLst>
            </xdr:cNvPr>
            <xdr:cNvSpPr txBox="1"/>
          </xdr:nvSpPr>
          <xdr:spPr>
            <a:xfrm>
              <a:off x="10182226" y="218599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333376</xdr:colOff>
      <xdr:row>9</xdr:row>
      <xdr:rowOff>104780</xdr:rowOff>
    </xdr:from>
    <xdr:to>
      <xdr:col>12</xdr:col>
      <xdr:colOff>257181</xdr:colOff>
      <xdr:row>11</xdr:row>
      <xdr:rowOff>38104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1B1A899-4ADC-42D2-BE1D-E5EEECADF8B0}"/>
                </a:ext>
              </a:extLst>
            </xdr:cNvPr>
            <xdr:cNvSpPr txBox="1"/>
          </xdr:nvSpPr>
          <xdr:spPr>
            <a:xfrm>
              <a:off x="7667626" y="19050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𝟏𝟏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1B1A899-4ADC-42D2-BE1D-E5EEECADF8B0}"/>
                </a:ext>
              </a:extLst>
            </xdr:cNvPr>
            <xdr:cNvSpPr txBox="1"/>
          </xdr:nvSpPr>
          <xdr:spPr>
            <a:xfrm>
              <a:off x="7667626" y="19050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+𝟏𝟏%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371470</xdr:colOff>
      <xdr:row>8</xdr:row>
      <xdr:rowOff>85730</xdr:rowOff>
    </xdr:from>
    <xdr:to>
      <xdr:col>10</xdr:col>
      <xdr:colOff>295275</xdr:colOff>
      <xdr:row>10</xdr:row>
      <xdr:rowOff>19054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309A8D3E-9C14-4EE1-8CFD-04D39D132F24}"/>
                </a:ext>
              </a:extLst>
            </xdr:cNvPr>
            <xdr:cNvSpPr txBox="1"/>
          </xdr:nvSpPr>
          <xdr:spPr>
            <a:xfrm>
              <a:off x="6410320" y="1704980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𝟏𝟔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309A8D3E-9C14-4EE1-8CFD-04D39D132F24}"/>
                </a:ext>
              </a:extLst>
            </xdr:cNvPr>
            <xdr:cNvSpPr txBox="1"/>
          </xdr:nvSpPr>
          <xdr:spPr>
            <a:xfrm>
              <a:off x="6410320" y="1704980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+𝟏𝟔%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511754</xdr:colOff>
      <xdr:row>12</xdr:row>
      <xdr:rowOff>23825</xdr:rowOff>
    </xdr:from>
    <xdr:to>
      <xdr:col>15</xdr:col>
      <xdr:colOff>383604</xdr:colOff>
      <xdr:row>13</xdr:row>
      <xdr:rowOff>138124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D50F865-B423-4898-8BE2-37FB95B4C50B}"/>
                </a:ext>
              </a:extLst>
            </xdr:cNvPr>
            <xdr:cNvSpPr txBox="1"/>
          </xdr:nvSpPr>
          <xdr:spPr>
            <a:xfrm>
              <a:off x="9789104" y="236697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D50F865-B423-4898-8BE2-37FB95B4C50B}"/>
                </a:ext>
              </a:extLst>
            </xdr:cNvPr>
            <xdr:cNvSpPr txBox="1"/>
          </xdr:nvSpPr>
          <xdr:spPr>
            <a:xfrm>
              <a:off x="9789104" y="2366975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+𝟓%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300027</xdr:colOff>
      <xdr:row>12</xdr:row>
      <xdr:rowOff>33355</xdr:rowOff>
    </xdr:from>
    <xdr:to>
      <xdr:col>14</xdr:col>
      <xdr:colOff>223832</xdr:colOff>
      <xdr:row>13</xdr:row>
      <xdr:rowOff>147654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30150E0-1EF5-4959-8AB7-B9CECD636F13}"/>
                </a:ext>
              </a:extLst>
            </xdr:cNvPr>
            <xdr:cNvSpPr txBox="1"/>
          </xdr:nvSpPr>
          <xdr:spPr>
            <a:xfrm>
              <a:off x="8929677" y="23765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30150E0-1EF5-4959-8AB7-B9CECD636F13}"/>
                </a:ext>
              </a:extLst>
            </xdr:cNvPr>
            <xdr:cNvSpPr txBox="1"/>
          </xdr:nvSpPr>
          <xdr:spPr>
            <a:xfrm>
              <a:off x="8929677" y="2376505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176222</xdr:colOff>
      <xdr:row>8</xdr:row>
      <xdr:rowOff>95251</xdr:rowOff>
    </xdr:from>
    <xdr:to>
      <xdr:col>9</xdr:col>
      <xdr:colOff>100027</xdr:colOff>
      <xdr:row>10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46F1BA0-E85A-464D-B406-5A674B35D1FB}"/>
                </a:ext>
              </a:extLst>
            </xdr:cNvPr>
            <xdr:cNvSpPr txBox="1"/>
          </xdr:nvSpPr>
          <xdr:spPr>
            <a:xfrm>
              <a:off x="5567372" y="1714501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𝟐𝟎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46F1BA0-E85A-464D-B406-5A674B35D1FB}"/>
                </a:ext>
              </a:extLst>
            </xdr:cNvPr>
            <xdr:cNvSpPr txBox="1"/>
          </xdr:nvSpPr>
          <xdr:spPr>
            <a:xfrm>
              <a:off x="5567372" y="1714501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+𝟐𝟎%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92653</xdr:colOff>
      <xdr:row>12</xdr:row>
      <xdr:rowOff>9533</xdr:rowOff>
    </xdr:from>
    <xdr:to>
      <xdr:col>14</xdr:col>
      <xdr:colOff>612203</xdr:colOff>
      <xdr:row>13</xdr:row>
      <xdr:rowOff>123832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8D25D52-C57A-4E72-A1A7-D98F1A51F138}"/>
                </a:ext>
              </a:extLst>
            </xdr:cNvPr>
            <xdr:cNvSpPr txBox="1"/>
          </xdr:nvSpPr>
          <xdr:spPr>
            <a:xfrm>
              <a:off x="9370003" y="2352683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8D25D52-C57A-4E72-A1A7-D98F1A51F138}"/>
                </a:ext>
              </a:extLst>
            </xdr:cNvPr>
            <xdr:cNvSpPr txBox="1"/>
          </xdr:nvSpPr>
          <xdr:spPr>
            <a:xfrm>
              <a:off x="9370003" y="2352683"/>
              <a:ext cx="519550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+𝟕%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38109</xdr:colOff>
      <xdr:row>11</xdr:row>
      <xdr:rowOff>90489</xdr:rowOff>
    </xdr:from>
    <xdr:to>
      <xdr:col>16</xdr:col>
      <xdr:colOff>609614</xdr:colOff>
      <xdr:row>13</xdr:row>
      <xdr:rowOff>23813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DBF73947-23AC-406B-9951-8F30D2EC17C2}"/>
                </a:ext>
              </a:extLst>
            </xdr:cNvPr>
            <xdr:cNvSpPr txBox="1"/>
          </xdr:nvSpPr>
          <xdr:spPr>
            <a:xfrm>
              <a:off x="10610859" y="225266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𝟐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DBF73947-23AC-406B-9951-8F30D2EC17C2}"/>
                </a:ext>
              </a:extLst>
            </xdr:cNvPr>
            <xdr:cNvSpPr txBox="1"/>
          </xdr:nvSpPr>
          <xdr:spPr>
            <a:xfrm>
              <a:off x="10610859" y="2252664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+𝟐%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442913</xdr:colOff>
      <xdr:row>10</xdr:row>
      <xdr:rowOff>19049</xdr:rowOff>
    </xdr:from>
    <xdr:to>
      <xdr:col>8</xdr:col>
      <xdr:colOff>366718</xdr:colOff>
      <xdr:row>11</xdr:row>
      <xdr:rowOff>133348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F8D003A-2C56-42CE-AC89-55C76D380987}"/>
                </a:ext>
              </a:extLst>
            </xdr:cNvPr>
            <xdr:cNvSpPr txBox="1"/>
          </xdr:nvSpPr>
          <xdr:spPr>
            <a:xfrm>
              <a:off x="5186363" y="200024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𝟐𝟐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5F8D003A-2C56-42CE-AC89-55C76D380987}"/>
                </a:ext>
              </a:extLst>
            </xdr:cNvPr>
            <xdr:cNvSpPr txBox="1"/>
          </xdr:nvSpPr>
          <xdr:spPr>
            <a:xfrm>
              <a:off x="5186363" y="200024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+𝟐𝟐%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90476</xdr:colOff>
      <xdr:row>9</xdr:row>
      <xdr:rowOff>61917</xdr:rowOff>
    </xdr:from>
    <xdr:to>
      <xdr:col>13</xdr:col>
      <xdr:colOff>71431</xdr:colOff>
      <xdr:row>10</xdr:row>
      <xdr:rowOff>176216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228DCDE5-49E1-422F-94EB-25D2D915B6C7}"/>
                </a:ext>
              </a:extLst>
            </xdr:cNvPr>
            <xdr:cNvSpPr txBox="1"/>
          </xdr:nvSpPr>
          <xdr:spPr>
            <a:xfrm>
              <a:off x="8072426" y="186214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𝟗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228DCDE5-49E1-422F-94EB-25D2D915B6C7}"/>
                </a:ext>
              </a:extLst>
            </xdr:cNvPr>
            <xdr:cNvSpPr txBox="1"/>
          </xdr:nvSpPr>
          <xdr:spPr>
            <a:xfrm>
              <a:off x="8072426" y="1862142"/>
              <a:ext cx="62865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+𝟗%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233358</xdr:colOff>
      <xdr:row>11</xdr:row>
      <xdr:rowOff>147648</xdr:rowOff>
    </xdr:from>
    <xdr:to>
      <xdr:col>18</xdr:col>
      <xdr:colOff>157163</xdr:colOff>
      <xdr:row>13</xdr:row>
      <xdr:rowOff>80972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C10CCEF-89B6-4C15-9E9C-8687D813126B}"/>
                </a:ext>
              </a:extLst>
            </xdr:cNvPr>
            <xdr:cNvSpPr txBox="1"/>
          </xdr:nvSpPr>
          <xdr:spPr>
            <a:xfrm>
              <a:off x="11453808" y="230982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2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C10CCEF-89B6-4C15-9E9C-8687D813126B}"/>
                </a:ext>
              </a:extLst>
            </xdr:cNvPr>
            <xdr:cNvSpPr txBox="1"/>
          </xdr:nvSpPr>
          <xdr:spPr>
            <a:xfrm>
              <a:off x="11453808" y="230982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−𝟒%</a:t>
              </a:r>
              <a:endParaRPr lang="es-MX" sz="12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533398</xdr:colOff>
      <xdr:row>10</xdr:row>
      <xdr:rowOff>76209</xdr:rowOff>
    </xdr:from>
    <xdr:to>
      <xdr:col>13</xdr:col>
      <xdr:colOff>457203</xdr:colOff>
      <xdr:row>12</xdr:row>
      <xdr:rowOff>9533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ACBBDC3-0653-4F2A-A623-0F734D095182}"/>
                </a:ext>
              </a:extLst>
            </xdr:cNvPr>
            <xdr:cNvSpPr txBox="1"/>
          </xdr:nvSpPr>
          <xdr:spPr>
            <a:xfrm>
              <a:off x="8515348" y="205740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ACBBDC3-0653-4F2A-A623-0F734D095182}"/>
                </a:ext>
              </a:extLst>
            </xdr:cNvPr>
            <xdr:cNvSpPr txBox="1"/>
          </xdr:nvSpPr>
          <xdr:spPr>
            <a:xfrm>
              <a:off x="8515348" y="2057409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+𝟖%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623881</xdr:colOff>
      <xdr:row>10</xdr:row>
      <xdr:rowOff>4773</xdr:rowOff>
    </xdr:from>
    <xdr:to>
      <xdr:col>7</xdr:col>
      <xdr:colOff>547686</xdr:colOff>
      <xdr:row>11</xdr:row>
      <xdr:rowOff>119072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95836CF-7BFC-4DB7-B66E-ED8F36BEF682}"/>
                </a:ext>
              </a:extLst>
            </xdr:cNvPr>
            <xdr:cNvSpPr txBox="1"/>
          </xdr:nvSpPr>
          <xdr:spPr>
            <a:xfrm>
              <a:off x="4719631" y="198597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𝟐𝟒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95836CF-7BFC-4DB7-B66E-ED8F36BEF682}"/>
                </a:ext>
              </a:extLst>
            </xdr:cNvPr>
            <xdr:cNvSpPr txBox="1"/>
          </xdr:nvSpPr>
          <xdr:spPr>
            <a:xfrm>
              <a:off x="4719631" y="1985973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+𝟐𝟒%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595308</xdr:colOff>
      <xdr:row>9</xdr:row>
      <xdr:rowOff>90483</xdr:rowOff>
    </xdr:from>
    <xdr:to>
      <xdr:col>9</xdr:col>
      <xdr:colOff>519113</xdr:colOff>
      <xdr:row>11</xdr:row>
      <xdr:rowOff>23807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0DAC1E9-C958-4A5A-B096-42DDB7D852B4}"/>
                </a:ext>
              </a:extLst>
            </xdr:cNvPr>
            <xdr:cNvSpPr txBox="1"/>
          </xdr:nvSpPr>
          <xdr:spPr>
            <a:xfrm>
              <a:off x="5986458" y="1890708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𝟏𝟔</m:t>
                    </m:r>
                    <m:r>
                      <a:rPr lang="es-MX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0DAC1E9-C958-4A5A-B096-42DDB7D852B4}"/>
                </a:ext>
              </a:extLst>
            </xdr:cNvPr>
            <xdr:cNvSpPr txBox="1"/>
          </xdr:nvSpPr>
          <xdr:spPr>
            <a:xfrm>
              <a:off x="5986458" y="1890708"/>
              <a:ext cx="571505" cy="295274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+𝟏𝟔%</a:t>
              </a:r>
              <a:endParaRPr lang="es-MX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I20" totalsRowCount="1">
  <autoFilter ref="A1:BI19" xr:uid="{00000000-0009-0000-0100-000001000000}"/>
  <sortState xmlns:xlrd2="http://schemas.microsoft.com/office/spreadsheetml/2017/richdata2" ref="A2:BI19">
    <sortCondition descending="1" ref="AR1:AR19"/>
  </sortState>
  <tableColumns count="61">
    <tableColumn id="1" xr3:uid="{00000000-0010-0000-0000-000001000000}" name="Rank"/>
    <tableColumn id="2" xr3:uid="{00000000-0010-0000-0000-000002000000}" name="team"/>
    <tableColumn id="57" xr3:uid="{00000000-0010-0000-0000-000039000000}" name="Ratio Pts" dataCellStyle="Percent">
      <calculatedColumnFormula>Table1[[#This Row],[Points]]/Table1[[#This Row],[xPoints]]</calculatedColumnFormula>
    </tableColumn>
    <tableColumn id="3" xr3:uid="{00000000-0010-0000-0000-000003000000}" name="Points" totalsRowFunction="sum"/>
    <tableColumn id="4" xr3:uid="{00000000-0010-0000-0000-000004000000}" name="xPoints" totalsRowFunction="sum"/>
    <tableColumn id="5" xr3:uid="{00000000-0010-0000-0000-000005000000}" name="Wins" totalsRowFunction="sum"/>
    <tableColumn id="6" xr3:uid="{00000000-0010-0000-0000-000006000000}" name="Draws" totalsRowFunction="sum"/>
    <tableColumn id="7" xr3:uid="{00000000-0010-0000-0000-000007000000}" name="Losses"/>
    <tableColumn id="8" xr3:uid="{00000000-0010-0000-0000-000008000000}" name="xWins" totalsRowFunction="sum"/>
    <tableColumn id="9" xr3:uid="{00000000-0010-0000-0000-000009000000}" name="xDraws" totalsRowFunction="sum"/>
    <tableColumn id="10" xr3:uid="{00000000-0010-0000-0000-00000A000000}" name="xLosses" totalsRowFunction="sum"/>
    <tableColumn id="11" xr3:uid="{00000000-0010-0000-0000-00000B000000}" name="GoalDiff"/>
    <tableColumn id="12" xr3:uid="{00000000-0010-0000-0000-00000C000000}" name="xGoalDiff"/>
    <tableColumn id="13" xr3:uid="{00000000-0010-0000-0000-00000D000000}" name="GoalsF_Diff"/>
    <tableColumn id="14" xr3:uid="{00000000-0010-0000-0000-00000E000000}" name="GoalsA_Diff"/>
    <tableColumn id="60" xr3:uid="{00000000-0010-0000-0000-00003C000000}" name="RGoalsF" dataCellStyle="Percent">
      <calculatedColumnFormula>Table1[[#This Row],[GoalsF]]/Table1[[#This Row],[xGoalsF]]</calculatedColumnFormula>
    </tableColumn>
    <tableColumn id="15" xr3:uid="{00000000-0010-0000-0000-00000F000000}" name="GoalsF" totalsRowFunction="sum"/>
    <tableColumn id="16" xr3:uid="{00000000-0010-0000-0000-000010000000}" name="xGoalsF" totalsRowFunction="custom">
      <totalsRowFormula>SUM(Table1[xGoalsF])</totalsRowFormula>
    </tableColumn>
    <tableColumn id="61" xr3:uid="{00000000-0010-0000-0000-00003D000000}" name="RGoalsA" dataCellStyle="Percent">
      <calculatedColumnFormula>Table1[[#This Row],[GoalsA]]/Table1[[#This Row],[xGoalsA]]</calculatedColumnFormula>
    </tableColumn>
    <tableColumn id="17" xr3:uid="{00000000-0010-0000-0000-000011000000}" name="GoalsA"/>
    <tableColumn id="18" xr3:uid="{00000000-0010-0000-0000-000012000000}" name="xGoalsA"/>
    <tableColumn id="53" xr3:uid="{00000000-0010-0000-0000-000035000000}" name="2HTGoalsF" totalsRowFunction="sum" dataDxfId="26">
      <calculatedColumnFormula>Table1[[#This Row],[GoalsF]]-Table1[[#This Row],[HTGoalsF]]</calculatedColumnFormula>
    </tableColumn>
    <tableColumn id="54" xr3:uid="{00000000-0010-0000-0000-000036000000}" name="x2HTGoalsF" totalsRowFunction="sum" dataDxfId="25">
      <calculatedColumnFormula>Table1[[#This Row],[xGoalsF]]-Table1[[#This Row],[xHTGoalsF]]</calculatedColumnFormula>
    </tableColumn>
    <tableColumn id="55" xr3:uid="{00000000-0010-0000-0000-000037000000}" name="2HTGoalsA" dataDxfId="24">
      <calculatedColumnFormula>Table1[[#This Row],[GoalsA]]-Table1[[#This Row],[HTGoalsA]]</calculatedColumnFormula>
    </tableColumn>
    <tableColumn id="56" xr3:uid="{00000000-0010-0000-0000-000038000000}" name="x2HTGoalsA" dataDxfId="23">
      <calculatedColumnFormula>Table1[[#This Row],[xGoalsA]]-Table1[[#This Row],[xHTGoalsA]]</calculatedColumnFormula>
    </tableColumn>
    <tableColumn id="19" xr3:uid="{00000000-0010-0000-0000-000013000000}" name="HTGoalsF" totalsRowFunction="sum"/>
    <tableColumn id="20" xr3:uid="{00000000-0010-0000-0000-000014000000}" name="xHTGoalsF" totalsRowFunction="sum"/>
    <tableColumn id="21" xr3:uid="{00000000-0010-0000-0000-000015000000}" name="HTGoalsA"/>
    <tableColumn id="22" xr3:uid="{00000000-0010-0000-0000-000016000000}" name="xHTGoalsA"/>
    <tableColumn id="62" xr3:uid="{00000000-0010-0000-0000-00003E000000}" name="Shots_Diff" dataDxfId="22">
      <calculatedColumnFormula>Table1[[#This Row],[ShotsF100]]-Table1[[#This Row],[ShotsTF100]]</calculatedColumnFormula>
    </tableColumn>
    <tableColumn id="23" xr3:uid="{00000000-0010-0000-0000-000017000000}" name="ShotsF100" totalsRowFunction="average" dataCellStyle="Percent"/>
    <tableColumn id="24" xr3:uid="{00000000-0010-0000-0000-000018000000}" name="ShotsF" totalsRowFunction="stdDev"/>
    <tableColumn id="25" xr3:uid="{00000000-0010-0000-0000-000019000000}" name="xShotsF" totalsRowFunction="stdDev"/>
    <tableColumn id="63" xr3:uid="{00000000-0010-0000-0000-00003F000000}" name="ShotsA_Diff" dataDxfId="21">
      <calculatedColumnFormula>Table1[[#This Row],[ShotsA100]]-Table1[[#This Row],[ShotsTA100]]</calculatedColumnFormula>
    </tableColumn>
    <tableColumn id="26" xr3:uid="{00000000-0010-0000-0000-00001A000000}" name="ShotsA100" dataCellStyle="Percent"/>
    <tableColumn id="27" xr3:uid="{00000000-0010-0000-0000-00001B000000}" name="ShotsA"/>
    <tableColumn id="28" xr3:uid="{00000000-0010-0000-0000-00001C000000}" name="xShotsA" totalsRowFunction="stdDev"/>
    <tableColumn id="29" xr3:uid="{00000000-0010-0000-0000-00001D000000}" name="ShotsTF100" totalsRowFunction="average" dataCellStyle="Percent"/>
    <tableColumn id="30" xr3:uid="{00000000-0010-0000-0000-00001E000000}" name="ShotsTF" totalsRowFunction="stdDev"/>
    <tableColumn id="31" xr3:uid="{00000000-0010-0000-0000-00001F000000}" name="xShotsTF" totalsRowFunction="stdDev"/>
    <tableColumn id="32" xr3:uid="{00000000-0010-0000-0000-000020000000}" name="ShotsTA100" dataCellStyle="Percent"/>
    <tableColumn id="33" xr3:uid="{00000000-0010-0000-0000-000021000000}" name="ShotsTA"/>
    <tableColumn id="34" xr3:uid="{00000000-0010-0000-0000-000022000000}" name="xShotsTA"/>
    <tableColumn id="35" xr3:uid="{00000000-0010-0000-0000-000023000000}" name="Fouls100" totalsRowFunction="average" totalsRowDxfId="20" dataCellStyle="Percent"/>
    <tableColumn id="36" xr3:uid="{00000000-0010-0000-0000-000024000000}" name="Fouls" totalsRowFunction="stdDev"/>
    <tableColumn id="37" xr3:uid="{00000000-0010-0000-0000-000025000000}" name="xFouls" totalsRowFunction="stdDev"/>
    <tableColumn id="38" xr3:uid="{00000000-0010-0000-0000-000026000000}" name="FoulsA100" dataCellStyle="Percent"/>
    <tableColumn id="39" xr3:uid="{00000000-0010-0000-0000-000027000000}" name="FoulsA"/>
    <tableColumn id="40" xr3:uid="{00000000-0010-0000-0000-000028000000}" name="xFoulsA"/>
    <tableColumn id="41" xr3:uid="{00000000-0010-0000-0000-000029000000}" name="YCard100" totalsRowFunction="average" totalsRowDxfId="19" dataCellStyle="Percent"/>
    <tableColumn id="42" xr3:uid="{00000000-0010-0000-0000-00002A000000}" name="YCard" totalsRowFunction="stdDev" totalsRowDxfId="18"/>
    <tableColumn id="43" xr3:uid="{00000000-0010-0000-0000-00002B000000}" name="xYCard" totalsRowFunction="stdDev" totalsRowDxfId="17"/>
    <tableColumn id="44" xr3:uid="{00000000-0010-0000-0000-00002C000000}" name="YCardA100" dataCellStyle="Percent"/>
    <tableColumn id="45" xr3:uid="{00000000-0010-0000-0000-00002D000000}" name="YCardA"/>
    <tableColumn id="46" xr3:uid="{00000000-0010-0000-0000-00002E000000}" name="xYCardA"/>
    <tableColumn id="47" xr3:uid="{00000000-0010-0000-0000-00002F000000}" name="RCard100" totalsRowFunction="average"/>
    <tableColumn id="48" xr3:uid="{00000000-0010-0000-0000-000030000000}" name="RCard" totalsRowFunction="average" totalsRowDxfId="16"/>
    <tableColumn id="49" xr3:uid="{00000000-0010-0000-0000-000031000000}" name="xRCard" totalsRowFunction="average"/>
    <tableColumn id="50" xr3:uid="{00000000-0010-0000-0000-000032000000}" name="RCardA100"/>
    <tableColumn id="51" xr3:uid="{00000000-0010-0000-0000-000033000000}" name="RCardA" totalsRowFunction="average"/>
    <tableColumn id="52" xr3:uid="{00000000-0010-0000-0000-000034000000}" name="xRCard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1:D20" totalsRowCount="1">
  <autoFilter ref="A1:D19" xr:uid="{00000000-0009-0000-0100-000007000000}"/>
  <tableColumns count="4">
    <tableColumn id="1" xr3:uid="{00000000-0010-0000-0100-000001000000}" name="team"/>
    <tableColumn id="2" xr3:uid="{00000000-0010-0000-0100-000002000000}" name="Shots" totalsRowFunction="custom" totalsRowDxfId="15" dataCellStyle="Percent" totalsRowCellStyle="Percent">
      <totalsRowFormula>AVERAGE(Table7[Shots])</totalsRowFormula>
    </tableColumn>
    <tableColumn id="3" xr3:uid="{00000000-0010-0000-0100-000003000000}" name="Shots on Target" totalsRowFunction="average" totalsRowDxfId="14" dataCellStyle="Percent" totalsRowCellStyle="Percent"/>
    <tableColumn id="4" xr3:uid="{00000000-0010-0000-0100-000004000000}" name="Gap" dataDxfId="13">
      <calculatedColumnFormula>Table7[[#This Row],[Shots]]-Table7[[#This Row],[Shots on Target]]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1:E19" totalsRowShown="0">
  <autoFilter ref="B1:E19" xr:uid="{00000000-0009-0000-0100-000002000000}"/>
  <sortState xmlns:xlrd2="http://schemas.microsoft.com/office/spreadsheetml/2017/richdata2" ref="B2:E19">
    <sortCondition descending="1" ref="E1:E19"/>
  </sortState>
  <tableColumns count="4">
    <tableColumn id="1" xr3:uid="{00000000-0010-0000-0200-000001000000}" name="team" dataDxfId="12"/>
    <tableColumn id="2" xr3:uid="{00000000-0010-0000-0200-000002000000}" name="Points"/>
    <tableColumn id="3" xr3:uid="{00000000-0010-0000-0200-000003000000}" name="Expected Points" dataDxfId="11"/>
    <tableColumn id="4" xr3:uid="{00000000-0010-0000-0200-000004000000}" name="Difference" dataDxfId="10" dataCellStyle="Percent">
      <calculatedColumnFormula>Table2[[#This Row],[Points]]-Table2[[#This Row],[Expected Points]]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24" displayName="Table24" ref="B1:E19" totalsRowShown="0">
  <autoFilter ref="B1:E19" xr:uid="{00000000-0009-0000-0100-000003000000}"/>
  <sortState xmlns:xlrd2="http://schemas.microsoft.com/office/spreadsheetml/2017/richdata2" ref="B2:E19">
    <sortCondition descending="1" ref="E1:E19"/>
  </sortState>
  <tableColumns count="4">
    <tableColumn id="1" xr3:uid="{00000000-0010-0000-0300-000001000000}" name="team" dataDxfId="9"/>
    <tableColumn id="2" xr3:uid="{00000000-0010-0000-0300-000002000000}" name="Scored Goals"/>
    <tableColumn id="3" xr3:uid="{00000000-0010-0000-0300-000003000000}" name="Expected Goals" dataDxfId="8"/>
    <tableColumn id="4" xr3:uid="{00000000-0010-0000-0300-000004000000}" name="Difference" dataDxfId="7" dataCellStyle="Percent">
      <calculatedColumnFormula>Table24[[#This Row],[Scored Goals]]-Table24[[#This Row],[Expected Goals]]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245" displayName="Table245" ref="B1:F19" totalsRowShown="0">
  <autoFilter ref="B1:F19" xr:uid="{00000000-0009-0000-0100-000004000000}"/>
  <sortState xmlns:xlrd2="http://schemas.microsoft.com/office/spreadsheetml/2017/richdata2" ref="B2:F19">
    <sortCondition ref="F1:F19"/>
  </sortState>
  <tableColumns count="5">
    <tableColumn id="1" xr3:uid="{00000000-0010-0000-0400-000001000000}" name="team" dataDxfId="6"/>
    <tableColumn id="2" xr3:uid="{00000000-0010-0000-0400-000002000000}" name="Goals Against"/>
    <tableColumn id="3" xr3:uid="{00000000-0010-0000-0400-000003000000}" name="Expected Goals Against" dataDxfId="5"/>
    <tableColumn id="4" xr3:uid="{00000000-0010-0000-0400-000004000000}" name="Ratio" dataCellStyle="Percent">
      <calculatedColumnFormula>Table245[[#This Row],[Goals Against]]/Table245[[#This Row],[Expected Goals Against]]</calculatedColumnFormula>
    </tableColumn>
    <tableColumn id="5" xr3:uid="{00000000-0010-0000-0400-000005000000}" name="Difference" dataDxfId="4">
      <calculatedColumnFormula>Table245[[#This Row],[Goals Against]]-Table245[[#This Row],[Expected Goals Against]]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26" displayName="Table26" ref="B1:E19" totalsRowShown="0">
  <autoFilter ref="B1:E19" xr:uid="{00000000-0009-0000-0100-000005000000}"/>
  <sortState xmlns:xlrd2="http://schemas.microsoft.com/office/spreadsheetml/2017/richdata2" ref="B2:E19">
    <sortCondition descending="1" ref="E1:E19"/>
  </sortState>
  <tableColumns count="4">
    <tableColumn id="1" xr3:uid="{00000000-0010-0000-0500-000001000000}" name="team" dataDxfId="3"/>
    <tableColumn id="2" xr3:uid="{00000000-0010-0000-0500-000002000000}" name="Shots"/>
    <tableColumn id="3" xr3:uid="{00000000-0010-0000-0500-000003000000}" name="Expected Shots" dataDxfId="2"/>
    <tableColumn id="4" xr3:uid="{00000000-0010-0000-0500-000004000000}" name="Ratio" dataCellStyle="Percent">
      <calculatedColumnFormula>Table26[[#This Row],[Shots]]/Table26[[#This Row],[Expected Shots]]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267" displayName="Table267" ref="B1:E19" totalsRowShown="0">
  <autoFilter ref="B1:E19" xr:uid="{00000000-0009-0000-0100-000006000000}"/>
  <sortState xmlns:xlrd2="http://schemas.microsoft.com/office/spreadsheetml/2017/richdata2" ref="B2:E19">
    <sortCondition descending="1" ref="E1:E19"/>
  </sortState>
  <tableColumns count="4">
    <tableColumn id="1" xr3:uid="{00000000-0010-0000-0600-000001000000}" name="team" dataDxfId="1"/>
    <tableColumn id="2" xr3:uid="{00000000-0010-0000-0600-000002000000}" name="Shots Against"/>
    <tableColumn id="3" xr3:uid="{00000000-0010-0000-0600-000003000000}" name="Expected Shots Against" dataDxfId="0"/>
    <tableColumn id="4" xr3:uid="{00000000-0010-0000-0600-000004000000}" name="Ratio" dataCellStyle="Percent">
      <calculatedColumnFormula>Table267[[#This Row],[Shots Against]]/Table267[[#This Row],[Expected Shots Against]]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5"/>
  <sheetViews>
    <sheetView tabSelected="1" workbookViewId="0">
      <pane xSplit="2" topLeftCell="C1" activePane="topRight" state="frozen"/>
      <selection pane="topRight" activeCell="Q26" sqref="Q26:R26"/>
    </sheetView>
  </sheetViews>
  <sheetFormatPr defaultRowHeight="14.25" x14ac:dyDescent="0.45"/>
  <cols>
    <col min="2" max="2" width="15.73046875" bestFit="1" customWidth="1"/>
    <col min="3" max="3" width="10.06640625" bestFit="1" customWidth="1"/>
    <col min="13" max="13" width="9.9296875" customWidth="1"/>
    <col min="14" max="14" width="11.59765625" customWidth="1"/>
    <col min="15" max="15" width="11.86328125" customWidth="1"/>
    <col min="16" max="16" width="9.33203125" bestFit="1" customWidth="1"/>
    <col min="19" max="19" width="9.6640625" bestFit="1" customWidth="1"/>
    <col min="22" max="22" width="11.3984375" bestFit="1" customWidth="1"/>
    <col min="23" max="23" width="12.265625" bestFit="1" customWidth="1"/>
    <col min="24" max="24" width="11.73046875" bestFit="1" customWidth="1"/>
    <col min="25" max="25" width="12.59765625" bestFit="1" customWidth="1"/>
    <col min="26" max="26" width="9.9296875" customWidth="1"/>
    <col min="27" max="27" width="10.796875" customWidth="1"/>
    <col min="28" max="28" width="10.19921875" customWidth="1"/>
    <col min="29" max="29" width="11.06640625" customWidth="1"/>
    <col min="30" max="30" width="11.265625" bestFit="1" customWidth="1"/>
    <col min="31" max="31" width="11.73046875" bestFit="1" customWidth="1"/>
    <col min="34" max="34" width="12.46484375" bestFit="1" customWidth="1"/>
    <col min="35" max="35" width="11.6640625" bestFit="1" customWidth="1"/>
    <col min="38" max="38" width="12.265625" bestFit="1" customWidth="1"/>
    <col min="40" max="40" width="9.53125" customWidth="1"/>
    <col min="41" max="41" width="12.59765625" bestFit="1" customWidth="1"/>
    <col min="43" max="43" width="9.796875" customWidth="1"/>
    <col min="44" max="44" width="10.19921875" bestFit="1" customWidth="1"/>
    <col min="47" max="47" width="11.3984375" bestFit="1" customWidth="1"/>
    <col min="50" max="50" width="10.59765625" bestFit="1" customWidth="1"/>
    <col min="53" max="53" width="11.796875" bestFit="1" customWidth="1"/>
    <col min="55" max="55" width="9.1328125" customWidth="1"/>
    <col min="56" max="56" width="10.265625" customWidth="1"/>
    <col min="59" max="59" width="11.3984375" customWidth="1"/>
    <col min="61" max="61" width="9.265625" customWidth="1"/>
  </cols>
  <sheetData>
    <row r="1" spans="1:61" x14ac:dyDescent="0.45">
      <c r="A1" t="s">
        <v>69</v>
      </c>
      <c r="B1" t="s">
        <v>0</v>
      </c>
      <c r="C1" s="13" t="s">
        <v>99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13" t="s">
        <v>101</v>
      </c>
      <c r="Q1" t="s">
        <v>13</v>
      </c>
      <c r="R1" t="s">
        <v>14</v>
      </c>
      <c r="S1" s="13" t="s">
        <v>104</v>
      </c>
      <c r="T1" t="s">
        <v>15</v>
      </c>
      <c r="U1" t="s">
        <v>16</v>
      </c>
      <c r="V1" t="s">
        <v>71</v>
      </c>
      <c r="W1" t="s">
        <v>72</v>
      </c>
      <c r="X1" t="s">
        <v>73</v>
      </c>
      <c r="Y1" t="s">
        <v>74</v>
      </c>
      <c r="Z1" t="s">
        <v>17</v>
      </c>
      <c r="AA1" t="s">
        <v>18</v>
      </c>
      <c r="AB1" t="s">
        <v>19</v>
      </c>
      <c r="AC1" t="s">
        <v>20</v>
      </c>
      <c r="AD1" s="8" t="s">
        <v>118</v>
      </c>
      <c r="AE1" s="10" t="s">
        <v>21</v>
      </c>
      <c r="AF1" t="s">
        <v>22</v>
      </c>
      <c r="AG1" t="s">
        <v>23</v>
      </c>
      <c r="AH1" s="8" t="s">
        <v>121</v>
      </c>
      <c r="AI1" s="10" t="s">
        <v>24</v>
      </c>
      <c r="AJ1" t="s">
        <v>25</v>
      </c>
      <c r="AK1" t="s">
        <v>26</v>
      </c>
      <c r="AL1" s="10" t="s">
        <v>27</v>
      </c>
      <c r="AM1" t="s">
        <v>28</v>
      </c>
      <c r="AN1" t="s">
        <v>29</v>
      </c>
      <c r="AO1" s="10" t="s">
        <v>30</v>
      </c>
      <c r="AP1" t="s">
        <v>31</v>
      </c>
      <c r="AQ1" t="s">
        <v>32</v>
      </c>
      <c r="AR1" s="10" t="s">
        <v>33</v>
      </c>
      <c r="AS1" t="s">
        <v>34</v>
      </c>
      <c r="AT1" t="s">
        <v>35</v>
      </c>
      <c r="AU1" s="10" t="s">
        <v>36</v>
      </c>
      <c r="AV1" t="s">
        <v>37</v>
      </c>
      <c r="AW1" t="s">
        <v>38</v>
      </c>
      <c r="AX1" s="10" t="s">
        <v>39</v>
      </c>
      <c r="AY1" t="s">
        <v>40</v>
      </c>
      <c r="AZ1" t="s">
        <v>41</v>
      </c>
      <c r="BA1" s="10" t="s">
        <v>42</v>
      </c>
      <c r="BB1" t="s">
        <v>43</v>
      </c>
      <c r="BC1" t="s">
        <v>44</v>
      </c>
      <c r="BD1" s="10" t="s">
        <v>45</v>
      </c>
      <c r="BE1" t="s">
        <v>46</v>
      </c>
      <c r="BF1" t="s">
        <v>47</v>
      </c>
      <c r="BG1" s="10" t="s">
        <v>48</v>
      </c>
      <c r="BH1" t="s">
        <v>49</v>
      </c>
      <c r="BI1" t="s">
        <v>50</v>
      </c>
    </row>
    <row r="2" spans="1:61" x14ac:dyDescent="0.45">
      <c r="A2">
        <v>4</v>
      </c>
      <c r="B2" t="s">
        <v>55</v>
      </c>
      <c r="C2" s="9">
        <f>Table1[[#This Row],[Points]]/Table1[[#This Row],[xPoints]]</f>
        <v>1.1265517715234099</v>
      </c>
      <c r="D2">
        <v>24</v>
      </c>
      <c r="E2">
        <v>21.303947680580499</v>
      </c>
      <c r="F2">
        <v>6</v>
      </c>
      <c r="G2">
        <v>6</v>
      </c>
      <c r="H2">
        <v>5</v>
      </c>
      <c r="I2">
        <v>5.4878502268237499</v>
      </c>
      <c r="J2">
        <v>4.84039700010928</v>
      </c>
      <c r="K2">
        <v>6.6717527730669604</v>
      </c>
      <c r="L2">
        <v>0</v>
      </c>
      <c r="M2">
        <v>-2.4707666674928399</v>
      </c>
      <c r="N2">
        <v>-4.60852249430864</v>
      </c>
      <c r="O2">
        <v>7.0792891618014897</v>
      </c>
      <c r="P2" s="9">
        <f>Table1[[#This Row],[GoalsF]]/Table1[[#This Row],[xGoalsF]]</f>
        <v>0.7763778312792039</v>
      </c>
      <c r="Q2">
        <v>16</v>
      </c>
      <c r="R2">
        <v>20.608522494308598</v>
      </c>
      <c r="S2" s="9">
        <f>Table1[[#This Row],[GoalsA]]/Table1[[#This Row],[xGoalsA]]</f>
        <v>0.69326225291555543</v>
      </c>
      <c r="T2">
        <v>16</v>
      </c>
      <c r="U2">
        <v>23.079289161801402</v>
      </c>
      <c r="V2">
        <f>Table1[[#This Row],[GoalsF]]-Table1[[#This Row],[HTGoalsF]]</f>
        <v>12</v>
      </c>
      <c r="W2">
        <f>Table1[[#This Row],[xGoalsF]]-Table1[[#This Row],[xHTGoalsF]]</f>
        <v>11.570824480589218</v>
      </c>
      <c r="X2">
        <f>Table1[[#This Row],[GoalsA]]-Table1[[#This Row],[HTGoalsA]]</f>
        <v>9</v>
      </c>
      <c r="Y2">
        <f>Table1[[#This Row],[xGoalsA]]-Table1[[#This Row],[xHTGoalsA]]</f>
        <v>12.970938875469802</v>
      </c>
      <c r="Z2">
        <v>4</v>
      </c>
      <c r="AA2">
        <v>9.0376980137193801</v>
      </c>
      <c r="AB2">
        <v>7</v>
      </c>
      <c r="AC2">
        <v>10.1083502863316</v>
      </c>
      <c r="AD2" s="16">
        <f>Table1[[#This Row],[ShotsF100]]-Table1[[#This Row],[ShotsTF100]]</f>
        <v>0.34381055298754803</v>
      </c>
      <c r="AE2" s="9">
        <v>1.1856605089413801</v>
      </c>
      <c r="AF2">
        <v>221</v>
      </c>
      <c r="AG2">
        <v>186.393995864228</v>
      </c>
      <c r="AH2" s="16">
        <f>Table1[[#This Row],[ShotsA100]]-Table1[[#This Row],[ShotsTA100]]</f>
        <v>0.36979858851566494</v>
      </c>
      <c r="AI2" s="9">
        <v>1.0446643411173699</v>
      </c>
      <c r="AJ2">
        <v>206</v>
      </c>
      <c r="AK2">
        <v>197.192525763502</v>
      </c>
      <c r="AL2" s="9">
        <v>0.84184995595383205</v>
      </c>
      <c r="AM2">
        <v>66</v>
      </c>
      <c r="AN2">
        <v>78.398768727404303</v>
      </c>
      <c r="AO2" s="9">
        <v>0.674865752601705</v>
      </c>
      <c r="AP2">
        <v>57</v>
      </c>
      <c r="AQ2">
        <v>84.4612425215781</v>
      </c>
      <c r="AR2" s="9">
        <v>1.13847242209134</v>
      </c>
      <c r="AS2">
        <v>254</v>
      </c>
      <c r="AT2">
        <v>223.10597522723401</v>
      </c>
      <c r="AU2" s="9">
        <v>0.96793621328683199</v>
      </c>
      <c r="AV2">
        <v>214</v>
      </c>
      <c r="AW2">
        <v>221.088948902239</v>
      </c>
      <c r="AX2" s="9">
        <v>1.0955073445128201</v>
      </c>
      <c r="AY2">
        <v>33</v>
      </c>
      <c r="AZ2">
        <v>30.123029448675201</v>
      </c>
      <c r="BA2" s="9">
        <v>0.99846129794568295</v>
      </c>
      <c r="BB2">
        <v>29</v>
      </c>
      <c r="BC2">
        <v>29.0446911259024</v>
      </c>
      <c r="BD2">
        <v>2.7265095119930201</v>
      </c>
      <c r="BE2">
        <v>5</v>
      </c>
      <c r="BF2">
        <v>1.83384652721973</v>
      </c>
      <c r="BG2">
        <v>2.9060999224555699</v>
      </c>
      <c r="BH2">
        <v>5</v>
      </c>
      <c r="BI2">
        <v>1.7205189544119699</v>
      </c>
    </row>
    <row r="3" spans="1:61" x14ac:dyDescent="0.45">
      <c r="A3">
        <v>13</v>
      </c>
      <c r="B3" t="s">
        <v>64</v>
      </c>
      <c r="C3" s="9">
        <f>Table1[[#This Row],[Points]]/Table1[[#This Row],[xPoints]]</f>
        <v>0.7230758514865403</v>
      </c>
      <c r="D3">
        <v>15</v>
      </c>
      <c r="E3">
        <v>20.7447115944505</v>
      </c>
      <c r="F3">
        <v>3</v>
      </c>
      <c r="G3">
        <v>6</v>
      </c>
      <c r="H3">
        <v>8</v>
      </c>
      <c r="I3">
        <v>5.3695674745769999</v>
      </c>
      <c r="J3">
        <v>4.6360091707195297</v>
      </c>
      <c r="K3">
        <v>6.9944233547034598</v>
      </c>
      <c r="L3">
        <v>-11</v>
      </c>
      <c r="M3">
        <v>-3.7103159480794701</v>
      </c>
      <c r="N3">
        <v>-4.23190168487855</v>
      </c>
      <c r="O3">
        <v>-3.0577823670419599</v>
      </c>
      <c r="P3" s="9">
        <f>Table1[[#This Row],[GoalsF]]/Table1[[#This Row],[xGoalsF]]</f>
        <v>0.7908302565526274</v>
      </c>
      <c r="Q3">
        <v>16</v>
      </c>
      <c r="R3">
        <v>20.231901684878501</v>
      </c>
      <c r="S3" s="9">
        <f>Table1[[#This Row],[GoalsA]]/Table1[[#This Row],[xGoalsA]]</f>
        <v>1.1277150852907112</v>
      </c>
      <c r="T3">
        <v>27</v>
      </c>
      <c r="U3">
        <v>23.942217632957998</v>
      </c>
      <c r="V3">
        <f>Table1[[#This Row],[GoalsF]]-Table1[[#This Row],[HTGoalsF]]</f>
        <v>8</v>
      </c>
      <c r="W3">
        <f>Table1[[#This Row],[xGoalsF]]-Table1[[#This Row],[xHTGoalsF]]</f>
        <v>11.319736681259061</v>
      </c>
      <c r="X3">
        <f>Table1[[#This Row],[GoalsA]]-Table1[[#This Row],[HTGoalsA]]</f>
        <v>16</v>
      </c>
      <c r="Y3">
        <f>Table1[[#This Row],[xGoalsA]]-Table1[[#This Row],[xHTGoalsA]]</f>
        <v>13.489301430802298</v>
      </c>
      <c r="Z3">
        <v>8</v>
      </c>
      <c r="AA3">
        <v>8.9121650036194406</v>
      </c>
      <c r="AB3">
        <v>11</v>
      </c>
      <c r="AC3">
        <v>10.4529162021557</v>
      </c>
      <c r="AD3" s="16">
        <f>Table1[[#This Row],[ShotsF100]]-Table1[[#This Row],[ShotsTF100]]</f>
        <v>0.2871458331625949</v>
      </c>
      <c r="AE3" s="9">
        <v>1.0960294402641899</v>
      </c>
      <c r="AF3">
        <v>201</v>
      </c>
      <c r="AG3">
        <v>183.38923446394799</v>
      </c>
      <c r="AH3" s="16">
        <f>Table1[[#This Row],[ShotsA100]]-Table1[[#This Row],[ShotsTA100]]</f>
        <v>0.36617393136128895</v>
      </c>
      <c r="AI3" s="9">
        <v>1.1626645730668399</v>
      </c>
      <c r="AJ3">
        <v>234</v>
      </c>
      <c r="AK3">
        <v>201.26183029965401</v>
      </c>
      <c r="AL3" s="9">
        <v>0.80888360710159501</v>
      </c>
      <c r="AM3">
        <v>63</v>
      </c>
      <c r="AN3">
        <v>77.885123949714497</v>
      </c>
      <c r="AO3" s="9">
        <v>0.79649064170555095</v>
      </c>
      <c r="AP3">
        <v>69</v>
      </c>
      <c r="AQ3">
        <v>86.630019722828195</v>
      </c>
      <c r="AR3" s="9">
        <v>1.127395954209</v>
      </c>
      <c r="AS3">
        <v>252</v>
      </c>
      <c r="AT3">
        <v>223.52395275074801</v>
      </c>
      <c r="AU3" s="9">
        <v>0.98165052560273602</v>
      </c>
      <c r="AV3">
        <v>217</v>
      </c>
      <c r="AW3">
        <v>221.05626629880399</v>
      </c>
      <c r="AX3" s="9">
        <v>1.1286249828974599</v>
      </c>
      <c r="AY3">
        <v>34</v>
      </c>
      <c r="AZ3">
        <v>30.125152743574098</v>
      </c>
      <c r="BA3" s="9">
        <v>1.21453786431307</v>
      </c>
      <c r="BB3">
        <v>35</v>
      </c>
      <c r="BC3">
        <v>28.8175453630632</v>
      </c>
      <c r="BD3">
        <v>1.61309414797644</v>
      </c>
      <c r="BE3">
        <v>3</v>
      </c>
      <c r="BF3">
        <v>1.8597798546125499</v>
      </c>
      <c r="BG3">
        <v>0.57489716244911204</v>
      </c>
      <c r="BH3">
        <v>1</v>
      </c>
      <c r="BI3">
        <v>1.7394415302728401</v>
      </c>
    </row>
    <row r="4" spans="1:61" x14ac:dyDescent="0.45">
      <c r="A4">
        <v>15</v>
      </c>
      <c r="B4" t="s">
        <v>66</v>
      </c>
      <c r="C4" s="9">
        <f>Table1[[#This Row],[Points]]/Table1[[#This Row],[xPoints]]</f>
        <v>0.91226220314025286</v>
      </c>
      <c r="D4">
        <v>20</v>
      </c>
      <c r="E4">
        <v>21.923521473491501</v>
      </c>
      <c r="F4">
        <v>6</v>
      </c>
      <c r="G4">
        <v>2</v>
      </c>
      <c r="H4">
        <v>9</v>
      </c>
      <c r="I4">
        <v>5.7371053540668298</v>
      </c>
      <c r="J4">
        <v>4.7122054112910696</v>
      </c>
      <c r="K4">
        <v>6.5506892346420802</v>
      </c>
      <c r="L4">
        <v>-6</v>
      </c>
      <c r="M4">
        <v>-1.7454843141062599</v>
      </c>
      <c r="N4">
        <v>-5.1224031220548101</v>
      </c>
      <c r="O4">
        <v>0.867887436161076</v>
      </c>
      <c r="P4" s="9">
        <f>Table1[[#This Row],[GoalsF]]/Table1[[#This Row],[xGoalsF]]</f>
        <v>0.75748956724027861</v>
      </c>
      <c r="Q4">
        <v>16</v>
      </c>
      <c r="R4">
        <v>21.122403122054799</v>
      </c>
      <c r="S4" s="9">
        <f>Table1[[#This Row],[GoalsA]]/Table1[[#This Row],[xGoalsA]]</f>
        <v>0.96204776507738932</v>
      </c>
      <c r="T4">
        <v>22</v>
      </c>
      <c r="U4">
        <v>22.867887436160999</v>
      </c>
      <c r="V4">
        <f>Table1[[#This Row],[GoalsF]]-Table1[[#This Row],[HTGoalsF]]</f>
        <v>12</v>
      </c>
      <c r="W4">
        <f>Table1[[#This Row],[xGoalsF]]-Table1[[#This Row],[xHTGoalsF]]</f>
        <v>11.866665370544279</v>
      </c>
      <c r="X4">
        <f>Table1[[#This Row],[GoalsA]]-Table1[[#This Row],[HTGoalsA]]</f>
        <v>11</v>
      </c>
      <c r="Y4">
        <f>Table1[[#This Row],[xGoalsA]]-Table1[[#This Row],[xHTGoalsA]]</f>
        <v>12.834252192587899</v>
      </c>
      <c r="Z4">
        <v>4</v>
      </c>
      <c r="AA4">
        <v>9.2557377515105195</v>
      </c>
      <c r="AB4">
        <v>11</v>
      </c>
      <c r="AC4">
        <v>10.0336352435731</v>
      </c>
      <c r="AD4" s="16">
        <f>Table1[[#This Row],[ShotsF100]]-Table1[[#This Row],[ShotsTF100]]</f>
        <v>0.33326345506640609</v>
      </c>
      <c r="AE4" s="9">
        <v>1.3254252508743301</v>
      </c>
      <c r="AF4">
        <v>248</v>
      </c>
      <c r="AG4">
        <v>187.10975955558601</v>
      </c>
      <c r="AH4" s="16">
        <f>Table1[[#This Row],[ShotsA100]]-Table1[[#This Row],[ShotsTA100]]</f>
        <v>0.19836563574816712</v>
      </c>
      <c r="AI4" s="9">
        <v>1.0161649901107801</v>
      </c>
      <c r="AJ4">
        <v>200</v>
      </c>
      <c r="AK4">
        <v>196.818431993209</v>
      </c>
      <c r="AL4" s="9">
        <v>0.99216179580792396</v>
      </c>
      <c r="AM4">
        <v>79</v>
      </c>
      <c r="AN4">
        <v>79.624110033051295</v>
      </c>
      <c r="AO4" s="9">
        <v>0.81779935436261297</v>
      </c>
      <c r="AP4">
        <v>69</v>
      </c>
      <c r="AQ4">
        <v>84.372773874073303</v>
      </c>
      <c r="AR4" s="9">
        <v>1.1110955229147199</v>
      </c>
      <c r="AS4">
        <v>246</v>
      </c>
      <c r="AT4">
        <v>221.40310614758801</v>
      </c>
      <c r="AU4" s="9">
        <v>0.84727638252579895</v>
      </c>
      <c r="AV4">
        <v>186</v>
      </c>
      <c r="AW4">
        <v>219.52694992573601</v>
      </c>
      <c r="AX4" s="9">
        <v>0.90703667782875996</v>
      </c>
      <c r="AY4">
        <v>27</v>
      </c>
      <c r="AZ4">
        <v>29.767263728112798</v>
      </c>
      <c r="BA4" s="9">
        <v>1.08052718300396</v>
      </c>
      <c r="BB4">
        <v>31</v>
      </c>
      <c r="BC4">
        <v>28.689699331595701</v>
      </c>
      <c r="BD4">
        <v>0.55107729311762699</v>
      </c>
      <c r="BE4">
        <v>1</v>
      </c>
      <c r="BF4">
        <v>1.8146274805529801</v>
      </c>
      <c r="BG4">
        <v>1.13996231853263</v>
      </c>
      <c r="BH4">
        <v>2</v>
      </c>
      <c r="BI4">
        <v>1.7544439561602401</v>
      </c>
    </row>
    <row r="5" spans="1:61" x14ac:dyDescent="0.45">
      <c r="A5">
        <v>9</v>
      </c>
      <c r="B5" t="s">
        <v>60</v>
      </c>
      <c r="C5" s="9">
        <f>Table1[[#This Row],[Points]]/Table1[[#This Row],[xPoints]]</f>
        <v>0.9792376815803967</v>
      </c>
      <c r="D5">
        <v>22</v>
      </c>
      <c r="E5">
        <v>22.466455707151798</v>
      </c>
      <c r="F5">
        <v>5</v>
      </c>
      <c r="G5">
        <v>7</v>
      </c>
      <c r="H5">
        <v>5</v>
      </c>
      <c r="I5">
        <v>5.8137905069036702</v>
      </c>
      <c r="J5">
        <v>5.02508418644081</v>
      </c>
      <c r="K5">
        <v>6.1611253066555101</v>
      </c>
      <c r="L5">
        <v>0</v>
      </c>
      <c r="M5">
        <v>-0.65521109637723596</v>
      </c>
      <c r="N5">
        <v>-8.4772312324110697</v>
      </c>
      <c r="O5">
        <v>9.1324423287883008</v>
      </c>
      <c r="P5" s="9">
        <f>Table1[[#This Row],[GoalsF]]/Table1[[#This Row],[xGoalsF]]</f>
        <v>0.60529217473721075</v>
      </c>
      <c r="Q5">
        <v>13</v>
      </c>
      <c r="R5">
        <v>21.477231232411</v>
      </c>
      <c r="S5" s="9">
        <f>Table1[[#This Row],[GoalsA]]/Table1[[#This Row],[xGoalsA]]</f>
        <v>0.58737304301435045</v>
      </c>
      <c r="T5">
        <v>13</v>
      </c>
      <c r="U5">
        <v>22.132442328788301</v>
      </c>
      <c r="V5">
        <f>Table1[[#This Row],[GoalsF]]-Table1[[#This Row],[HTGoalsF]]</f>
        <v>10</v>
      </c>
      <c r="W5">
        <f>Table1[[#This Row],[xGoalsF]]-Table1[[#This Row],[xHTGoalsF]]</f>
        <v>12.096760905921601</v>
      </c>
      <c r="X5">
        <f>Table1[[#This Row],[GoalsA]]-Table1[[#This Row],[HTGoalsA]]</f>
        <v>7</v>
      </c>
      <c r="Y5">
        <f>Table1[[#This Row],[xGoalsA]]-Table1[[#This Row],[xHTGoalsA]]</f>
        <v>12.464084822101261</v>
      </c>
      <c r="Z5">
        <v>3</v>
      </c>
      <c r="AA5">
        <v>9.3804703264893998</v>
      </c>
      <c r="AB5">
        <v>6</v>
      </c>
      <c r="AC5">
        <v>9.6683575066870393</v>
      </c>
      <c r="AD5" s="16">
        <f>Table1[[#This Row],[ShotsF100]]-Table1[[#This Row],[ShotsTF100]]</f>
        <v>0.2009186865130641</v>
      </c>
      <c r="AE5" s="9">
        <v>1.0834323766251801</v>
      </c>
      <c r="AF5">
        <v>206</v>
      </c>
      <c r="AG5">
        <v>190.13646300812599</v>
      </c>
      <c r="AH5" s="16">
        <f>Table1[[#This Row],[ShotsA100]]-Table1[[#This Row],[ShotsTA100]]</f>
        <v>0.31352912622335605</v>
      </c>
      <c r="AI5" s="9">
        <v>0.959201724131585</v>
      </c>
      <c r="AJ5">
        <v>186</v>
      </c>
      <c r="AK5">
        <v>193.91124444484799</v>
      </c>
      <c r="AL5" s="9">
        <v>0.882513690112116</v>
      </c>
      <c r="AM5">
        <v>71</v>
      </c>
      <c r="AN5">
        <v>80.452009748403995</v>
      </c>
      <c r="AO5" s="9">
        <v>0.64567259790822895</v>
      </c>
      <c r="AP5">
        <v>53</v>
      </c>
      <c r="AQ5">
        <v>82.084945484294707</v>
      </c>
      <c r="AR5" s="9">
        <v>1.05349906066424</v>
      </c>
      <c r="AS5">
        <v>235</v>
      </c>
      <c r="AT5">
        <v>223.066169467516</v>
      </c>
      <c r="AU5" s="9">
        <v>1.01614916024263</v>
      </c>
      <c r="AV5">
        <v>226</v>
      </c>
      <c r="AW5">
        <v>222.40829283964101</v>
      </c>
      <c r="AX5" s="9">
        <v>1.2984727683572199</v>
      </c>
      <c r="AY5">
        <v>39</v>
      </c>
      <c r="AZ5">
        <v>30.035285260037501</v>
      </c>
      <c r="BA5" s="9">
        <v>1.18924400655868</v>
      </c>
      <c r="BB5">
        <v>35</v>
      </c>
      <c r="BC5">
        <v>29.430461542774001</v>
      </c>
      <c r="BD5">
        <v>1.1090584404782</v>
      </c>
      <c r="BE5">
        <v>2</v>
      </c>
      <c r="BF5">
        <v>1.8033314810152199</v>
      </c>
      <c r="BG5">
        <v>1.1329342695123099</v>
      </c>
      <c r="BH5">
        <v>2</v>
      </c>
      <c r="BI5">
        <v>1.76532748087928</v>
      </c>
    </row>
    <row r="6" spans="1:61" x14ac:dyDescent="0.45">
      <c r="A6">
        <v>10</v>
      </c>
      <c r="B6" t="s">
        <v>61</v>
      </c>
      <c r="C6" s="9">
        <f>Table1[[#This Row],[Points]]/Table1[[#This Row],[xPoints]]</f>
        <v>0.98725748211040731</v>
      </c>
      <c r="D6">
        <v>20</v>
      </c>
      <c r="E6">
        <v>20.258139707634399</v>
      </c>
      <c r="F6">
        <v>4</v>
      </c>
      <c r="G6">
        <v>8</v>
      </c>
      <c r="H6">
        <v>5</v>
      </c>
      <c r="I6">
        <v>5.09765379263008</v>
      </c>
      <c r="J6">
        <v>4.9651783297442096</v>
      </c>
      <c r="K6">
        <v>6.93716787762569</v>
      </c>
      <c r="L6">
        <v>-4</v>
      </c>
      <c r="M6">
        <v>-3.9854822786423001</v>
      </c>
      <c r="N6">
        <v>-0.68663869635844998</v>
      </c>
      <c r="O6">
        <v>0.67212097500075096</v>
      </c>
      <c r="P6" s="9">
        <f>Table1[[#This Row],[GoalsF]]/Table1[[#This Row],[xGoalsF]]</f>
        <v>0.96512158794861136</v>
      </c>
      <c r="Q6">
        <v>19</v>
      </c>
      <c r="R6">
        <v>19.686638696358401</v>
      </c>
      <c r="S6" s="9">
        <f>Table1[[#This Row],[GoalsA]]/Table1[[#This Row],[xGoalsA]]</f>
        <v>0.97160706572467659</v>
      </c>
      <c r="T6">
        <v>23</v>
      </c>
      <c r="U6">
        <v>23.672120975000698</v>
      </c>
      <c r="V6">
        <f>Table1[[#This Row],[GoalsF]]-Table1[[#This Row],[HTGoalsF]]</f>
        <v>8</v>
      </c>
      <c r="W6">
        <f>Table1[[#This Row],[xGoalsF]]-Table1[[#This Row],[xHTGoalsF]]</f>
        <v>11.01577409663572</v>
      </c>
      <c r="X6">
        <f>Table1[[#This Row],[GoalsA]]-Table1[[#This Row],[HTGoalsA]]</f>
        <v>11</v>
      </c>
      <c r="Y6">
        <f>Table1[[#This Row],[xGoalsA]]-Table1[[#This Row],[xHTGoalsA]]</f>
        <v>13.251507824554999</v>
      </c>
      <c r="Z6">
        <v>11</v>
      </c>
      <c r="AA6">
        <v>8.6708645997226803</v>
      </c>
      <c r="AB6">
        <v>12</v>
      </c>
      <c r="AC6">
        <v>10.4206131504457</v>
      </c>
      <c r="AD6" s="16">
        <f>Table1[[#This Row],[ShotsF100]]-Table1[[#This Row],[ShotsTF100]]</f>
        <v>0.21252529055828395</v>
      </c>
      <c r="AE6" s="9">
        <v>1.08297503624629</v>
      </c>
      <c r="AF6">
        <v>196</v>
      </c>
      <c r="AG6">
        <v>180.98293445373901</v>
      </c>
      <c r="AH6" s="16">
        <f>Table1[[#This Row],[ShotsA100]]-Table1[[#This Row],[ShotsTA100]]</f>
        <v>0.29167805622639487</v>
      </c>
      <c r="AI6" s="9">
        <v>1.0812114585961099</v>
      </c>
      <c r="AJ6">
        <v>218</v>
      </c>
      <c r="AK6">
        <v>201.62568410351301</v>
      </c>
      <c r="AL6" s="9">
        <v>0.87044974568800604</v>
      </c>
      <c r="AM6">
        <v>66</v>
      </c>
      <c r="AN6">
        <v>75.8228724023962</v>
      </c>
      <c r="AO6" s="9">
        <v>0.78953340236971503</v>
      </c>
      <c r="AP6">
        <v>68</v>
      </c>
      <c r="AQ6">
        <v>86.126818442264707</v>
      </c>
      <c r="AR6" s="9">
        <v>1.0451355787469701</v>
      </c>
      <c r="AS6">
        <v>234</v>
      </c>
      <c r="AT6">
        <v>223.89439682126601</v>
      </c>
      <c r="AU6" s="9">
        <v>0.89257590644770801</v>
      </c>
      <c r="AV6">
        <v>197</v>
      </c>
      <c r="AW6">
        <v>220.70952013932799</v>
      </c>
      <c r="AX6" s="9">
        <v>0.94069297251808004</v>
      </c>
      <c r="AY6">
        <v>29</v>
      </c>
      <c r="AZ6">
        <v>30.828337031552099</v>
      </c>
      <c r="BA6" s="9">
        <v>0.97268331642608397</v>
      </c>
      <c r="BB6">
        <v>28</v>
      </c>
      <c r="BC6">
        <v>28.786347547195401</v>
      </c>
      <c r="BD6">
        <v>1.0374115048502199</v>
      </c>
      <c r="BE6">
        <v>2</v>
      </c>
      <c r="BF6">
        <v>1.92787528444534</v>
      </c>
      <c r="BG6">
        <v>3.0079958907940201</v>
      </c>
      <c r="BH6">
        <v>5</v>
      </c>
      <c r="BI6">
        <v>1.6622363133216</v>
      </c>
    </row>
    <row r="7" spans="1:61" x14ac:dyDescent="0.45">
      <c r="A7">
        <v>17</v>
      </c>
      <c r="B7" t="s">
        <v>68</v>
      </c>
      <c r="C7" s="9">
        <f>Table1[[#This Row],[Points]]/Table1[[#This Row],[xPoints]]</f>
        <v>0.94570308592200003</v>
      </c>
      <c r="D7">
        <v>24</v>
      </c>
      <c r="E7">
        <v>25.377944047419</v>
      </c>
      <c r="F7">
        <v>5</v>
      </c>
      <c r="G7">
        <v>9</v>
      </c>
      <c r="H7">
        <v>3</v>
      </c>
      <c r="I7">
        <v>6.92474707154458</v>
      </c>
      <c r="J7">
        <v>4.6037028327852703</v>
      </c>
      <c r="K7">
        <v>5.4715500956701302</v>
      </c>
      <c r="L7">
        <v>7</v>
      </c>
      <c r="M7">
        <v>3.33325149751537</v>
      </c>
      <c r="N7">
        <v>-0.78471236763768804</v>
      </c>
      <c r="O7">
        <v>4.4514608701223102</v>
      </c>
      <c r="P7" s="9">
        <f>Table1[[#This Row],[GoalsF]]/Table1[[#This Row],[xGoalsF]]</f>
        <v>0.96700769992470836</v>
      </c>
      <c r="Q7">
        <v>23</v>
      </c>
      <c r="R7">
        <v>23.784712367637599</v>
      </c>
      <c r="S7" s="9">
        <f>Table1[[#This Row],[GoalsA]]/Table1[[#This Row],[xGoalsA]]</f>
        <v>0.78234020061493625</v>
      </c>
      <c r="T7">
        <v>16</v>
      </c>
      <c r="U7">
        <v>20.4514608701223</v>
      </c>
      <c r="V7">
        <f>Table1[[#This Row],[GoalsF]]-Table1[[#This Row],[HTGoalsF]]</f>
        <v>13</v>
      </c>
      <c r="W7">
        <f>Table1[[#This Row],[xGoalsF]]-Table1[[#This Row],[xHTGoalsF]]</f>
        <v>13.359496800033499</v>
      </c>
      <c r="X7">
        <f>Table1[[#This Row],[GoalsA]]-Table1[[#This Row],[HTGoalsA]]</f>
        <v>12</v>
      </c>
      <c r="Y7">
        <f>Table1[[#This Row],[xGoalsA]]-Table1[[#This Row],[xHTGoalsA]]</f>
        <v>11.505687076866501</v>
      </c>
      <c r="Z7">
        <v>10</v>
      </c>
      <c r="AA7">
        <v>10.4252155676041</v>
      </c>
      <c r="AB7">
        <v>4</v>
      </c>
      <c r="AC7">
        <v>8.9457737932557997</v>
      </c>
      <c r="AD7" s="16">
        <f>Table1[[#This Row],[ShotsF100]]-Table1[[#This Row],[ShotsTF100]]</f>
        <v>0.38588533792437696</v>
      </c>
      <c r="AE7" s="9">
        <v>1.24569857598571</v>
      </c>
      <c r="AF7">
        <v>250</v>
      </c>
      <c r="AG7">
        <v>200.69060430784899</v>
      </c>
      <c r="AH7" s="16">
        <f>Table1[[#This Row],[ShotsA100]]-Table1[[#This Row],[ShotsTA100]]</f>
        <v>0.42256613026834189</v>
      </c>
      <c r="AI7" s="9">
        <v>1.2172415030771699</v>
      </c>
      <c r="AJ7">
        <v>224</v>
      </c>
      <c r="AK7">
        <v>184.02264417843901</v>
      </c>
      <c r="AL7" s="9">
        <v>0.85981323806133303</v>
      </c>
      <c r="AM7">
        <v>74</v>
      </c>
      <c r="AN7">
        <v>86.065201981364794</v>
      </c>
      <c r="AO7" s="9">
        <v>0.79467537280882805</v>
      </c>
      <c r="AP7">
        <v>62</v>
      </c>
      <c r="AQ7">
        <v>78.019279471134496</v>
      </c>
      <c r="AR7" s="9">
        <v>1.0312845081305599</v>
      </c>
      <c r="AS7">
        <v>229</v>
      </c>
      <c r="AT7">
        <v>222.05317562184101</v>
      </c>
      <c r="AU7" s="9">
        <v>1.20192123271443</v>
      </c>
      <c r="AV7">
        <v>270</v>
      </c>
      <c r="AW7">
        <v>224.64034468400899</v>
      </c>
      <c r="AX7" s="9">
        <v>1.1132221375142399</v>
      </c>
      <c r="AY7">
        <v>32</v>
      </c>
      <c r="AZ7">
        <v>28.745385958146599</v>
      </c>
      <c r="BA7" s="9">
        <v>1.6142123252571601</v>
      </c>
      <c r="BB7">
        <v>49</v>
      </c>
      <c r="BC7">
        <v>30.355362323350899</v>
      </c>
      <c r="BD7">
        <v>1.1498246221492601</v>
      </c>
      <c r="BE7">
        <v>2</v>
      </c>
      <c r="BF7">
        <v>1.7393956969381801</v>
      </c>
      <c r="BG7">
        <v>2.70931422830275</v>
      </c>
      <c r="BH7">
        <v>5</v>
      </c>
      <c r="BI7">
        <v>1.84548545449902</v>
      </c>
    </row>
    <row r="8" spans="1:61" x14ac:dyDescent="0.45">
      <c r="A8">
        <v>14</v>
      </c>
      <c r="B8" t="s">
        <v>65</v>
      </c>
      <c r="C8" s="9">
        <f>Table1[[#This Row],[Points]]/Table1[[#This Row],[xPoints]]</f>
        <v>0.8168980844265098</v>
      </c>
      <c r="D8">
        <v>15</v>
      </c>
      <c r="E8">
        <v>18.3621436822569</v>
      </c>
      <c r="F8">
        <v>3</v>
      </c>
      <c r="G8">
        <v>6</v>
      </c>
      <c r="H8">
        <v>8</v>
      </c>
      <c r="I8">
        <v>4.4721768027697202</v>
      </c>
      <c r="J8">
        <v>4.9456132739477603</v>
      </c>
      <c r="K8">
        <v>7.5822099232825098</v>
      </c>
      <c r="L8">
        <v>-8</v>
      </c>
      <c r="M8">
        <v>-6.6159988979283497</v>
      </c>
      <c r="N8">
        <v>-7.6018190850838803</v>
      </c>
      <c r="O8">
        <v>6.21781798301223</v>
      </c>
      <c r="P8" s="9">
        <f>Table1[[#This Row],[GoalsF]]/Table1[[#This Row],[xGoalsF]]</f>
        <v>0.59134001624715005</v>
      </c>
      <c r="Q8">
        <v>11</v>
      </c>
      <c r="R8">
        <v>18.6018190850838</v>
      </c>
      <c r="S8" s="9">
        <f>Table1[[#This Row],[GoalsA]]/Table1[[#This Row],[xGoalsA]]</f>
        <v>0.75343552772088418</v>
      </c>
      <c r="T8">
        <v>19</v>
      </c>
      <c r="U8">
        <v>25.2178179830122</v>
      </c>
      <c r="V8">
        <f>Table1[[#This Row],[GoalsF]]-Table1[[#This Row],[HTGoalsF]]</f>
        <v>7</v>
      </c>
      <c r="W8">
        <f>Table1[[#This Row],[xGoalsF]]-Table1[[#This Row],[xHTGoalsF]]</f>
        <v>10.403443349195081</v>
      </c>
      <c r="X8">
        <f>Table1[[#This Row],[GoalsA]]-Table1[[#This Row],[HTGoalsA]]</f>
        <v>11</v>
      </c>
      <c r="Y8">
        <f>Table1[[#This Row],[xGoalsA]]-Table1[[#This Row],[xHTGoalsA]]</f>
        <v>14.2360529457683</v>
      </c>
      <c r="Z8">
        <v>4</v>
      </c>
      <c r="AA8">
        <v>8.1983757358887193</v>
      </c>
      <c r="AB8">
        <v>8</v>
      </c>
      <c r="AC8">
        <v>10.9817650372439</v>
      </c>
      <c r="AD8" s="16">
        <f>Table1[[#This Row],[ShotsF100]]-Table1[[#This Row],[ShotsTF100]]</f>
        <v>0.49482793284277105</v>
      </c>
      <c r="AE8" s="9">
        <v>1.0710111540806</v>
      </c>
      <c r="AF8">
        <v>188</v>
      </c>
      <c r="AG8">
        <v>175.53505328465599</v>
      </c>
      <c r="AH8" s="16">
        <f>Table1[[#This Row],[ShotsA100]]-Table1[[#This Row],[ShotsTA100]]</f>
        <v>0.39273114967305189</v>
      </c>
      <c r="AI8" s="9">
        <v>1.1982782391559199</v>
      </c>
      <c r="AJ8">
        <v>250</v>
      </c>
      <c r="AK8">
        <v>208.632679648845</v>
      </c>
      <c r="AL8" s="9">
        <v>0.57618322123782895</v>
      </c>
      <c r="AM8">
        <v>42</v>
      </c>
      <c r="AN8">
        <v>72.893479802779197</v>
      </c>
      <c r="AO8" s="9">
        <v>0.80554708948286802</v>
      </c>
      <c r="AP8">
        <v>72</v>
      </c>
      <c r="AQ8">
        <v>89.380249696167795</v>
      </c>
      <c r="AR8" s="9">
        <v>0.99293665234181105</v>
      </c>
      <c r="AS8">
        <v>223</v>
      </c>
      <c r="AT8">
        <v>224.586331337514</v>
      </c>
      <c r="AU8" s="9">
        <v>1.1677832939594199</v>
      </c>
      <c r="AV8">
        <v>256</v>
      </c>
      <c r="AW8">
        <v>219.21875516134401</v>
      </c>
      <c r="AX8" s="9">
        <v>1.1794256712772899</v>
      </c>
      <c r="AY8">
        <v>37</v>
      </c>
      <c r="AZ8">
        <v>31.371201171100299</v>
      </c>
      <c r="BA8" s="9">
        <v>1.1030642198531799</v>
      </c>
      <c r="BB8">
        <v>31</v>
      </c>
      <c r="BC8">
        <v>28.1035314554269</v>
      </c>
      <c r="BD8">
        <v>3.0587403460048899</v>
      </c>
      <c r="BE8">
        <v>6</v>
      </c>
      <c r="BF8">
        <v>1.9615918061945801</v>
      </c>
      <c r="BG8">
        <v>1.2428574117659199</v>
      </c>
      <c r="BH8">
        <v>2</v>
      </c>
      <c r="BI8">
        <v>1.6091950541279501</v>
      </c>
    </row>
    <row r="9" spans="1:61" x14ac:dyDescent="0.45">
      <c r="A9">
        <v>0</v>
      </c>
      <c r="B9" t="s">
        <v>51</v>
      </c>
      <c r="C9" s="9">
        <f>Table1[[#This Row],[Points]]/Table1[[#This Row],[xPoints]]</f>
        <v>0.76423204821912893</v>
      </c>
      <c r="D9">
        <v>22</v>
      </c>
      <c r="E9">
        <v>28.787068078689</v>
      </c>
      <c r="F9">
        <v>5</v>
      </c>
      <c r="G9">
        <v>7</v>
      </c>
      <c r="H9">
        <v>5</v>
      </c>
      <c r="I9">
        <v>8.0652760488726791</v>
      </c>
      <c r="J9">
        <v>4.59123993207099</v>
      </c>
      <c r="K9">
        <v>4.3434840190563202</v>
      </c>
      <c r="L9">
        <v>3</v>
      </c>
      <c r="M9">
        <v>8.22704451042088</v>
      </c>
      <c r="N9">
        <v>-7.5015774162334896</v>
      </c>
      <c r="O9">
        <v>2.27453290581261</v>
      </c>
      <c r="P9" s="9">
        <f>Table1[[#This Row],[GoalsF]]/Table1[[#This Row],[xGoalsF]]</f>
        <v>0.71693845621286123</v>
      </c>
      <c r="Q9">
        <v>19</v>
      </c>
      <c r="R9">
        <v>26.501577416233399</v>
      </c>
      <c r="S9" s="9">
        <f>Table1[[#This Row],[GoalsA]]/Table1[[#This Row],[xGoalsA]]</f>
        <v>0.87553537387053348</v>
      </c>
      <c r="T9">
        <v>16</v>
      </c>
      <c r="U9">
        <v>18.274532905812599</v>
      </c>
      <c r="V9">
        <f>Table1[[#This Row],[GoalsF]]-Table1[[#This Row],[HTGoalsF]]</f>
        <v>8</v>
      </c>
      <c r="W9">
        <f>Table1[[#This Row],[xGoalsF]]-Table1[[#This Row],[xHTGoalsF]]</f>
        <v>14.950644231587999</v>
      </c>
      <c r="X9">
        <f>Table1[[#This Row],[GoalsA]]-Table1[[#This Row],[HTGoalsA]]</f>
        <v>10</v>
      </c>
      <c r="Y9">
        <f>Table1[[#This Row],[xGoalsA]]-Table1[[#This Row],[xHTGoalsA]]</f>
        <v>10.20489424391624</v>
      </c>
      <c r="Z9">
        <v>11</v>
      </c>
      <c r="AA9">
        <v>11.5509331846454</v>
      </c>
      <c r="AB9">
        <v>6</v>
      </c>
      <c r="AC9">
        <v>8.0696386618963594</v>
      </c>
      <c r="AD9" s="16">
        <f>Table1[[#This Row],[ShotsF100]]-Table1[[#This Row],[ShotsTF100]]</f>
        <v>0.20942529149568201</v>
      </c>
      <c r="AE9" s="9">
        <v>0.96128359474101099</v>
      </c>
      <c r="AF9">
        <v>205</v>
      </c>
      <c r="AG9">
        <v>213.25652608815301</v>
      </c>
      <c r="AH9" s="16">
        <f>Table1[[#This Row],[ShotsA100]]-Table1[[#This Row],[ShotsTA100]]</f>
        <v>0.24524686940166096</v>
      </c>
      <c r="AI9" s="9">
        <v>1.07859873624223</v>
      </c>
      <c r="AJ9">
        <v>188</v>
      </c>
      <c r="AK9">
        <v>174.300222764008</v>
      </c>
      <c r="AL9" s="9">
        <v>0.75185830324532898</v>
      </c>
      <c r="AM9">
        <v>69</v>
      </c>
      <c r="AN9">
        <v>91.772611544179995</v>
      </c>
      <c r="AO9" s="9">
        <v>0.83335186684056906</v>
      </c>
      <c r="AP9">
        <v>60</v>
      </c>
      <c r="AQ9">
        <v>71.998398740587106</v>
      </c>
      <c r="AR9" s="9">
        <v>0.98221637692366104</v>
      </c>
      <c r="AS9">
        <v>215</v>
      </c>
      <c r="AT9">
        <v>218.89270536639501</v>
      </c>
      <c r="AU9" s="9">
        <v>1.0044619681009599</v>
      </c>
      <c r="AV9">
        <v>226</v>
      </c>
      <c r="AW9">
        <v>224.996074691883</v>
      </c>
      <c r="AX9" s="9">
        <v>1.1446817298001699</v>
      </c>
      <c r="AY9">
        <v>32</v>
      </c>
      <c r="AZ9">
        <v>27.955368874094098</v>
      </c>
      <c r="BA9" s="9">
        <v>1.2769723722303301</v>
      </c>
      <c r="BB9">
        <v>40</v>
      </c>
      <c r="BC9">
        <v>31.324091945808298</v>
      </c>
      <c r="BD9">
        <v>3.6602315301732302</v>
      </c>
      <c r="BE9">
        <v>6</v>
      </c>
      <c r="BF9">
        <v>1.63924056457598</v>
      </c>
      <c r="BG9">
        <v>2.0272640330730098</v>
      </c>
      <c r="BH9">
        <v>4</v>
      </c>
      <c r="BI9">
        <v>1.97310263228841</v>
      </c>
    </row>
    <row r="10" spans="1:61" x14ac:dyDescent="0.45">
      <c r="A10">
        <v>12</v>
      </c>
      <c r="B10" t="s">
        <v>63</v>
      </c>
      <c r="C10" s="9">
        <f>Table1[[#This Row],[Points]]/Table1[[#This Row],[xPoints]]</f>
        <v>0.85378852408321515</v>
      </c>
      <c r="D10">
        <v>23</v>
      </c>
      <c r="E10">
        <v>26.9387551498154</v>
      </c>
      <c r="F10">
        <v>5</v>
      </c>
      <c r="G10">
        <v>8</v>
      </c>
      <c r="H10">
        <v>4</v>
      </c>
      <c r="I10">
        <v>7.29531044139231</v>
      </c>
      <c r="J10">
        <v>5.0528238256385096</v>
      </c>
      <c r="K10">
        <v>4.65186573296916</v>
      </c>
      <c r="L10">
        <v>4</v>
      </c>
      <c r="M10">
        <v>5.9328396792332398</v>
      </c>
      <c r="N10">
        <v>-3.7342091657610399</v>
      </c>
      <c r="O10">
        <v>1.8013694865278</v>
      </c>
      <c r="P10" s="9">
        <f>Table1[[#This Row],[GoalsF]]/Table1[[#This Row],[xGoalsF]]</f>
        <v>0.84902653888242441</v>
      </c>
      <c r="Q10">
        <v>21</v>
      </c>
      <c r="R10">
        <v>24.734209165761001</v>
      </c>
      <c r="S10" s="9">
        <f>Table1[[#This Row],[GoalsA]]/Table1[[#This Row],[xGoalsA]]</f>
        <v>0.90418945344281543</v>
      </c>
      <c r="T10">
        <v>17</v>
      </c>
      <c r="U10">
        <v>18.8013694865278</v>
      </c>
      <c r="V10">
        <f>Table1[[#This Row],[GoalsF]]-Table1[[#This Row],[HTGoalsF]]</f>
        <v>6</v>
      </c>
      <c r="W10">
        <f>Table1[[#This Row],[xGoalsF]]-Table1[[#This Row],[xHTGoalsF]]</f>
        <v>13.943475538416601</v>
      </c>
      <c r="X10">
        <f>Table1[[#This Row],[GoalsA]]-Table1[[#This Row],[HTGoalsA]]</f>
        <v>7</v>
      </c>
      <c r="Y10">
        <f>Table1[[#This Row],[xGoalsA]]-Table1[[#This Row],[xHTGoalsA]]</f>
        <v>10.527644338578671</v>
      </c>
      <c r="Z10">
        <v>15</v>
      </c>
      <c r="AA10">
        <v>10.7907336273444</v>
      </c>
      <c r="AB10">
        <v>10</v>
      </c>
      <c r="AC10">
        <v>8.2737251479491292</v>
      </c>
      <c r="AD10" s="16">
        <f>Table1[[#This Row],[ShotsF100]]-Table1[[#This Row],[ShotsTF100]]</f>
        <v>0.18353997254317</v>
      </c>
      <c r="AE10" s="9">
        <v>0.82045197867403097</v>
      </c>
      <c r="AF10">
        <v>169</v>
      </c>
      <c r="AG10">
        <v>205.98402391950799</v>
      </c>
      <c r="AH10" s="16">
        <f>Table1[[#This Row],[ShotsA100]]-Table1[[#This Row],[ShotsTA100]]</f>
        <v>0.24010808880466605</v>
      </c>
      <c r="AI10" s="9">
        <v>1.0655286417364001</v>
      </c>
      <c r="AJ10">
        <v>190</v>
      </c>
      <c r="AK10">
        <v>178.315244243807</v>
      </c>
      <c r="AL10" s="9">
        <v>0.63691200613086096</v>
      </c>
      <c r="AM10">
        <v>56</v>
      </c>
      <c r="AN10">
        <v>87.924233584778904</v>
      </c>
      <c r="AO10" s="9">
        <v>0.825420552931734</v>
      </c>
      <c r="AP10">
        <v>61</v>
      </c>
      <c r="AQ10">
        <v>73.901721714270096</v>
      </c>
      <c r="AR10" s="9">
        <v>0.97854428311196395</v>
      </c>
      <c r="AS10">
        <v>216</v>
      </c>
      <c r="AT10">
        <v>220.736050200075</v>
      </c>
      <c r="AU10" s="9">
        <v>0.94832517162611196</v>
      </c>
      <c r="AV10">
        <v>213</v>
      </c>
      <c r="AW10">
        <v>224.60650246662101</v>
      </c>
      <c r="AX10" s="9">
        <v>1.3676277338715199</v>
      </c>
      <c r="AY10">
        <v>39</v>
      </c>
      <c r="AZ10">
        <v>28.516531972920301</v>
      </c>
      <c r="BA10" s="9">
        <v>1.0957436508879901</v>
      </c>
      <c r="BB10">
        <v>34</v>
      </c>
      <c r="BC10">
        <v>31.0291553799524</v>
      </c>
      <c r="BD10">
        <v>1.2214584765784</v>
      </c>
      <c r="BE10">
        <v>2</v>
      </c>
      <c r="BF10">
        <v>1.6373868112180701</v>
      </c>
      <c r="BG10">
        <v>1.0247243580882299</v>
      </c>
      <c r="BH10">
        <v>2</v>
      </c>
      <c r="BI10">
        <v>1.9517443732198201</v>
      </c>
    </row>
    <row r="11" spans="1:61" x14ac:dyDescent="0.45">
      <c r="A11">
        <v>8</v>
      </c>
      <c r="B11" t="s">
        <v>59</v>
      </c>
      <c r="C11" s="9">
        <f>Table1[[#This Row],[Points]]/Table1[[#This Row],[xPoints]]</f>
        <v>1.2038378808674994</v>
      </c>
      <c r="D11">
        <v>35</v>
      </c>
      <c r="E11">
        <v>29.073682226030801</v>
      </c>
      <c r="F11">
        <v>10</v>
      </c>
      <c r="G11">
        <v>5</v>
      </c>
      <c r="H11">
        <v>2</v>
      </c>
      <c r="I11">
        <v>8.1315693261090498</v>
      </c>
      <c r="J11">
        <v>4.6789742477037102</v>
      </c>
      <c r="K11">
        <v>4.1894564261872196</v>
      </c>
      <c r="L11">
        <v>11</v>
      </c>
      <c r="M11">
        <v>8.4725686582388295</v>
      </c>
      <c r="N11">
        <v>-5.5425877104761998</v>
      </c>
      <c r="O11">
        <v>8.0700190522373703</v>
      </c>
      <c r="P11" s="9">
        <f>Table1[[#This Row],[GoalsF]]/Table1[[#This Row],[xGoalsF]]</f>
        <v>0.79118133578631544</v>
      </c>
      <c r="Q11">
        <v>21</v>
      </c>
      <c r="R11">
        <v>26.542587710476202</v>
      </c>
      <c r="S11" s="9">
        <f>Table1[[#This Row],[GoalsA]]/Table1[[#This Row],[xGoalsA]]</f>
        <v>0.55340284761691338</v>
      </c>
      <c r="T11">
        <v>10</v>
      </c>
      <c r="U11">
        <v>18.070019052237299</v>
      </c>
      <c r="V11">
        <f>Table1[[#This Row],[GoalsF]]-Table1[[#This Row],[HTGoalsF]]</f>
        <v>13</v>
      </c>
      <c r="W11">
        <f>Table1[[#This Row],[xGoalsF]]-Table1[[#This Row],[xHTGoalsF]]</f>
        <v>14.972459475816201</v>
      </c>
      <c r="X11">
        <f>Table1[[#This Row],[GoalsA]]-Table1[[#This Row],[HTGoalsA]]</f>
        <v>4</v>
      </c>
      <c r="Y11">
        <f>Table1[[#This Row],[xGoalsA]]-Table1[[#This Row],[xHTGoalsA]]</f>
        <v>10.129681165239079</v>
      </c>
      <c r="Z11">
        <v>8</v>
      </c>
      <c r="AA11">
        <v>11.57012823466</v>
      </c>
      <c r="AB11">
        <v>6</v>
      </c>
      <c r="AC11">
        <v>7.9403378869982202</v>
      </c>
      <c r="AD11" s="16">
        <f>Table1[[#This Row],[ShotsF100]]-Table1[[#This Row],[ShotsTF100]]</f>
        <v>0.2095989252240571</v>
      </c>
      <c r="AE11" s="9">
        <v>1.04178272700795</v>
      </c>
      <c r="AF11">
        <v>224</v>
      </c>
      <c r="AG11">
        <v>215.01604335803901</v>
      </c>
      <c r="AH11" s="16">
        <f>Table1[[#This Row],[ShotsA100]]-Table1[[#This Row],[ShotsTA100]]</f>
        <v>9.9774033855740019E-2</v>
      </c>
      <c r="AI11" s="9">
        <v>0.81074089014261297</v>
      </c>
      <c r="AJ11">
        <v>140</v>
      </c>
      <c r="AK11">
        <v>172.68155794556401</v>
      </c>
      <c r="AL11" s="9">
        <v>0.83218380178389295</v>
      </c>
      <c r="AM11">
        <v>77</v>
      </c>
      <c r="AN11">
        <v>92.527636124303996</v>
      </c>
      <c r="AO11" s="9">
        <v>0.71096685628687295</v>
      </c>
      <c r="AP11">
        <v>51</v>
      </c>
      <c r="AQ11">
        <v>71.733301698977598</v>
      </c>
      <c r="AR11" s="9">
        <v>0.96995289042377197</v>
      </c>
      <c r="AS11">
        <v>212</v>
      </c>
      <c r="AT11">
        <v>218.567316096534</v>
      </c>
      <c r="AU11" s="9">
        <v>1.05531455230947</v>
      </c>
      <c r="AV11">
        <v>238</v>
      </c>
      <c r="AW11">
        <v>225.52517586264199</v>
      </c>
      <c r="AX11" s="9">
        <v>0.98110248712893999</v>
      </c>
      <c r="AY11">
        <v>27</v>
      </c>
      <c r="AZ11">
        <v>27.520060701315401</v>
      </c>
      <c r="BA11" s="9">
        <v>1.08006225637414</v>
      </c>
      <c r="BB11">
        <v>34</v>
      </c>
      <c r="BC11">
        <v>31.479666842669499</v>
      </c>
      <c r="BD11">
        <v>2.5261006616098598</v>
      </c>
      <c r="BE11">
        <v>4</v>
      </c>
      <c r="BF11">
        <v>1.58346817321635</v>
      </c>
      <c r="BG11">
        <v>2.5404769869616501</v>
      </c>
      <c r="BH11">
        <v>5</v>
      </c>
      <c r="BI11">
        <v>1.96813434077978</v>
      </c>
    </row>
    <row r="12" spans="1:61" x14ac:dyDescent="0.45">
      <c r="A12">
        <v>7</v>
      </c>
      <c r="B12" t="s">
        <v>58</v>
      </c>
      <c r="C12" s="9">
        <f>Table1[[#This Row],[Points]]/Table1[[#This Row],[xPoints]]</f>
        <v>1.071937124705278</v>
      </c>
      <c r="D12">
        <v>28</v>
      </c>
      <c r="E12">
        <v>26.120935038702399</v>
      </c>
      <c r="F12">
        <v>7</v>
      </c>
      <c r="G12">
        <v>7</v>
      </c>
      <c r="H12">
        <v>3</v>
      </c>
      <c r="I12">
        <v>7.1310255583584796</v>
      </c>
      <c r="J12">
        <v>4.7278583636270097</v>
      </c>
      <c r="K12">
        <v>5.1411160780145</v>
      </c>
      <c r="L12">
        <v>12</v>
      </c>
      <c r="M12">
        <v>4.4595297318115703</v>
      </c>
      <c r="N12">
        <v>1.87263810220315</v>
      </c>
      <c r="O12">
        <v>5.6678321659852697</v>
      </c>
      <c r="P12" s="9">
        <f>Table1[[#This Row],[GoalsF]]/Table1[[#This Row],[xGoalsF]]</f>
        <v>1.0776147060808252</v>
      </c>
      <c r="Q12">
        <v>26</v>
      </c>
      <c r="R12">
        <v>24.127361897796799</v>
      </c>
      <c r="S12" s="9">
        <f>Table1[[#This Row],[GoalsA]]/Table1[[#This Row],[xGoalsA]]</f>
        <v>0.71182222228906811</v>
      </c>
      <c r="T12">
        <v>14</v>
      </c>
      <c r="U12">
        <v>19.6678321659852</v>
      </c>
      <c r="V12">
        <f>Table1[[#This Row],[GoalsF]]-Table1[[#This Row],[HTGoalsF]]</f>
        <v>12</v>
      </c>
      <c r="W12">
        <f>Table1[[#This Row],[xGoalsF]]-Table1[[#This Row],[xHTGoalsF]]</f>
        <v>13.569491343630999</v>
      </c>
      <c r="X12">
        <f>Table1[[#This Row],[GoalsA]]-Table1[[#This Row],[HTGoalsA]]</f>
        <v>7</v>
      </c>
      <c r="Y12">
        <f>Table1[[#This Row],[xGoalsA]]-Table1[[#This Row],[xHTGoalsA]]</f>
        <v>11.0331950182981</v>
      </c>
      <c r="Z12">
        <v>14</v>
      </c>
      <c r="AA12">
        <v>10.557870554165801</v>
      </c>
      <c r="AB12">
        <v>7</v>
      </c>
      <c r="AC12">
        <v>8.6346371476870996</v>
      </c>
      <c r="AD12" s="16">
        <f>Table1[[#This Row],[ShotsF100]]-Table1[[#This Row],[ShotsTF100]]</f>
        <v>0.24475143029974888</v>
      </c>
      <c r="AE12" s="9">
        <v>1.1138047971520899</v>
      </c>
      <c r="AF12">
        <v>227</v>
      </c>
      <c r="AG12">
        <v>203.80590977918101</v>
      </c>
      <c r="AH12" s="16">
        <f>Table1[[#This Row],[ShotsA100]]-Table1[[#This Row],[ShotsTA100]]</f>
        <v>0.25702290946314399</v>
      </c>
      <c r="AI12" s="9">
        <v>1.10888027036645</v>
      </c>
      <c r="AJ12">
        <v>201</v>
      </c>
      <c r="AK12">
        <v>181.263933872297</v>
      </c>
      <c r="AL12" s="9">
        <v>0.86905336685234102</v>
      </c>
      <c r="AM12">
        <v>76</v>
      </c>
      <c r="AN12">
        <v>87.451476398126601</v>
      </c>
      <c r="AO12" s="9">
        <v>0.85185736090330599</v>
      </c>
      <c r="AP12">
        <v>65</v>
      </c>
      <c r="AQ12">
        <v>76.303854357816704</v>
      </c>
      <c r="AR12" s="9">
        <v>0.96511772525380302</v>
      </c>
      <c r="AS12">
        <v>213</v>
      </c>
      <c r="AT12">
        <v>220.69846447384</v>
      </c>
      <c r="AU12" s="9">
        <v>0.91965781319917705</v>
      </c>
      <c r="AV12">
        <v>207</v>
      </c>
      <c r="AW12">
        <v>225.083718127634</v>
      </c>
      <c r="AX12" s="9">
        <v>0.98364258643459701</v>
      </c>
      <c r="AY12">
        <v>28</v>
      </c>
      <c r="AZ12">
        <v>28.465623983901899</v>
      </c>
      <c r="BA12" s="9">
        <v>1.08387481576004</v>
      </c>
      <c r="BB12">
        <v>33</v>
      </c>
      <c r="BC12">
        <v>30.446320479233002</v>
      </c>
      <c r="BD12">
        <v>1.7651485829852001</v>
      </c>
      <c r="BE12">
        <v>3</v>
      </c>
      <c r="BF12">
        <v>1.69957363868282</v>
      </c>
      <c r="BG12">
        <v>1.6244140175847599</v>
      </c>
      <c r="BH12">
        <v>3</v>
      </c>
      <c r="BI12">
        <v>1.8468198178075901</v>
      </c>
    </row>
    <row r="13" spans="1:61" x14ac:dyDescent="0.45">
      <c r="A13">
        <v>1</v>
      </c>
      <c r="B13" t="s">
        <v>52</v>
      </c>
      <c r="C13" s="9">
        <f>Table1[[#This Row],[Points]]/Table1[[#This Row],[xPoints]]</f>
        <v>1.1684864050495236</v>
      </c>
      <c r="D13">
        <v>20</v>
      </c>
      <c r="E13">
        <v>17.116159771796699</v>
      </c>
      <c r="F13">
        <v>5</v>
      </c>
      <c r="G13">
        <v>5</v>
      </c>
      <c r="H13">
        <v>7</v>
      </c>
      <c r="I13">
        <v>4.1596951548601302</v>
      </c>
      <c r="J13">
        <v>4.6370743072163796</v>
      </c>
      <c r="K13">
        <v>8.2032305379234796</v>
      </c>
      <c r="L13">
        <v>-6</v>
      </c>
      <c r="M13">
        <v>-9.1302091289445197</v>
      </c>
      <c r="N13">
        <v>-3.7029652446562901E-4</v>
      </c>
      <c r="O13">
        <v>3.13057942546898</v>
      </c>
      <c r="P13" s="9">
        <f>Table1[[#This Row],[GoalsF]]/Table1[[#This Row],[xGoalsF]]</f>
        <v>0.99997942839406628</v>
      </c>
      <c r="Q13">
        <v>18</v>
      </c>
      <c r="R13">
        <v>18.000370296524402</v>
      </c>
      <c r="S13" s="9">
        <f>Table1[[#This Row],[GoalsA]]/Table1[[#This Row],[xGoalsA]]</f>
        <v>0.88461066841314639</v>
      </c>
      <c r="T13">
        <v>24</v>
      </c>
      <c r="U13">
        <v>27.130579425468898</v>
      </c>
      <c r="V13">
        <f>Table1[[#This Row],[GoalsF]]-Table1[[#This Row],[HTGoalsF]]</f>
        <v>9</v>
      </c>
      <c r="W13">
        <f>Table1[[#This Row],[xGoalsF]]-Table1[[#This Row],[xHTGoalsF]]</f>
        <v>10.049123151939302</v>
      </c>
      <c r="X13">
        <f>Table1[[#This Row],[GoalsA]]-Table1[[#This Row],[HTGoalsA]]</f>
        <v>11</v>
      </c>
      <c r="Y13">
        <f>Table1[[#This Row],[xGoalsA]]-Table1[[#This Row],[xHTGoalsA]]</f>
        <v>15.204748805700099</v>
      </c>
      <c r="Z13">
        <v>9</v>
      </c>
      <c r="AA13">
        <v>7.9512471445850998</v>
      </c>
      <c r="AB13">
        <v>13</v>
      </c>
      <c r="AC13">
        <v>11.925830619768799</v>
      </c>
      <c r="AD13" s="16">
        <f>Table1[[#This Row],[ShotsF100]]-Table1[[#This Row],[ShotsTF100]]</f>
        <v>0.19976209096394093</v>
      </c>
      <c r="AE13" s="9">
        <v>0.76175463522863296</v>
      </c>
      <c r="AF13">
        <v>132</v>
      </c>
      <c r="AG13">
        <v>173.284144126515</v>
      </c>
      <c r="AH13" s="16">
        <f>Table1[[#This Row],[ShotsA100]]-Table1[[#This Row],[ShotsTA100]]</f>
        <v>0.33263303648947007</v>
      </c>
      <c r="AI13" s="9">
        <v>1.1579403236339201</v>
      </c>
      <c r="AJ13">
        <v>251</v>
      </c>
      <c r="AK13">
        <v>216.764193177327</v>
      </c>
      <c r="AL13" s="9">
        <v>0.56199254426469203</v>
      </c>
      <c r="AM13">
        <v>40</v>
      </c>
      <c r="AN13">
        <v>71.175321466827896</v>
      </c>
      <c r="AO13" s="9">
        <v>0.82530728714445001</v>
      </c>
      <c r="AP13">
        <v>77</v>
      </c>
      <c r="AQ13">
        <v>93.298582478798494</v>
      </c>
      <c r="AR13" s="9">
        <v>0.95996427877985502</v>
      </c>
      <c r="AS13">
        <v>216</v>
      </c>
      <c r="AT13">
        <v>225.00837247250701</v>
      </c>
      <c r="AU13" s="9">
        <v>1.0030493104613201</v>
      </c>
      <c r="AV13">
        <v>219</v>
      </c>
      <c r="AW13">
        <v>218.33423114490401</v>
      </c>
      <c r="AX13" s="9">
        <v>1.27676931886728</v>
      </c>
      <c r="AY13">
        <v>40</v>
      </c>
      <c r="AZ13">
        <v>31.329073630534001</v>
      </c>
      <c r="BA13" s="9">
        <v>0.98089016103729898</v>
      </c>
      <c r="BB13">
        <v>27</v>
      </c>
      <c r="BC13">
        <v>27.526017766808099</v>
      </c>
      <c r="BD13">
        <v>1.0519321080455899</v>
      </c>
      <c r="BE13">
        <v>2</v>
      </c>
      <c r="BF13">
        <v>1.90126338449336</v>
      </c>
      <c r="BG13">
        <v>1.9323077350470601</v>
      </c>
      <c r="BH13">
        <v>3</v>
      </c>
      <c r="BI13">
        <v>1.5525477363609099</v>
      </c>
    </row>
    <row r="14" spans="1:61" x14ac:dyDescent="0.45">
      <c r="A14">
        <v>2</v>
      </c>
      <c r="B14" t="s">
        <v>53</v>
      </c>
      <c r="C14" s="9">
        <f>Table1[[#This Row],[Points]]/Table1[[#This Row],[xPoints]]</f>
        <v>1.1272568280102684</v>
      </c>
      <c r="D14">
        <v>21</v>
      </c>
      <c r="E14">
        <v>18.6292950090773</v>
      </c>
      <c r="F14">
        <v>5</v>
      </c>
      <c r="G14">
        <v>6</v>
      </c>
      <c r="H14">
        <v>6</v>
      </c>
      <c r="I14">
        <v>4.6716380170103697</v>
      </c>
      <c r="J14">
        <v>4.6143809580462696</v>
      </c>
      <c r="K14">
        <v>7.71398102494335</v>
      </c>
      <c r="L14">
        <v>-6</v>
      </c>
      <c r="M14">
        <v>-6.8148560671615899</v>
      </c>
      <c r="N14">
        <v>-1.8647188786592499</v>
      </c>
      <c r="O14">
        <v>2.67957494582084</v>
      </c>
      <c r="P14" s="9">
        <f>Table1[[#This Row],[GoalsF]]/Table1[[#This Row],[xGoalsF]]</f>
        <v>0.90115310539990756</v>
      </c>
      <c r="Q14">
        <v>17</v>
      </c>
      <c r="R14">
        <v>18.8647188786592</v>
      </c>
      <c r="S14" s="9">
        <f>Table1[[#This Row],[GoalsA]]/Table1[[#This Row],[xGoalsA]]</f>
        <v>0.89565345409827801</v>
      </c>
      <c r="T14">
        <v>23</v>
      </c>
      <c r="U14">
        <v>25.6795749458208</v>
      </c>
      <c r="V14">
        <f>Table1[[#This Row],[GoalsF]]-Table1[[#This Row],[HTGoalsF]]</f>
        <v>11</v>
      </c>
      <c r="W14">
        <f>Table1[[#This Row],[xGoalsF]]-Table1[[#This Row],[xHTGoalsF]]</f>
        <v>10.574603198682391</v>
      </c>
      <c r="X14">
        <f>Table1[[#This Row],[GoalsA]]-Table1[[#This Row],[HTGoalsA]]</f>
        <v>12</v>
      </c>
      <c r="Y14">
        <f>Table1[[#This Row],[xGoalsA]]-Table1[[#This Row],[xHTGoalsA]]</f>
        <v>14.5132609153912</v>
      </c>
      <c r="Z14">
        <v>6</v>
      </c>
      <c r="AA14">
        <v>8.2901156799768092</v>
      </c>
      <c r="AB14">
        <v>11</v>
      </c>
      <c r="AC14">
        <v>11.1663140304296</v>
      </c>
      <c r="AD14" s="16">
        <f>Table1[[#This Row],[ShotsF100]]-Table1[[#This Row],[ShotsTF100]]</f>
        <v>0.317020198452582</v>
      </c>
      <c r="AE14" s="9">
        <v>1.26211701517814</v>
      </c>
      <c r="AF14">
        <v>225</v>
      </c>
      <c r="AG14">
        <v>178.27190133257201</v>
      </c>
      <c r="AH14" s="16">
        <f>Table1[[#This Row],[ShotsA100]]-Table1[[#This Row],[ShotsTA100]]</f>
        <v>0.28312653412662991</v>
      </c>
      <c r="AI14" s="9">
        <v>1.1058503082906399</v>
      </c>
      <c r="AJ14">
        <v>232</v>
      </c>
      <c r="AK14">
        <v>209.79331312807599</v>
      </c>
      <c r="AL14" s="9">
        <v>0.94509681672555801</v>
      </c>
      <c r="AM14">
        <v>70</v>
      </c>
      <c r="AN14">
        <v>74.066485846948893</v>
      </c>
      <c r="AO14" s="9">
        <v>0.82272377416400999</v>
      </c>
      <c r="AP14">
        <v>74</v>
      </c>
      <c r="AQ14">
        <v>89.945133863662903</v>
      </c>
      <c r="AR14" s="9">
        <v>0.93435836717106302</v>
      </c>
      <c r="AS14">
        <v>210</v>
      </c>
      <c r="AT14">
        <v>224.75316471538801</v>
      </c>
      <c r="AU14" s="9">
        <v>0.724373605363276</v>
      </c>
      <c r="AV14">
        <v>159</v>
      </c>
      <c r="AW14">
        <v>219.49999119620099</v>
      </c>
      <c r="AX14" s="9">
        <v>1.16665064427466</v>
      </c>
      <c r="AY14">
        <v>36</v>
      </c>
      <c r="AZ14">
        <v>30.857566638881899</v>
      </c>
      <c r="BA14" s="9">
        <v>0.781242556655948</v>
      </c>
      <c r="BB14">
        <v>22</v>
      </c>
      <c r="BC14">
        <v>28.1602682964038</v>
      </c>
      <c r="BD14">
        <v>2.1099254841207902</v>
      </c>
      <c r="BE14">
        <v>4</v>
      </c>
      <c r="BF14">
        <v>1.8958015484924999</v>
      </c>
      <c r="BG14">
        <v>0</v>
      </c>
      <c r="BH14">
        <v>0</v>
      </c>
      <c r="BI14">
        <v>1.64392696422814</v>
      </c>
    </row>
    <row r="15" spans="1:61" x14ac:dyDescent="0.45">
      <c r="A15">
        <v>6</v>
      </c>
      <c r="B15" t="s">
        <v>57</v>
      </c>
      <c r="C15" s="9">
        <f>Table1[[#This Row],[Points]]/Table1[[#This Row],[xPoints]]</f>
        <v>1.0434184309739134</v>
      </c>
      <c r="D15">
        <v>29</v>
      </c>
      <c r="E15">
        <v>27.793260248366298</v>
      </c>
      <c r="F15">
        <v>8</v>
      </c>
      <c r="G15">
        <v>5</v>
      </c>
      <c r="H15">
        <v>4</v>
      </c>
      <c r="I15">
        <v>7.6104900438632397</v>
      </c>
      <c r="J15">
        <v>4.9617901167765801</v>
      </c>
      <c r="K15">
        <v>4.4277198393601704</v>
      </c>
      <c r="L15">
        <v>11</v>
      </c>
      <c r="M15">
        <v>7.07267299656346</v>
      </c>
      <c r="N15">
        <v>-4.7167619649000398</v>
      </c>
      <c r="O15">
        <v>8.6440889683365807</v>
      </c>
      <c r="P15" s="9">
        <f>Table1[[#This Row],[GoalsF]]/Table1[[#This Row],[xGoalsF]]</f>
        <v>0.81658803035398619</v>
      </c>
      <c r="Q15">
        <v>21</v>
      </c>
      <c r="R15">
        <v>25.716761964900002</v>
      </c>
      <c r="S15" s="9">
        <f>Table1[[#This Row],[GoalsA]]/Table1[[#This Row],[xGoalsA]]</f>
        <v>0.53636302728350682</v>
      </c>
      <c r="T15">
        <v>10</v>
      </c>
      <c r="U15">
        <v>18.644088968336501</v>
      </c>
      <c r="V15">
        <f>Table1[[#This Row],[GoalsF]]-Table1[[#This Row],[HTGoalsF]]</f>
        <v>11</v>
      </c>
      <c r="W15">
        <f>Table1[[#This Row],[xGoalsF]]-Table1[[#This Row],[xHTGoalsF]]</f>
        <v>14.400691361486802</v>
      </c>
      <c r="X15">
        <f>Table1[[#This Row],[GoalsA]]-Table1[[#This Row],[HTGoalsA]]</f>
        <v>5</v>
      </c>
      <c r="Y15">
        <f>Table1[[#This Row],[xGoalsA]]-Table1[[#This Row],[xHTGoalsA]]</f>
        <v>10.457849010303001</v>
      </c>
      <c r="Z15">
        <v>10</v>
      </c>
      <c r="AA15">
        <v>11.3160706034132</v>
      </c>
      <c r="AB15">
        <v>5</v>
      </c>
      <c r="AC15">
        <v>8.1862399580335001</v>
      </c>
      <c r="AD15" s="16">
        <f>Table1[[#This Row],[ShotsF100]]-Table1[[#This Row],[ShotsTF100]]</f>
        <v>0.36864646243365295</v>
      </c>
      <c r="AE15" s="9">
        <v>1.1258396641560899</v>
      </c>
      <c r="AF15">
        <v>237</v>
      </c>
      <c r="AG15">
        <v>210.509549046355</v>
      </c>
      <c r="AH15" s="16">
        <f>Table1[[#This Row],[ShotsA100]]-Table1[[#This Row],[ShotsTA100]]</f>
        <v>0.350367762126507</v>
      </c>
      <c r="AI15" s="9">
        <v>0.99751922758650302</v>
      </c>
      <c r="AJ15">
        <v>174</v>
      </c>
      <c r="AK15">
        <v>174.432727899383</v>
      </c>
      <c r="AL15" s="9">
        <v>0.75719320172243698</v>
      </c>
      <c r="AM15">
        <v>69</v>
      </c>
      <c r="AN15">
        <v>91.126016243993007</v>
      </c>
      <c r="AO15" s="9">
        <v>0.64715146545999602</v>
      </c>
      <c r="AP15">
        <v>47</v>
      </c>
      <c r="AQ15">
        <v>72.625965494171197</v>
      </c>
      <c r="AR15" s="9">
        <v>0.91540357270477501</v>
      </c>
      <c r="AS15">
        <v>200</v>
      </c>
      <c r="AT15">
        <v>218.48287024820399</v>
      </c>
      <c r="AU15" s="9">
        <v>0.96534349169798594</v>
      </c>
      <c r="AV15">
        <v>217</v>
      </c>
      <c r="AW15">
        <v>224.79045217190901</v>
      </c>
      <c r="AX15" s="9">
        <v>0.97167593251731599</v>
      </c>
      <c r="AY15">
        <v>27</v>
      </c>
      <c r="AZ15">
        <v>27.787042054289799</v>
      </c>
      <c r="BA15" s="9">
        <v>0.89309548409281803</v>
      </c>
      <c r="BB15">
        <v>28</v>
      </c>
      <c r="BC15">
        <v>31.351630927169602</v>
      </c>
      <c r="BD15">
        <v>0.62642726153847705</v>
      </c>
      <c r="BE15">
        <v>1</v>
      </c>
      <c r="BF15">
        <v>1.5963545353119599</v>
      </c>
      <c r="BG15">
        <v>2.0436057863801702</v>
      </c>
      <c r="BH15">
        <v>4</v>
      </c>
      <c r="BI15">
        <v>1.9573246595103599</v>
      </c>
    </row>
    <row r="16" spans="1:61" x14ac:dyDescent="0.45">
      <c r="A16">
        <v>5</v>
      </c>
      <c r="B16" t="s">
        <v>56</v>
      </c>
      <c r="C16" s="9">
        <f>Table1[[#This Row],[Points]]/Table1[[#This Row],[xPoints]]</f>
        <v>1.0787752975938683</v>
      </c>
      <c r="D16">
        <v>29</v>
      </c>
      <c r="E16">
        <v>26.882335982926602</v>
      </c>
      <c r="F16">
        <v>8</v>
      </c>
      <c r="G16">
        <v>5</v>
      </c>
      <c r="H16">
        <v>4</v>
      </c>
      <c r="I16">
        <v>7.4621555470203296</v>
      </c>
      <c r="J16">
        <v>4.4958693418656797</v>
      </c>
      <c r="K16">
        <v>5.0419751111139801</v>
      </c>
      <c r="L16">
        <v>6</v>
      </c>
      <c r="M16">
        <v>5.1354687260355698</v>
      </c>
      <c r="N16">
        <v>-4.5403212884384896</v>
      </c>
      <c r="O16">
        <v>5.40485256240291</v>
      </c>
      <c r="P16" s="9">
        <f>Table1[[#This Row],[GoalsF]]/Table1[[#This Row],[xGoalsF]]</f>
        <v>0.81498525487612639</v>
      </c>
      <c r="Q16">
        <v>20</v>
      </c>
      <c r="R16">
        <v>24.540321288438399</v>
      </c>
      <c r="S16" s="9">
        <f>Table1[[#This Row],[GoalsA]]/Table1[[#This Row],[xGoalsA]]</f>
        <v>0.72146902198706431</v>
      </c>
      <c r="T16">
        <v>14</v>
      </c>
      <c r="U16">
        <v>19.404852562402901</v>
      </c>
      <c r="V16">
        <f>Table1[[#This Row],[GoalsF]]-Table1[[#This Row],[HTGoalsF]]</f>
        <v>9</v>
      </c>
      <c r="W16">
        <f>Table1[[#This Row],[xGoalsF]]-Table1[[#This Row],[xHTGoalsF]]</f>
        <v>13.820791566726898</v>
      </c>
      <c r="X16">
        <f>Table1[[#This Row],[GoalsA]]-Table1[[#This Row],[HTGoalsA]]</f>
        <v>10</v>
      </c>
      <c r="Y16">
        <f>Table1[[#This Row],[xGoalsA]]-Table1[[#This Row],[xHTGoalsA]]</f>
        <v>10.865036800677791</v>
      </c>
      <c r="Z16">
        <v>11</v>
      </c>
      <c r="AA16">
        <v>10.719529721711501</v>
      </c>
      <c r="AB16">
        <v>4</v>
      </c>
      <c r="AC16">
        <v>8.5398157617251105</v>
      </c>
      <c r="AD16" s="16">
        <f>Table1[[#This Row],[ShotsF100]]-Table1[[#This Row],[ShotsTF100]]</f>
        <v>0.30189508844934099</v>
      </c>
      <c r="AE16" s="9">
        <v>0.92636470226312295</v>
      </c>
      <c r="AF16">
        <v>189</v>
      </c>
      <c r="AG16">
        <v>204.02331774761001</v>
      </c>
      <c r="AH16" s="16">
        <f>Table1[[#This Row],[ShotsA100]]-Table1[[#This Row],[ShotsTA100]]</f>
        <v>0.17747987259380305</v>
      </c>
      <c r="AI16" s="9">
        <v>1.04572411251424</v>
      </c>
      <c r="AJ16">
        <v>189</v>
      </c>
      <c r="AK16">
        <v>180.73600650326901</v>
      </c>
      <c r="AL16" s="9">
        <v>0.62446961381378197</v>
      </c>
      <c r="AM16">
        <v>55</v>
      </c>
      <c r="AN16">
        <v>88.0747418022505</v>
      </c>
      <c r="AO16" s="9">
        <v>0.86824423992043698</v>
      </c>
      <c r="AP16">
        <v>66</v>
      </c>
      <c r="AQ16">
        <v>76.015476942349693</v>
      </c>
      <c r="AR16" s="9">
        <v>0.90542355275272601</v>
      </c>
      <c r="AS16">
        <v>199</v>
      </c>
      <c r="AT16">
        <v>219.78663951803199</v>
      </c>
      <c r="AU16" s="9">
        <v>1.0555583416835299</v>
      </c>
      <c r="AV16">
        <v>236</v>
      </c>
      <c r="AW16">
        <v>223.578357235656</v>
      </c>
      <c r="AX16" s="9">
        <v>1.2746884617193399</v>
      </c>
      <c r="AY16">
        <v>36</v>
      </c>
      <c r="AZ16">
        <v>28.242194921449201</v>
      </c>
      <c r="BA16" s="9">
        <v>1.57834349246221</v>
      </c>
      <c r="BB16">
        <v>48</v>
      </c>
      <c r="BC16">
        <v>30.411631073487001</v>
      </c>
      <c r="BD16">
        <v>1.2001843529159499</v>
      </c>
      <c r="BE16">
        <v>2</v>
      </c>
      <c r="BF16">
        <v>1.66641066027967</v>
      </c>
      <c r="BG16">
        <v>1.6175735564273801</v>
      </c>
      <c r="BH16">
        <v>3</v>
      </c>
      <c r="BI16">
        <v>1.85462972492322</v>
      </c>
    </row>
    <row r="17" spans="1:61" x14ac:dyDescent="0.45">
      <c r="A17">
        <v>16</v>
      </c>
      <c r="B17" t="s">
        <v>67</v>
      </c>
      <c r="C17" s="9">
        <f>Table1[[#This Row],[Points]]/Table1[[#This Row],[xPoints]]</f>
        <v>1.1130796270078398</v>
      </c>
      <c r="D17">
        <v>24</v>
      </c>
      <c r="E17">
        <v>21.561799729024202</v>
      </c>
      <c r="F17">
        <v>6</v>
      </c>
      <c r="G17">
        <v>6</v>
      </c>
      <c r="H17">
        <v>5</v>
      </c>
      <c r="I17">
        <v>5.6938330110015096</v>
      </c>
      <c r="J17">
        <v>4.48030069601975</v>
      </c>
      <c r="K17">
        <v>6.8258662929787297</v>
      </c>
      <c r="L17">
        <v>0</v>
      </c>
      <c r="M17">
        <v>-2.33079910711146</v>
      </c>
      <c r="N17">
        <v>1.21043170160604</v>
      </c>
      <c r="O17">
        <v>1.12036740550541</v>
      </c>
      <c r="P17" s="9">
        <f>Table1[[#This Row],[GoalsF]]/Table1[[#This Row],[xGoalsF]]</f>
        <v>1.0582230320626529</v>
      </c>
      <c r="Q17">
        <v>22</v>
      </c>
      <c r="R17">
        <v>20.789568298393899</v>
      </c>
      <c r="S17" s="9">
        <f>Table1[[#This Row],[GoalsA]]/Table1[[#This Row],[xGoalsA]]</f>
        <v>0.95154197224224812</v>
      </c>
      <c r="T17">
        <v>22</v>
      </c>
      <c r="U17">
        <v>23.120367405505402</v>
      </c>
      <c r="V17">
        <f>Table1[[#This Row],[GoalsF]]-Table1[[#This Row],[HTGoalsF]]</f>
        <v>12</v>
      </c>
      <c r="W17">
        <f>Table1[[#This Row],[xGoalsF]]-Table1[[#This Row],[xHTGoalsF]]</f>
        <v>11.72226686964852</v>
      </c>
      <c r="X17">
        <f>Table1[[#This Row],[GoalsA]]-Table1[[#This Row],[HTGoalsA]]</f>
        <v>9</v>
      </c>
      <c r="Y17">
        <f>Table1[[#This Row],[xGoalsA]]-Table1[[#This Row],[xHTGoalsA]]</f>
        <v>12.995218967983401</v>
      </c>
      <c r="Z17">
        <v>10</v>
      </c>
      <c r="AA17">
        <v>9.0673014287453793</v>
      </c>
      <c r="AB17">
        <v>13</v>
      </c>
      <c r="AC17">
        <v>10.125148437522</v>
      </c>
      <c r="AD17" s="16">
        <f>Table1[[#This Row],[ShotsF100]]-Table1[[#This Row],[ShotsTF100]]</f>
        <v>0.31547782708860594</v>
      </c>
      <c r="AE17" s="9">
        <v>1.2149593120419899</v>
      </c>
      <c r="AF17">
        <v>226</v>
      </c>
      <c r="AG17">
        <v>186.014459710719</v>
      </c>
      <c r="AH17" s="16">
        <f>Table1[[#This Row],[ShotsA100]]-Table1[[#This Row],[ShotsTA100]]</f>
        <v>0.3131275720800959</v>
      </c>
      <c r="AI17" s="9">
        <v>1.1492116420251799</v>
      </c>
      <c r="AJ17">
        <v>228</v>
      </c>
      <c r="AK17">
        <v>198.39687631271201</v>
      </c>
      <c r="AL17" s="9">
        <v>0.89948148495338398</v>
      </c>
      <c r="AM17">
        <v>71</v>
      </c>
      <c r="AN17">
        <v>78.9343651733749</v>
      </c>
      <c r="AO17" s="9">
        <v>0.836084069945084</v>
      </c>
      <c r="AP17">
        <v>71</v>
      </c>
      <c r="AQ17">
        <v>84.919689959723001</v>
      </c>
      <c r="AR17" s="9">
        <v>0.89750587308173901</v>
      </c>
      <c r="AS17">
        <v>201</v>
      </c>
      <c r="AT17">
        <v>223.95396623961</v>
      </c>
      <c r="AU17" s="9">
        <v>1.05012684500128</v>
      </c>
      <c r="AV17">
        <v>233</v>
      </c>
      <c r="AW17">
        <v>221.87795799060299</v>
      </c>
      <c r="AX17" s="9">
        <v>1.35842678147273</v>
      </c>
      <c r="AY17">
        <v>41</v>
      </c>
      <c r="AZ17">
        <v>30.1819726754428</v>
      </c>
      <c r="BA17" s="9">
        <v>1.35748245056253</v>
      </c>
      <c r="BB17">
        <v>39</v>
      </c>
      <c r="BC17">
        <v>28.729653178086</v>
      </c>
      <c r="BD17">
        <v>1.6265376708688899</v>
      </c>
      <c r="BE17">
        <v>3</v>
      </c>
      <c r="BF17">
        <v>1.84440855796312</v>
      </c>
      <c r="BG17">
        <v>2.95645905178392</v>
      </c>
      <c r="BH17">
        <v>5</v>
      </c>
      <c r="BI17">
        <v>1.69121232948685</v>
      </c>
    </row>
    <row r="18" spans="1:61" x14ac:dyDescent="0.45">
      <c r="A18">
        <v>11</v>
      </c>
      <c r="B18" t="s">
        <v>62</v>
      </c>
      <c r="C18" s="9">
        <f>Table1[[#This Row],[Points]]/Table1[[#This Row],[xPoints]]</f>
        <v>0.69047457009415236</v>
      </c>
      <c r="D18">
        <v>18</v>
      </c>
      <c r="E18">
        <v>26.0690266949955</v>
      </c>
      <c r="F18">
        <v>4</v>
      </c>
      <c r="G18">
        <v>6</v>
      </c>
      <c r="H18">
        <v>7</v>
      </c>
      <c r="I18">
        <v>7.0896955603608696</v>
      </c>
      <c r="J18">
        <v>4.7999400139129502</v>
      </c>
      <c r="K18">
        <v>5.1103644257261696</v>
      </c>
      <c r="L18">
        <v>-2</v>
      </c>
      <c r="M18">
        <v>4.2835034289706204</v>
      </c>
      <c r="N18">
        <v>-5.1197049802741503</v>
      </c>
      <c r="O18">
        <v>-1.1637984486964701</v>
      </c>
      <c r="P18" s="9">
        <f>Table1[[#This Row],[GoalsF]]/Table1[[#This Row],[xGoalsF]]</f>
        <v>0.78773766161480141</v>
      </c>
      <c r="Q18">
        <v>19</v>
      </c>
      <c r="R18">
        <v>24.119704980274101</v>
      </c>
      <c r="S18" s="9">
        <f>Table1[[#This Row],[GoalsA]]/Table1[[#This Row],[xGoalsA]]</f>
        <v>1.0586704286950555</v>
      </c>
      <c r="T18">
        <v>21</v>
      </c>
      <c r="U18">
        <v>19.8362015513035</v>
      </c>
      <c r="V18">
        <f>Table1[[#This Row],[GoalsF]]-Table1[[#This Row],[HTGoalsF]]</f>
        <v>11</v>
      </c>
      <c r="W18">
        <f>Table1[[#This Row],[xGoalsF]]-Table1[[#This Row],[xHTGoalsF]]</f>
        <v>13.522180153305001</v>
      </c>
      <c r="X18">
        <f>Table1[[#This Row],[GoalsA]]-Table1[[#This Row],[HTGoalsA]]</f>
        <v>10</v>
      </c>
      <c r="Y18">
        <f>Table1[[#This Row],[xGoalsA]]-Table1[[#This Row],[xHTGoalsA]]</f>
        <v>11.09141490326116</v>
      </c>
      <c r="Z18">
        <v>8</v>
      </c>
      <c r="AA18">
        <v>10.597524826969099</v>
      </c>
      <c r="AB18">
        <v>11</v>
      </c>
      <c r="AC18">
        <v>8.7447866480423393</v>
      </c>
      <c r="AD18" s="16">
        <f>Table1[[#This Row],[ShotsF100]]-Table1[[#This Row],[ShotsTF100]]</f>
        <v>0.49723273187074502</v>
      </c>
      <c r="AE18" s="9">
        <v>1.33486073042159</v>
      </c>
      <c r="AF18">
        <v>271</v>
      </c>
      <c r="AG18">
        <v>203.017433822036</v>
      </c>
      <c r="AH18" s="16">
        <f>Table1[[#This Row],[ShotsA100]]-Table1[[#This Row],[ShotsTA100]]</f>
        <v>0.37649892225728809</v>
      </c>
      <c r="AI18" s="9">
        <v>1.23948620013855</v>
      </c>
      <c r="AJ18">
        <v>225</v>
      </c>
      <c r="AK18">
        <v>181.52682940305999</v>
      </c>
      <c r="AL18" s="9">
        <v>0.83762799855084502</v>
      </c>
      <c r="AM18">
        <v>73</v>
      </c>
      <c r="AN18">
        <v>87.150859482126904</v>
      </c>
      <c r="AO18" s="9">
        <v>0.86298727788126195</v>
      </c>
      <c r="AP18">
        <v>66</v>
      </c>
      <c r="AQ18">
        <v>76.478531829620806</v>
      </c>
      <c r="AR18" s="9">
        <v>0.83136321395562596</v>
      </c>
      <c r="AS18">
        <v>182</v>
      </c>
      <c r="AT18">
        <v>218.91755245465299</v>
      </c>
      <c r="AU18" s="9">
        <v>0.88578342156004197</v>
      </c>
      <c r="AV18">
        <v>197</v>
      </c>
      <c r="AW18">
        <v>222.40199489514401</v>
      </c>
      <c r="AX18" s="9">
        <v>1.1627049349099301</v>
      </c>
      <c r="AY18">
        <v>33</v>
      </c>
      <c r="AZ18">
        <v>28.382093349037198</v>
      </c>
      <c r="BA18" s="9">
        <v>0.81773211703015602</v>
      </c>
      <c r="BB18">
        <v>25</v>
      </c>
      <c r="BC18">
        <v>30.572359186276199</v>
      </c>
      <c r="BD18">
        <v>1.80845039074281</v>
      </c>
      <c r="BE18">
        <v>3</v>
      </c>
      <c r="BF18">
        <v>1.65887879222817</v>
      </c>
      <c r="BG18">
        <v>0.52465179700429598</v>
      </c>
      <c r="BH18">
        <v>1</v>
      </c>
      <c r="BI18">
        <v>1.90602606473453</v>
      </c>
    </row>
    <row r="19" spans="1:61" x14ac:dyDescent="0.45">
      <c r="A19">
        <v>3</v>
      </c>
      <c r="B19" t="s">
        <v>54</v>
      </c>
      <c r="C19" s="9">
        <f>Table1[[#This Row],[Points]]/Table1[[#This Row],[xPoints]]</f>
        <v>0.94758297797072166</v>
      </c>
      <c r="D19">
        <v>16</v>
      </c>
      <c r="E19">
        <v>16.885064814339</v>
      </c>
      <c r="F19">
        <v>4</v>
      </c>
      <c r="G19">
        <v>4</v>
      </c>
      <c r="H19">
        <v>9</v>
      </c>
      <c r="I19">
        <v>4.0806666985842703</v>
      </c>
      <c r="J19">
        <v>4.6430647185862597</v>
      </c>
      <c r="K19">
        <v>8.2762685828294593</v>
      </c>
      <c r="L19">
        <v>-11</v>
      </c>
      <c r="M19">
        <v>-9.4577557229454907</v>
      </c>
      <c r="N19">
        <v>-3.9181169993209801</v>
      </c>
      <c r="O19">
        <v>2.3758727222664699</v>
      </c>
      <c r="P19" s="9">
        <f>Table1[[#This Row],[GoalsF]]/Table1[[#This Row],[xGoalsF]]</f>
        <v>0.78133210094177874</v>
      </c>
      <c r="Q19">
        <v>14</v>
      </c>
      <c r="R19">
        <v>17.918116999320901</v>
      </c>
      <c r="S19" s="9">
        <f>Table1[[#This Row],[GoalsA]]/Table1[[#This Row],[xGoalsA]]</f>
        <v>0.91321289566290376</v>
      </c>
      <c r="T19">
        <v>25</v>
      </c>
      <c r="U19">
        <v>27.375872722266401</v>
      </c>
      <c r="V19">
        <f>Table1[[#This Row],[GoalsF]]-Table1[[#This Row],[HTGoalsF]]</f>
        <v>6</v>
      </c>
      <c r="W19">
        <f>Table1[[#This Row],[xGoalsF]]-Table1[[#This Row],[xHTGoalsF]]</f>
        <v>10.052338104939572</v>
      </c>
      <c r="X19">
        <f>Table1[[#This Row],[GoalsA]]-Table1[[#This Row],[HTGoalsA]]</f>
        <v>16</v>
      </c>
      <c r="Y19">
        <f>Table1[[#This Row],[xGoalsA]]-Table1[[#This Row],[xHTGoalsA]]</f>
        <v>15.4359973428594</v>
      </c>
      <c r="Z19">
        <v>8</v>
      </c>
      <c r="AA19">
        <v>7.8657788943813296</v>
      </c>
      <c r="AB19">
        <v>9</v>
      </c>
      <c r="AC19">
        <v>11.939875379407001</v>
      </c>
      <c r="AD19" s="16">
        <f>Table1[[#This Row],[ShotsF100]]-Table1[[#This Row],[ShotsTF100]]</f>
        <v>0.3349528164017711</v>
      </c>
      <c r="AE19" s="9">
        <v>0.91450323786046706</v>
      </c>
      <c r="AF19">
        <v>157</v>
      </c>
      <c r="AG19">
        <v>171.67790500918301</v>
      </c>
      <c r="AH19" s="16">
        <f>Table1[[#This Row],[ShotsA100]]-Table1[[#This Row],[ShotsTA100]]</f>
        <v>0.33912234929681295</v>
      </c>
      <c r="AI19" s="9">
        <v>1.08544017902404</v>
      </c>
      <c r="AJ19">
        <v>236</v>
      </c>
      <c r="AK19">
        <v>217.42331319649099</v>
      </c>
      <c r="AL19" s="9">
        <v>0.57955042145869595</v>
      </c>
      <c r="AM19">
        <v>41</v>
      </c>
      <c r="AN19">
        <v>70.744491733446196</v>
      </c>
      <c r="AO19" s="9">
        <v>0.74631782972722704</v>
      </c>
      <c r="AP19">
        <v>70</v>
      </c>
      <c r="AQ19">
        <v>93.793819753153002</v>
      </c>
      <c r="AR19" s="9">
        <v>0.81128056221827805</v>
      </c>
      <c r="AS19">
        <v>184</v>
      </c>
      <c r="AT19">
        <v>226.801933349531</v>
      </c>
      <c r="AU19" s="9">
        <v>0.95939209068961095</v>
      </c>
      <c r="AV19">
        <v>210</v>
      </c>
      <c r="AW19">
        <v>218.888608774179</v>
      </c>
      <c r="AX19" s="9">
        <v>0.98102717636202297</v>
      </c>
      <c r="AY19">
        <v>31</v>
      </c>
      <c r="AZ19">
        <v>31.599532354402601</v>
      </c>
      <c r="BA19" s="9">
        <v>1.1967673038104301</v>
      </c>
      <c r="BB19">
        <v>33</v>
      </c>
      <c r="BC19">
        <v>27.574282732265399</v>
      </c>
      <c r="BD19">
        <v>1.52231735450776</v>
      </c>
      <c r="BE19">
        <v>3</v>
      </c>
      <c r="BF19">
        <v>1.9706797607717099</v>
      </c>
      <c r="BG19">
        <v>1.2564414839942</v>
      </c>
      <c r="BH19">
        <v>2</v>
      </c>
      <c r="BI19">
        <v>1.5917971711997501</v>
      </c>
    </row>
    <row r="20" spans="1:61" x14ac:dyDescent="0.45">
      <c r="D20">
        <f>SUBTOTAL(109,Table1[Points])</f>
        <v>405</v>
      </c>
      <c r="E20">
        <f>SUBTOTAL(109,Table1[xPoints])</f>
        <v>416.29424663674774</v>
      </c>
      <c r="F20">
        <f>SUBTOTAL(109,Table1[Wins])</f>
        <v>99</v>
      </c>
      <c r="G20">
        <f>SUBTOTAL(109,Table1[Draws])</f>
        <v>108</v>
      </c>
      <c r="I20">
        <f>SUBTOTAL(109,Table1[xWins])</f>
        <v>110.29424663674885</v>
      </c>
      <c r="J20">
        <f>SUBTOTAL(109,Table1[xDraws])</f>
        <v>85.411506726502026</v>
      </c>
      <c r="K20">
        <f>SUBTOTAL(109,Table1[xLosses])</f>
        <v>110.29424663674888</v>
      </c>
      <c r="Q20">
        <f>SUBTOTAL(109,Table1[GoalsF])</f>
        <v>332</v>
      </c>
      <c r="R20">
        <f>SUM(Table1[xGoalsF])</f>
        <v>397.3685275795109</v>
      </c>
      <c r="V20">
        <f>SUBTOTAL(109,Table1[2HTGoalsF])</f>
        <v>178</v>
      </c>
      <c r="W20">
        <f>SUBTOTAL(109,Table1[x2HTGoalsF])</f>
        <v>223.21076668035874</v>
      </c>
      <c r="Z20">
        <f>SUBTOTAL(109,Table1[HTGoalsF])</f>
        <v>154</v>
      </c>
      <c r="AA20">
        <f>SUBTOTAL(109,Table1[xHTGoalsF])</f>
        <v>174.15776089915224</v>
      </c>
      <c r="AE20">
        <f>SUBTOTAL(101,Table1[ShotsF100])</f>
        <v>1.0871085965412661</v>
      </c>
      <c r="AF20">
        <f>SUBTOTAL(107,Table1[ShotsF])</f>
        <v>34.636298916229229</v>
      </c>
      <c r="AG20">
        <f>SUBTOTAL(107,Table1[xShotsF])</f>
        <v>14.356879848648575</v>
      </c>
      <c r="AK20">
        <f>SUBTOTAL(107,Table1[xShotsA])</f>
        <v>14.781437484350572</v>
      </c>
      <c r="AL20">
        <f>SUBTOTAL(101,Table1[ShotsTF100])</f>
        <v>0.7848486007480252</v>
      </c>
      <c r="AM20">
        <f>SUBTOTAL(107,Table1[ShotsTF])</f>
        <v>12.47114316190404</v>
      </c>
      <c r="AN20">
        <f>SUBTOTAL(107,Table1[xShotsTF])</f>
        <v>7.3114389204579533</v>
      </c>
      <c r="AR20" s="3">
        <f>SUBTOTAL(101,Table1[Fouls100])</f>
        <v>0.98060835530421686</v>
      </c>
      <c r="AS20">
        <f>SUBTOTAL(107,Table1[Fouls])</f>
        <v>20.99649830749096</v>
      </c>
      <c r="AT20">
        <f>SUBTOTAL(107,Table1[xFouls])</f>
        <v>2.5443139231438159</v>
      </c>
      <c r="AX20" s="4">
        <f>SUBTOTAL(101,Table1[YCard100])</f>
        <v>1.1295544634591321</v>
      </c>
      <c r="AY20" s="6">
        <f>SUBTOTAL(107,Table1[YCard])</f>
        <v>4.6796039159802287</v>
      </c>
      <c r="AZ20" s="6">
        <f>SUBTOTAL(107,Table1[xYCard])</f>
        <v>1.3526565664241419</v>
      </c>
      <c r="BD20">
        <f>SUBTOTAL(101,Table1[RCard100])</f>
        <v>1.686912763369812</v>
      </c>
      <c r="BE20" s="7">
        <f>SUBTOTAL(101,Table1[RCard])</f>
        <v>3</v>
      </c>
      <c r="BF20">
        <f>SUBTOTAL(101,Table1[xRCard])</f>
        <v>1.7796619199006827</v>
      </c>
      <c r="BH20">
        <f>SUBTOTAL(101,Table1[RCardA])</f>
        <v>3</v>
      </c>
    </row>
    <row r="22" spans="1:61" x14ac:dyDescent="0.45">
      <c r="D22">
        <v>405</v>
      </c>
      <c r="E22">
        <v>416.2942466367478</v>
      </c>
      <c r="F22">
        <v>99</v>
      </c>
      <c r="G22">
        <v>108</v>
      </c>
      <c r="I22">
        <v>110.29424663674885</v>
      </c>
      <c r="J22">
        <v>85.411506726502026</v>
      </c>
      <c r="Q22">
        <v>332</v>
      </c>
      <c r="R22">
        <v>397.3685275795109</v>
      </c>
      <c r="V22">
        <v>178</v>
      </c>
      <c r="W22">
        <v>223.21076668035872</v>
      </c>
      <c r="Z22">
        <v>154</v>
      </c>
      <c r="AA22">
        <v>174.15776089915224</v>
      </c>
      <c r="AF22">
        <v>3772</v>
      </c>
      <c r="AG22">
        <v>3469.0992588780032</v>
      </c>
      <c r="AM22">
        <v>1158</v>
      </c>
      <c r="AN22">
        <v>1472.089806045472</v>
      </c>
      <c r="AS22">
        <v>3921</v>
      </c>
      <c r="AT22">
        <v>3998.232142508476</v>
      </c>
      <c r="AY22">
        <v>601</v>
      </c>
      <c r="AZ22">
        <v>531.8327164974678</v>
      </c>
      <c r="BE22">
        <v>54</v>
      </c>
      <c r="BF22">
        <v>32.033914558212288</v>
      </c>
    </row>
    <row r="24" spans="1:61" x14ac:dyDescent="0.45">
      <c r="D24" s="9">
        <f>D22/E22</f>
        <v>0.97286955866434788</v>
      </c>
      <c r="F24">
        <f>F22/I22</f>
        <v>0.89759895025217273</v>
      </c>
      <c r="G24" s="9">
        <f>G22/J22</f>
        <v>1.2644666291373252</v>
      </c>
      <c r="Q24" s="9">
        <f>Q22/R22</f>
        <v>0.83549646476108741</v>
      </c>
      <c r="V24" s="9">
        <f>V22/W22</f>
        <v>0.79745257205669995</v>
      </c>
      <c r="Z24" s="9">
        <f>Z22/AA22</f>
        <v>0.88425574148932251</v>
      </c>
      <c r="AF24" s="9">
        <f>AF22/AG22</f>
        <v>1.0873139447788422</v>
      </c>
      <c r="AM24" s="9">
        <f>AM22/AN22</f>
        <v>0.78663679025858979</v>
      </c>
      <c r="AS24" s="9">
        <f>AS22/AT22</f>
        <v>0.98068342713586887</v>
      </c>
      <c r="AY24" s="9">
        <f>AY22/AZ22</f>
        <v>1.130054585505857</v>
      </c>
      <c r="BE24" s="9">
        <f>BE22/BF22</f>
        <v>1.6857134304292023</v>
      </c>
    </row>
    <row r="26" spans="1:61" x14ac:dyDescent="0.45">
      <c r="P26">
        <f>Q26-R26</f>
        <v>-0.42724527829745718</v>
      </c>
      <c r="Q26">
        <f>Q22/153</f>
        <v>2.1699346405228757</v>
      </c>
      <c r="R26">
        <f>R22/153</f>
        <v>2.5971799188203328</v>
      </c>
      <c r="AF26" t="s">
        <v>109</v>
      </c>
      <c r="AG26">
        <v>171.67790500918301</v>
      </c>
      <c r="AM26" t="s">
        <v>109</v>
      </c>
      <c r="AN26">
        <v>70.744491733446196</v>
      </c>
      <c r="AS26" t="s">
        <v>79</v>
      </c>
      <c r="AX26" t="s">
        <v>77</v>
      </c>
      <c r="AY26" s="6">
        <v>33.388888888888886</v>
      </c>
      <c r="AZ26" s="6">
        <v>29.546262027637098</v>
      </c>
      <c r="BD26" t="s">
        <v>78</v>
      </c>
      <c r="BE26">
        <v>3</v>
      </c>
      <c r="BF26" s="6">
        <v>1.7796619199006827</v>
      </c>
    </row>
    <row r="27" spans="1:61" x14ac:dyDescent="0.45">
      <c r="AF27" t="s">
        <v>110</v>
      </c>
      <c r="AG27">
        <f>AG26/17</f>
        <v>10.098700294657824</v>
      </c>
      <c r="AM27" t="s">
        <v>110</v>
      </c>
      <c r="AN27">
        <f>AN26/17</f>
        <v>4.161440690202717</v>
      </c>
      <c r="AS27" s="6">
        <f>3921/153</f>
        <v>25.627450980392158</v>
      </c>
      <c r="AX27" t="s">
        <v>76</v>
      </c>
      <c r="AY27" s="5">
        <f>AY26/17</f>
        <v>1.9640522875816993</v>
      </c>
      <c r="AZ27" s="5">
        <f>AZ26/17</f>
        <v>1.7380154133904175</v>
      </c>
      <c r="BD27" t="s">
        <v>75</v>
      </c>
      <c r="BE27" s="5">
        <f>BE26/17</f>
        <v>0.17647058823529413</v>
      </c>
      <c r="BF27" s="5">
        <f>BF26/17</f>
        <v>0.10468599528827545</v>
      </c>
    </row>
    <row r="28" spans="1:61" x14ac:dyDescent="0.45">
      <c r="R28">
        <f>0.43/2.6</f>
        <v>0.16538461538461538</v>
      </c>
    </row>
    <row r="29" spans="1:61" x14ac:dyDescent="0.45">
      <c r="AF29" t="s">
        <v>111</v>
      </c>
      <c r="AG29">
        <v>215.01604335803901</v>
      </c>
      <c r="AM29" t="s">
        <v>111</v>
      </c>
      <c r="AN29">
        <v>92.527636124303996</v>
      </c>
      <c r="AR29" t="s">
        <v>122</v>
      </c>
      <c r="AS29">
        <v>20.99649830749096</v>
      </c>
      <c r="AT29">
        <v>2.5443139231438159</v>
      </c>
      <c r="AX29" t="s">
        <v>122</v>
      </c>
      <c r="AY29">
        <v>4.6796039159802287</v>
      </c>
      <c r="AZ29">
        <v>1.3526565664241419</v>
      </c>
    </row>
    <row r="30" spans="1:61" x14ac:dyDescent="0.45">
      <c r="AF30" t="s">
        <v>112</v>
      </c>
      <c r="AG30">
        <f>AG29/17</f>
        <v>12.648002550472883</v>
      </c>
      <c r="AM30" t="s">
        <v>112</v>
      </c>
      <c r="AN30">
        <f>AN29/17</f>
        <v>5.4428021249590586</v>
      </c>
    </row>
    <row r="32" spans="1:61" x14ac:dyDescent="0.45">
      <c r="AF32" t="s">
        <v>113</v>
      </c>
      <c r="AG32">
        <v>192.7277366043335</v>
      </c>
      <c r="AM32" t="s">
        <v>113</v>
      </c>
      <c r="AN32">
        <v>81.782767002526214</v>
      </c>
    </row>
    <row r="33" spans="31:40" x14ac:dyDescent="0.45">
      <c r="AF33" t="s">
        <v>114</v>
      </c>
      <c r="AG33">
        <f>AG32/17</f>
        <v>11.336925682607854</v>
      </c>
      <c r="AM33" t="s">
        <v>114</v>
      </c>
      <c r="AN33">
        <f>AN32/17</f>
        <v>4.8107510001486009</v>
      </c>
    </row>
    <row r="35" spans="31:40" x14ac:dyDescent="0.45">
      <c r="AE35" t="s">
        <v>122</v>
      </c>
      <c r="AF35">
        <v>34.636298916229229</v>
      </c>
      <c r="AG35">
        <v>14.356879848648575</v>
      </c>
      <c r="AL35" t="s">
        <v>122</v>
      </c>
      <c r="AM35">
        <v>12.47114316190404</v>
      </c>
      <c r="AN35">
        <v>7.3114389204579533</v>
      </c>
    </row>
  </sheetData>
  <phoneticPr fontId="18" type="noConversion"/>
  <conditionalFormatting sqref="AR2:AR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AX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D2" sqref="D2"/>
    </sheetView>
  </sheetViews>
  <sheetFormatPr defaultRowHeight="14.25" x14ac:dyDescent="0.45"/>
  <cols>
    <col min="1" max="1" width="15.73046875" bestFit="1" customWidth="1"/>
    <col min="2" max="2" width="7.46484375" bestFit="1" customWidth="1"/>
    <col min="3" max="3" width="15.73046875" bestFit="1" customWidth="1"/>
  </cols>
  <sheetData>
    <row r="1" spans="1:4" x14ac:dyDescent="0.45">
      <c r="A1" t="s">
        <v>0</v>
      </c>
      <c r="B1" t="s">
        <v>107</v>
      </c>
      <c r="C1" t="s">
        <v>119</v>
      </c>
      <c r="D1" t="s">
        <v>120</v>
      </c>
    </row>
    <row r="2" spans="1:4" x14ac:dyDescent="0.45">
      <c r="A2" t="s">
        <v>94</v>
      </c>
      <c r="B2" s="9">
        <v>0.82045197867403097</v>
      </c>
      <c r="C2" s="9">
        <v>0.63691200613086096</v>
      </c>
      <c r="D2" s="16">
        <f>Table7[[#This Row],[Shots]]-Table7[[#This Row],[Shots on Target]]</f>
        <v>0.18353997254317</v>
      </c>
    </row>
    <row r="3" spans="1:4" x14ac:dyDescent="0.45">
      <c r="A3" t="s">
        <v>117</v>
      </c>
      <c r="B3" s="9">
        <v>0.76175463522863296</v>
      </c>
      <c r="C3" s="9">
        <v>0.56199254426469203</v>
      </c>
      <c r="D3" s="16">
        <f>Table7[[#This Row],[Shots]]-Table7[[#This Row],[Shots on Target]]</f>
        <v>0.19976209096394093</v>
      </c>
    </row>
    <row r="4" spans="1:4" x14ac:dyDescent="0.45">
      <c r="A4" t="s">
        <v>90</v>
      </c>
      <c r="B4" s="9">
        <v>1.0834323766251801</v>
      </c>
      <c r="C4" s="9">
        <v>0.882513690112116</v>
      </c>
      <c r="D4" s="16">
        <f>Table7[[#This Row],[Shots]]-Table7[[#This Row],[Shots on Target]]</f>
        <v>0.2009186865130641</v>
      </c>
    </row>
    <row r="5" spans="1:4" x14ac:dyDescent="0.45">
      <c r="A5" t="s">
        <v>96</v>
      </c>
      <c r="B5" s="9">
        <v>0.96128359474101099</v>
      </c>
      <c r="C5" s="9">
        <v>0.75185830324532898</v>
      </c>
      <c r="D5" s="16">
        <f>Table7[[#This Row],[Shots]]-Table7[[#This Row],[Shots on Target]]</f>
        <v>0.20942529149568201</v>
      </c>
    </row>
    <row r="6" spans="1:4" x14ac:dyDescent="0.45">
      <c r="A6" t="s">
        <v>82</v>
      </c>
      <c r="B6" s="9">
        <v>1.04178272700795</v>
      </c>
      <c r="C6" s="9">
        <v>0.83218380178389295</v>
      </c>
      <c r="D6" s="16">
        <f>Table7[[#This Row],[Shots]]-Table7[[#This Row],[Shots on Target]]</f>
        <v>0.2095989252240571</v>
      </c>
    </row>
    <row r="7" spans="1:4" x14ac:dyDescent="0.45">
      <c r="A7" t="s">
        <v>89</v>
      </c>
      <c r="B7" s="9">
        <v>1.08297503624629</v>
      </c>
      <c r="C7" s="9">
        <v>0.87044974568800604</v>
      </c>
      <c r="D7" s="16">
        <f>Table7[[#This Row],[Shots]]-Table7[[#This Row],[Shots on Target]]</f>
        <v>0.21252529055828395</v>
      </c>
    </row>
    <row r="8" spans="1:4" x14ac:dyDescent="0.45">
      <c r="A8" t="s">
        <v>88</v>
      </c>
      <c r="B8" s="9">
        <v>1.1138047971520899</v>
      </c>
      <c r="C8" s="9">
        <v>0.86905336685234102</v>
      </c>
      <c r="D8" s="16">
        <f>Table7[[#This Row],[Shots]]-Table7[[#This Row],[Shots on Target]]</f>
        <v>0.24475143029974888</v>
      </c>
    </row>
    <row r="9" spans="1:4" x14ac:dyDescent="0.45">
      <c r="A9" t="s">
        <v>97</v>
      </c>
      <c r="B9" s="9">
        <v>1.0960294402641899</v>
      </c>
      <c r="C9" s="9">
        <v>0.80888360710159501</v>
      </c>
      <c r="D9" s="16">
        <f>Table7[[#This Row],[Shots]]-Table7[[#This Row],[Shots on Target]]</f>
        <v>0.2871458331625949</v>
      </c>
    </row>
    <row r="10" spans="1:4" x14ac:dyDescent="0.45">
      <c r="A10" t="s">
        <v>87</v>
      </c>
      <c r="B10" s="9">
        <v>0.92636470226312295</v>
      </c>
      <c r="C10" s="9">
        <v>0.62446961381378197</v>
      </c>
      <c r="D10" s="16">
        <f>Table7[[#This Row],[Shots]]-Table7[[#This Row],[Shots on Target]]</f>
        <v>0.30189508844934099</v>
      </c>
    </row>
    <row r="11" spans="1:4" x14ac:dyDescent="0.45">
      <c r="A11" t="s">
        <v>86</v>
      </c>
      <c r="B11" s="9">
        <v>1.2149593120419899</v>
      </c>
      <c r="C11" s="9">
        <v>0.89948148495338398</v>
      </c>
      <c r="D11" s="16">
        <f>Table7[[#This Row],[Shots]]-Table7[[#This Row],[Shots on Target]]</f>
        <v>0.31547782708860594</v>
      </c>
    </row>
    <row r="12" spans="1:4" x14ac:dyDescent="0.45">
      <c r="A12" t="s">
        <v>84</v>
      </c>
      <c r="B12" s="9">
        <v>1.26211701517814</v>
      </c>
      <c r="C12" s="9">
        <v>0.94509681672555801</v>
      </c>
      <c r="D12" s="16">
        <f>Table7[[#This Row],[Shots]]-Table7[[#This Row],[Shots on Target]]</f>
        <v>0.317020198452582</v>
      </c>
    </row>
    <row r="13" spans="1:4" x14ac:dyDescent="0.45">
      <c r="A13" t="s">
        <v>93</v>
      </c>
      <c r="B13" s="9">
        <v>1.3254252508743301</v>
      </c>
      <c r="C13" s="9">
        <v>0.99216179580792396</v>
      </c>
      <c r="D13" s="16">
        <f>Table7[[#This Row],[Shots]]-Table7[[#This Row],[Shots on Target]]</f>
        <v>0.33326345506640609</v>
      </c>
    </row>
    <row r="14" spans="1:4" x14ac:dyDescent="0.45">
      <c r="A14" t="s">
        <v>91</v>
      </c>
      <c r="B14" s="9">
        <v>0.91450323786046706</v>
      </c>
      <c r="C14" s="9">
        <v>0.57955042145869595</v>
      </c>
      <c r="D14" s="16">
        <f>Table7[[#This Row],[Shots]]-Table7[[#This Row],[Shots on Target]]</f>
        <v>0.3349528164017711</v>
      </c>
    </row>
    <row r="15" spans="1:4" x14ac:dyDescent="0.45">
      <c r="A15" t="s">
        <v>85</v>
      </c>
      <c r="B15" s="9">
        <v>1.1856605089413801</v>
      </c>
      <c r="C15" s="9">
        <v>0.84184995595383205</v>
      </c>
      <c r="D15" s="16">
        <f>Table7[[#This Row],[Shots]]-Table7[[#This Row],[Shots on Target]]</f>
        <v>0.34381055298754803</v>
      </c>
    </row>
    <row r="16" spans="1:4" x14ac:dyDescent="0.45">
      <c r="A16" t="s">
        <v>100</v>
      </c>
      <c r="B16" s="9">
        <v>1.1258396641560899</v>
      </c>
      <c r="C16" s="9">
        <v>0.75719320172243698</v>
      </c>
      <c r="D16" s="16">
        <f>Table7[[#This Row],[Shots]]-Table7[[#This Row],[Shots on Target]]</f>
        <v>0.36864646243365295</v>
      </c>
    </row>
    <row r="17" spans="1:4" x14ac:dyDescent="0.45">
      <c r="A17" t="s">
        <v>92</v>
      </c>
      <c r="B17" s="9">
        <v>1.24569857598571</v>
      </c>
      <c r="C17" s="9">
        <v>0.85981323806133303</v>
      </c>
      <c r="D17" s="16">
        <f>Table7[[#This Row],[Shots]]-Table7[[#This Row],[Shots on Target]]</f>
        <v>0.38588533792437696</v>
      </c>
    </row>
    <row r="18" spans="1:4" x14ac:dyDescent="0.45">
      <c r="A18" t="s">
        <v>95</v>
      </c>
      <c r="B18" s="9">
        <v>1.0710111540806</v>
      </c>
      <c r="C18" s="9">
        <v>0.57618322123782895</v>
      </c>
      <c r="D18" s="16">
        <f>Table7[[#This Row],[Shots]]-Table7[[#This Row],[Shots on Target]]</f>
        <v>0.49482793284277105</v>
      </c>
    </row>
    <row r="19" spans="1:4" x14ac:dyDescent="0.45">
      <c r="A19" t="s">
        <v>98</v>
      </c>
      <c r="B19" s="9">
        <v>1.33486073042159</v>
      </c>
      <c r="C19" s="9">
        <v>0.83762799855084502</v>
      </c>
      <c r="D19" s="16">
        <f>Table7[[#This Row],[Shots]]-Table7[[#This Row],[Shots on Target]]</f>
        <v>0.49723273187074502</v>
      </c>
    </row>
    <row r="20" spans="1:4" x14ac:dyDescent="0.45">
      <c r="B20" s="9">
        <f>AVERAGE(Table7[Shots])</f>
        <v>1.0871085965412663</v>
      </c>
      <c r="C20" s="17">
        <f>SUBTOTAL(101,Table7[Shots on Target])</f>
        <v>0.7848486007480252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T10" sqref="T10"/>
    </sheetView>
  </sheetViews>
  <sheetFormatPr defaultRowHeight="14.25" x14ac:dyDescent="0.45"/>
  <cols>
    <col min="2" max="2" width="12" bestFit="1" customWidth="1"/>
  </cols>
  <sheetData>
    <row r="1" spans="1:5" x14ac:dyDescent="0.45">
      <c r="B1" t="s">
        <v>0</v>
      </c>
      <c r="C1" t="s">
        <v>1</v>
      </c>
      <c r="D1" t="s">
        <v>80</v>
      </c>
      <c r="E1" t="s">
        <v>123</v>
      </c>
    </row>
    <row r="2" spans="1:5" x14ac:dyDescent="0.45">
      <c r="A2" s="11"/>
      <c r="B2" s="11" t="s">
        <v>82</v>
      </c>
      <c r="C2">
        <v>35</v>
      </c>
      <c r="D2" s="7">
        <v>29.073682226030801</v>
      </c>
      <c r="E2" s="14">
        <f>Table2[[#This Row],[Points]]-Table2[[#This Row],[Expected Points]]</f>
        <v>5.926317773969199</v>
      </c>
    </row>
    <row r="3" spans="1:5" x14ac:dyDescent="0.45">
      <c r="A3" s="11"/>
      <c r="B3" s="11" t="s">
        <v>83</v>
      </c>
      <c r="C3">
        <v>20</v>
      </c>
      <c r="D3" s="7">
        <v>17.116159771796699</v>
      </c>
      <c r="E3" s="14">
        <f>Table2[[#This Row],[Points]]-Table2[[#This Row],[Expected Points]]</f>
        <v>2.8838402282033009</v>
      </c>
    </row>
    <row r="4" spans="1:5" x14ac:dyDescent="0.45">
      <c r="A4" s="11"/>
      <c r="B4" s="11" t="s">
        <v>85</v>
      </c>
      <c r="C4">
        <v>24</v>
      </c>
      <c r="D4" s="7">
        <v>21.303947680580499</v>
      </c>
      <c r="E4" s="14">
        <f>Table2[[#This Row],[Points]]-Table2[[#This Row],[Expected Points]]</f>
        <v>2.6960523194195005</v>
      </c>
    </row>
    <row r="5" spans="1:5" x14ac:dyDescent="0.45">
      <c r="A5" s="11"/>
      <c r="B5" s="11" t="s">
        <v>86</v>
      </c>
      <c r="C5">
        <v>24</v>
      </c>
      <c r="D5" s="7">
        <v>21.561799729024202</v>
      </c>
      <c r="E5" s="14">
        <f>Table2[[#This Row],[Points]]-Table2[[#This Row],[Expected Points]]</f>
        <v>2.4382002709757984</v>
      </c>
    </row>
    <row r="6" spans="1:5" x14ac:dyDescent="0.45">
      <c r="A6" s="11"/>
      <c r="B6" s="11" t="s">
        <v>84</v>
      </c>
      <c r="C6">
        <v>21</v>
      </c>
      <c r="D6" s="7">
        <v>18.6292950090773</v>
      </c>
      <c r="E6" s="14">
        <f>Table2[[#This Row],[Points]]-Table2[[#This Row],[Expected Points]]</f>
        <v>2.3707049909227003</v>
      </c>
    </row>
    <row r="7" spans="1:5" x14ac:dyDescent="0.45">
      <c r="A7" s="11"/>
      <c r="B7" s="11" t="s">
        <v>87</v>
      </c>
      <c r="C7">
        <v>29</v>
      </c>
      <c r="D7" s="7">
        <v>26.882335982926602</v>
      </c>
      <c r="E7" s="14">
        <f>Table2[[#This Row],[Points]]-Table2[[#This Row],[Expected Points]]</f>
        <v>2.1176640170733982</v>
      </c>
    </row>
    <row r="8" spans="1:5" x14ac:dyDescent="0.45">
      <c r="A8" s="11"/>
      <c r="B8" s="11" t="s">
        <v>88</v>
      </c>
      <c r="C8">
        <v>28</v>
      </c>
      <c r="D8" s="7">
        <v>26.120935038702399</v>
      </c>
      <c r="E8" s="14">
        <f>Table2[[#This Row],[Points]]-Table2[[#This Row],[Expected Points]]</f>
        <v>1.8790649612976011</v>
      </c>
    </row>
    <row r="9" spans="1:5" x14ac:dyDescent="0.45">
      <c r="A9" s="11"/>
      <c r="B9" s="11" t="s">
        <v>100</v>
      </c>
      <c r="C9">
        <v>29</v>
      </c>
      <c r="D9" s="7">
        <v>27.793260248366298</v>
      </c>
      <c r="E9" s="14">
        <f>Table2[[#This Row],[Points]]-Table2[[#This Row],[Expected Points]]</f>
        <v>1.2067397516337017</v>
      </c>
    </row>
    <row r="10" spans="1:5" x14ac:dyDescent="0.45">
      <c r="A10" s="11"/>
      <c r="B10" s="11" t="s">
        <v>89</v>
      </c>
      <c r="C10">
        <v>20</v>
      </c>
      <c r="D10" s="7">
        <v>20.258139707634399</v>
      </c>
      <c r="E10" s="14">
        <f>Table2[[#This Row],[Points]]-Table2[[#This Row],[Expected Points]]</f>
        <v>-0.25813970763439897</v>
      </c>
    </row>
    <row r="11" spans="1:5" x14ac:dyDescent="0.45">
      <c r="A11" s="11"/>
      <c r="B11" s="11" t="s">
        <v>90</v>
      </c>
      <c r="C11">
        <v>22</v>
      </c>
      <c r="D11" s="7">
        <v>22.466455707151798</v>
      </c>
      <c r="E11" s="14">
        <f>Table2[[#This Row],[Points]]-Table2[[#This Row],[Expected Points]]</f>
        <v>-0.46645570715179829</v>
      </c>
    </row>
    <row r="12" spans="1:5" x14ac:dyDescent="0.45">
      <c r="A12" s="11"/>
      <c r="B12" s="11" t="s">
        <v>91</v>
      </c>
      <c r="C12">
        <v>16</v>
      </c>
      <c r="D12" s="7">
        <v>16.885064814339</v>
      </c>
      <c r="E12" s="14">
        <f>Table2[[#This Row],[Points]]-Table2[[#This Row],[Expected Points]]</f>
        <v>-0.88506481433899964</v>
      </c>
    </row>
    <row r="13" spans="1:5" x14ac:dyDescent="0.45">
      <c r="A13" s="11"/>
      <c r="B13" s="11" t="s">
        <v>92</v>
      </c>
      <c r="C13">
        <v>24</v>
      </c>
      <c r="D13" s="7">
        <v>25.377944047419</v>
      </c>
      <c r="E13" s="14">
        <f>Table2[[#This Row],[Points]]-Table2[[#This Row],[Expected Points]]</f>
        <v>-1.3779440474189997</v>
      </c>
    </row>
    <row r="14" spans="1:5" x14ac:dyDescent="0.45">
      <c r="A14" s="11"/>
      <c r="B14" s="11" t="s">
        <v>93</v>
      </c>
      <c r="C14">
        <v>20</v>
      </c>
      <c r="D14" s="7">
        <v>21.923521473491501</v>
      </c>
      <c r="E14" s="14">
        <f>Table2[[#This Row],[Points]]-Table2[[#This Row],[Expected Points]]</f>
        <v>-1.9235214734915012</v>
      </c>
    </row>
    <row r="15" spans="1:5" x14ac:dyDescent="0.45">
      <c r="A15" s="11"/>
      <c r="B15" s="11" t="s">
        <v>95</v>
      </c>
      <c r="C15">
        <v>15</v>
      </c>
      <c r="D15" s="7">
        <v>18.3621436822569</v>
      </c>
      <c r="E15" s="14">
        <f>Table2[[#This Row],[Points]]-Table2[[#This Row],[Expected Points]]</f>
        <v>-3.3621436822568995</v>
      </c>
    </row>
    <row r="16" spans="1:5" x14ac:dyDescent="0.45">
      <c r="A16" s="11"/>
      <c r="B16" s="11" t="s">
        <v>94</v>
      </c>
      <c r="C16">
        <v>23</v>
      </c>
      <c r="D16" s="7">
        <v>26.9387551498154</v>
      </c>
      <c r="E16" s="14">
        <f>Table2[[#This Row],[Points]]-Table2[[#This Row],[Expected Points]]</f>
        <v>-3.9387551498153996</v>
      </c>
    </row>
    <row r="17" spans="1:5" x14ac:dyDescent="0.45">
      <c r="A17" s="11"/>
      <c r="B17" s="11" t="s">
        <v>97</v>
      </c>
      <c r="C17">
        <v>15</v>
      </c>
      <c r="D17" s="7">
        <v>20.7447115944505</v>
      </c>
      <c r="E17" s="14">
        <f>Table2[[#This Row],[Points]]-Table2[[#This Row],[Expected Points]]</f>
        <v>-5.7447115944505001</v>
      </c>
    </row>
    <row r="18" spans="1:5" x14ac:dyDescent="0.45">
      <c r="A18" s="11"/>
      <c r="B18" s="11" t="s">
        <v>96</v>
      </c>
      <c r="C18">
        <v>22</v>
      </c>
      <c r="D18" s="7">
        <v>28.787068078689</v>
      </c>
      <c r="E18" s="14">
        <f>Table2[[#This Row],[Points]]-Table2[[#This Row],[Expected Points]]</f>
        <v>-6.7870680786889999</v>
      </c>
    </row>
    <row r="19" spans="1:5" x14ac:dyDescent="0.45">
      <c r="A19" s="12"/>
      <c r="B19" s="12" t="s">
        <v>98</v>
      </c>
      <c r="C19">
        <v>18</v>
      </c>
      <c r="D19" s="7">
        <v>26.0690266949955</v>
      </c>
      <c r="E19" s="14">
        <f>Table2[[#This Row],[Points]]-Table2[[#This Row],[Expected Points]]</f>
        <v>-8.0690266949955003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workbookViewId="0">
      <selection activeCell="E25" sqref="E25"/>
    </sheetView>
  </sheetViews>
  <sheetFormatPr defaultRowHeight="14.25" x14ac:dyDescent="0.45"/>
  <cols>
    <col min="2" max="2" width="12" bestFit="1" customWidth="1"/>
  </cols>
  <sheetData>
    <row r="1" spans="1:5" x14ac:dyDescent="0.45">
      <c r="B1" t="s">
        <v>0</v>
      </c>
      <c r="C1" t="s">
        <v>103</v>
      </c>
      <c r="D1" t="s">
        <v>102</v>
      </c>
      <c r="E1" t="s">
        <v>123</v>
      </c>
    </row>
    <row r="2" spans="1:5" x14ac:dyDescent="0.45">
      <c r="A2" s="11"/>
      <c r="B2" s="11" t="s">
        <v>58</v>
      </c>
      <c r="C2">
        <v>26</v>
      </c>
      <c r="D2" s="6">
        <v>24.127361897796799</v>
      </c>
      <c r="E2" s="14">
        <f>Table24[[#This Row],[Scored Goals]]-Table24[[#This Row],[Expected Goals]]</f>
        <v>1.8726381022032008</v>
      </c>
    </row>
    <row r="3" spans="1:5" x14ac:dyDescent="0.45">
      <c r="A3" s="11"/>
      <c r="B3" s="11" t="s">
        <v>67</v>
      </c>
      <c r="C3">
        <v>22</v>
      </c>
      <c r="D3" s="6">
        <v>20.789568298393899</v>
      </c>
      <c r="E3" s="14">
        <f>Table24[[#This Row],[Scored Goals]]-Table24[[#This Row],[Expected Goals]]</f>
        <v>1.210431701606101</v>
      </c>
    </row>
    <row r="4" spans="1:5" x14ac:dyDescent="0.45">
      <c r="A4" s="11"/>
      <c r="B4" s="11" t="s">
        <v>52</v>
      </c>
      <c r="C4">
        <v>18</v>
      </c>
      <c r="D4" s="6">
        <v>18.000370296524402</v>
      </c>
      <c r="E4" s="14">
        <f>Table24[[#This Row],[Scored Goals]]-Table24[[#This Row],[Expected Goals]]</f>
        <v>-3.7029652440168093E-4</v>
      </c>
    </row>
    <row r="5" spans="1:5" x14ac:dyDescent="0.45">
      <c r="A5" s="11"/>
      <c r="B5" s="11" t="s">
        <v>61</v>
      </c>
      <c r="C5">
        <v>19</v>
      </c>
      <c r="D5" s="6">
        <v>19.686638696358401</v>
      </c>
      <c r="E5" s="14">
        <f>Table24[[#This Row],[Scored Goals]]-Table24[[#This Row],[Expected Goals]]</f>
        <v>-0.68663869635840058</v>
      </c>
    </row>
    <row r="6" spans="1:5" x14ac:dyDescent="0.45">
      <c r="A6" s="11"/>
      <c r="B6" s="11" t="s">
        <v>68</v>
      </c>
      <c r="C6">
        <v>23</v>
      </c>
      <c r="D6" s="6">
        <v>23.784712367637599</v>
      </c>
      <c r="E6" s="14">
        <f>Table24[[#This Row],[Scored Goals]]-Table24[[#This Row],[Expected Goals]]</f>
        <v>-0.78471236763759933</v>
      </c>
    </row>
    <row r="7" spans="1:5" x14ac:dyDescent="0.45">
      <c r="A7" s="11"/>
      <c r="B7" s="11" t="s">
        <v>53</v>
      </c>
      <c r="C7">
        <v>17</v>
      </c>
      <c r="D7" s="6">
        <v>18.8647188786592</v>
      </c>
      <c r="E7" s="14">
        <f>Table24[[#This Row],[Scored Goals]]-Table24[[#This Row],[Expected Goals]]</f>
        <v>-1.8647188786592004</v>
      </c>
    </row>
    <row r="8" spans="1:5" x14ac:dyDescent="0.45">
      <c r="A8" s="11"/>
      <c r="B8" s="11" t="s">
        <v>63</v>
      </c>
      <c r="C8">
        <v>21</v>
      </c>
      <c r="D8" s="6">
        <v>24.734209165761001</v>
      </c>
      <c r="E8" s="14">
        <f>Table24[[#This Row],[Scored Goals]]-Table24[[#This Row],[Expected Goals]]</f>
        <v>-3.7342091657610013</v>
      </c>
    </row>
    <row r="9" spans="1:5" x14ac:dyDescent="0.45">
      <c r="A9" s="11"/>
      <c r="B9" s="11" t="s">
        <v>54</v>
      </c>
      <c r="C9">
        <v>14</v>
      </c>
      <c r="D9" s="6">
        <v>17.918116999320901</v>
      </c>
      <c r="E9" s="14">
        <f>Table24[[#This Row],[Scored Goals]]-Table24[[#This Row],[Expected Goals]]</f>
        <v>-3.9181169993209011</v>
      </c>
    </row>
    <row r="10" spans="1:5" x14ac:dyDescent="0.45">
      <c r="A10" s="11"/>
      <c r="B10" s="11" t="s">
        <v>64</v>
      </c>
      <c r="C10">
        <v>16</v>
      </c>
      <c r="D10" s="6">
        <v>20.231901684878501</v>
      </c>
      <c r="E10" s="14">
        <f>Table24[[#This Row],[Scored Goals]]-Table24[[#This Row],[Expected Goals]]</f>
        <v>-4.2319016848785012</v>
      </c>
    </row>
    <row r="11" spans="1:5" x14ac:dyDescent="0.45">
      <c r="A11" s="11"/>
      <c r="B11" s="11" t="s">
        <v>56</v>
      </c>
      <c r="C11">
        <v>20</v>
      </c>
      <c r="D11" s="6">
        <v>24.540321288438399</v>
      </c>
      <c r="E11" s="14">
        <f>Table24[[#This Row],[Scored Goals]]-Table24[[#This Row],[Expected Goals]]</f>
        <v>-4.540321288438399</v>
      </c>
    </row>
    <row r="12" spans="1:5" x14ac:dyDescent="0.45">
      <c r="A12" s="11"/>
      <c r="B12" s="11" t="s">
        <v>55</v>
      </c>
      <c r="C12">
        <v>16</v>
      </c>
      <c r="D12" s="6">
        <v>20.608522494308598</v>
      </c>
      <c r="E12" s="14">
        <f>Table24[[#This Row],[Scored Goals]]-Table24[[#This Row],[Expected Goals]]</f>
        <v>-4.6085224943085983</v>
      </c>
    </row>
    <row r="13" spans="1:5" x14ac:dyDescent="0.45">
      <c r="A13" s="11"/>
      <c r="B13" s="11" t="s">
        <v>57</v>
      </c>
      <c r="C13">
        <v>21</v>
      </c>
      <c r="D13" s="6">
        <v>25.716761964900002</v>
      </c>
      <c r="E13" s="14">
        <f>Table24[[#This Row],[Scored Goals]]-Table24[[#This Row],[Expected Goals]]</f>
        <v>-4.7167619649000017</v>
      </c>
    </row>
    <row r="14" spans="1:5" x14ac:dyDescent="0.45">
      <c r="A14" s="11"/>
      <c r="B14" s="11" t="s">
        <v>62</v>
      </c>
      <c r="C14">
        <v>19</v>
      </c>
      <c r="D14" s="6">
        <v>24.119704980274101</v>
      </c>
      <c r="E14" s="14">
        <f>Table24[[#This Row],[Scored Goals]]-Table24[[#This Row],[Expected Goals]]</f>
        <v>-5.1197049802741006</v>
      </c>
    </row>
    <row r="15" spans="1:5" x14ac:dyDescent="0.45">
      <c r="A15" s="11"/>
      <c r="B15" s="11" t="s">
        <v>66</v>
      </c>
      <c r="C15">
        <v>16</v>
      </c>
      <c r="D15" s="6">
        <v>21.122403122054799</v>
      </c>
      <c r="E15" s="14">
        <f>Table24[[#This Row],[Scored Goals]]-Table24[[#This Row],[Expected Goals]]</f>
        <v>-5.1224031220547985</v>
      </c>
    </row>
    <row r="16" spans="1:5" x14ac:dyDescent="0.45">
      <c r="A16" s="11"/>
      <c r="B16" s="11" t="s">
        <v>59</v>
      </c>
      <c r="C16">
        <v>21</v>
      </c>
      <c r="D16" s="6">
        <v>26.542587710476202</v>
      </c>
      <c r="E16" s="14">
        <f>Table24[[#This Row],[Scored Goals]]-Table24[[#This Row],[Expected Goals]]</f>
        <v>-5.5425877104762016</v>
      </c>
    </row>
    <row r="17" spans="1:5" x14ac:dyDescent="0.45">
      <c r="A17" s="11"/>
      <c r="B17" s="11" t="s">
        <v>51</v>
      </c>
      <c r="C17">
        <v>19</v>
      </c>
      <c r="D17" s="6">
        <v>26.501577416233399</v>
      </c>
      <c r="E17" s="14">
        <f>Table24[[#This Row],[Scored Goals]]-Table24[[#This Row],[Expected Goals]]</f>
        <v>-7.501577416233399</v>
      </c>
    </row>
    <row r="18" spans="1:5" x14ac:dyDescent="0.45">
      <c r="A18" s="11"/>
      <c r="B18" s="11" t="s">
        <v>65</v>
      </c>
      <c r="C18">
        <v>11</v>
      </c>
      <c r="D18" s="6">
        <v>18.6018190850838</v>
      </c>
      <c r="E18" s="14">
        <f>Table24[[#This Row],[Scored Goals]]-Table24[[#This Row],[Expected Goals]]</f>
        <v>-7.6018190850838003</v>
      </c>
    </row>
    <row r="19" spans="1:5" x14ac:dyDescent="0.45">
      <c r="A19" s="12"/>
      <c r="B19" s="12" t="s">
        <v>60</v>
      </c>
      <c r="C19">
        <v>13</v>
      </c>
      <c r="D19" s="6">
        <v>21.477231232411</v>
      </c>
      <c r="E19" s="14">
        <f>Table24[[#This Row],[Scored Goals]]-Table24[[#This Row],[Expected Goals]]</f>
        <v>-8.4772312324110004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E26" sqref="E26"/>
    </sheetView>
  </sheetViews>
  <sheetFormatPr defaultRowHeight="14.25" x14ac:dyDescent="0.45"/>
  <cols>
    <col min="2" max="2" width="12" bestFit="1" customWidth="1"/>
  </cols>
  <sheetData>
    <row r="1" spans="1:6" x14ac:dyDescent="0.45">
      <c r="B1" t="s">
        <v>0</v>
      </c>
      <c r="C1" t="s">
        <v>105</v>
      </c>
      <c r="D1" t="s">
        <v>106</v>
      </c>
      <c r="E1" t="s">
        <v>81</v>
      </c>
      <c r="F1" t="s">
        <v>123</v>
      </c>
    </row>
    <row r="2" spans="1:6" x14ac:dyDescent="0.45">
      <c r="A2" s="11"/>
      <c r="B2" s="11" t="s">
        <v>60</v>
      </c>
      <c r="C2">
        <v>13</v>
      </c>
      <c r="D2" s="6">
        <v>22.132442328788301</v>
      </c>
      <c r="E2" s="9">
        <f>Table245[[#This Row],[Goals Against]]/Table245[[#This Row],[Expected Goals Against]]</f>
        <v>0.58737304301435045</v>
      </c>
      <c r="F2" s="6">
        <f>Table245[[#This Row],[Goals Against]]-Table245[[#This Row],[Expected Goals Against]]</f>
        <v>-9.1324423287883008</v>
      </c>
    </row>
    <row r="3" spans="1:6" x14ac:dyDescent="0.45">
      <c r="A3" s="11"/>
      <c r="B3" s="11" t="s">
        <v>57</v>
      </c>
      <c r="C3">
        <v>10</v>
      </c>
      <c r="D3" s="6">
        <v>18.644088968336501</v>
      </c>
      <c r="E3" s="9">
        <f>Table245[[#This Row],[Goals Against]]/Table245[[#This Row],[Expected Goals Against]]</f>
        <v>0.53636302728350682</v>
      </c>
      <c r="F3" s="6">
        <f>Table245[[#This Row],[Goals Against]]-Table245[[#This Row],[Expected Goals Against]]</f>
        <v>-8.6440889683365008</v>
      </c>
    </row>
    <row r="4" spans="1:6" x14ac:dyDescent="0.45">
      <c r="A4" s="11"/>
      <c r="B4" s="11" t="s">
        <v>59</v>
      </c>
      <c r="C4">
        <v>10</v>
      </c>
      <c r="D4" s="6">
        <v>18.070019052237299</v>
      </c>
      <c r="E4" s="9">
        <f>Table245[[#This Row],[Goals Against]]/Table245[[#This Row],[Expected Goals Against]]</f>
        <v>0.55340284761691338</v>
      </c>
      <c r="F4" s="6">
        <f>Table245[[#This Row],[Goals Against]]-Table245[[#This Row],[Expected Goals Against]]</f>
        <v>-8.0700190522372992</v>
      </c>
    </row>
    <row r="5" spans="1:6" x14ac:dyDescent="0.45">
      <c r="A5" s="11"/>
      <c r="B5" s="11" t="s">
        <v>55</v>
      </c>
      <c r="C5">
        <v>16</v>
      </c>
      <c r="D5" s="6">
        <v>23.079289161801402</v>
      </c>
      <c r="E5" s="9">
        <f>Table245[[#This Row],[Goals Against]]/Table245[[#This Row],[Expected Goals Against]]</f>
        <v>0.69326225291555543</v>
      </c>
      <c r="F5" s="6">
        <f>Table245[[#This Row],[Goals Against]]-Table245[[#This Row],[Expected Goals Against]]</f>
        <v>-7.0792891618014018</v>
      </c>
    </row>
    <row r="6" spans="1:6" x14ac:dyDescent="0.45">
      <c r="A6" s="11"/>
      <c r="B6" s="11" t="s">
        <v>65</v>
      </c>
      <c r="C6">
        <v>19</v>
      </c>
      <c r="D6" s="6">
        <v>25.2178179830122</v>
      </c>
      <c r="E6" s="9">
        <f>Table245[[#This Row],[Goals Against]]/Table245[[#This Row],[Expected Goals Against]]</f>
        <v>0.75343552772088418</v>
      </c>
      <c r="F6" s="6">
        <f>Table245[[#This Row],[Goals Against]]-Table245[[#This Row],[Expected Goals Against]]</f>
        <v>-6.2178179830121998</v>
      </c>
    </row>
    <row r="7" spans="1:6" x14ac:dyDescent="0.45">
      <c r="A7" s="11"/>
      <c r="B7" s="11" t="s">
        <v>58</v>
      </c>
      <c r="C7">
        <v>14</v>
      </c>
      <c r="D7" s="6">
        <v>19.6678321659852</v>
      </c>
      <c r="E7" s="9">
        <f>Table245[[#This Row],[Goals Against]]/Table245[[#This Row],[Expected Goals Against]]</f>
        <v>0.71182222228906811</v>
      </c>
      <c r="F7" s="6">
        <f>Table245[[#This Row],[Goals Against]]-Table245[[#This Row],[Expected Goals Against]]</f>
        <v>-5.6678321659851996</v>
      </c>
    </row>
    <row r="8" spans="1:6" x14ac:dyDescent="0.45">
      <c r="A8" s="11"/>
      <c r="B8" s="11" t="s">
        <v>56</v>
      </c>
      <c r="C8">
        <v>14</v>
      </c>
      <c r="D8" s="6">
        <v>19.404852562402901</v>
      </c>
      <c r="E8" s="9">
        <f>Table245[[#This Row],[Goals Against]]/Table245[[#This Row],[Expected Goals Against]]</f>
        <v>0.72146902198706431</v>
      </c>
      <c r="F8" s="6">
        <f>Table245[[#This Row],[Goals Against]]-Table245[[#This Row],[Expected Goals Against]]</f>
        <v>-5.4048525624029011</v>
      </c>
    </row>
    <row r="9" spans="1:6" x14ac:dyDescent="0.45">
      <c r="A9" s="11"/>
      <c r="B9" s="11" t="s">
        <v>68</v>
      </c>
      <c r="C9">
        <v>16</v>
      </c>
      <c r="D9" s="6">
        <v>20.4514608701223</v>
      </c>
      <c r="E9" s="9">
        <f>Table245[[#This Row],[Goals Against]]/Table245[[#This Row],[Expected Goals Against]]</f>
        <v>0.78234020061493625</v>
      </c>
      <c r="F9" s="6">
        <f>Table245[[#This Row],[Goals Against]]-Table245[[#This Row],[Expected Goals Against]]</f>
        <v>-4.4514608701223004</v>
      </c>
    </row>
    <row r="10" spans="1:6" x14ac:dyDescent="0.45">
      <c r="A10" s="11"/>
      <c r="B10" s="11" t="s">
        <v>52</v>
      </c>
      <c r="C10">
        <v>24</v>
      </c>
      <c r="D10" s="6">
        <v>27.130579425468898</v>
      </c>
      <c r="E10" s="9">
        <f>Table245[[#This Row],[Goals Against]]/Table245[[#This Row],[Expected Goals Against]]</f>
        <v>0.88461066841314639</v>
      </c>
      <c r="F10" s="6">
        <f>Table245[[#This Row],[Goals Against]]-Table245[[#This Row],[Expected Goals Against]]</f>
        <v>-3.1305794254688983</v>
      </c>
    </row>
    <row r="11" spans="1:6" x14ac:dyDescent="0.45">
      <c r="A11" s="11"/>
      <c r="B11" s="11" t="s">
        <v>53</v>
      </c>
      <c r="C11">
        <v>23</v>
      </c>
      <c r="D11" s="6">
        <v>25.6795749458208</v>
      </c>
      <c r="E11" s="9">
        <f>Table245[[#This Row],[Goals Against]]/Table245[[#This Row],[Expected Goals Against]]</f>
        <v>0.89565345409827801</v>
      </c>
      <c r="F11" s="6">
        <f>Table245[[#This Row],[Goals Against]]-Table245[[#This Row],[Expected Goals Against]]</f>
        <v>-2.6795749458208</v>
      </c>
    </row>
    <row r="12" spans="1:6" x14ac:dyDescent="0.45">
      <c r="A12" s="11"/>
      <c r="B12" s="11" t="s">
        <v>54</v>
      </c>
      <c r="C12">
        <v>25</v>
      </c>
      <c r="D12" s="6">
        <v>27.375872722266401</v>
      </c>
      <c r="E12" s="9">
        <f>Table245[[#This Row],[Goals Against]]/Table245[[#This Row],[Expected Goals Against]]</f>
        <v>0.91321289566290376</v>
      </c>
      <c r="F12" s="6">
        <f>Table245[[#This Row],[Goals Against]]-Table245[[#This Row],[Expected Goals Against]]</f>
        <v>-2.3758727222664007</v>
      </c>
    </row>
    <row r="13" spans="1:6" x14ac:dyDescent="0.45">
      <c r="A13" s="11"/>
      <c r="B13" s="11" t="s">
        <v>51</v>
      </c>
      <c r="C13">
        <v>16</v>
      </c>
      <c r="D13" s="6">
        <v>18.274532905812599</v>
      </c>
      <c r="E13" s="9">
        <f>Table245[[#This Row],[Goals Against]]/Table245[[#This Row],[Expected Goals Against]]</f>
        <v>0.87553537387053348</v>
      </c>
      <c r="F13" s="6">
        <f>Table245[[#This Row],[Goals Against]]-Table245[[#This Row],[Expected Goals Against]]</f>
        <v>-2.2745329058125989</v>
      </c>
    </row>
    <row r="14" spans="1:6" x14ac:dyDescent="0.45">
      <c r="A14" s="11"/>
      <c r="B14" s="11" t="s">
        <v>63</v>
      </c>
      <c r="C14">
        <v>17</v>
      </c>
      <c r="D14" s="6">
        <v>18.8013694865278</v>
      </c>
      <c r="E14" s="9">
        <f>Table245[[#This Row],[Goals Against]]/Table245[[#This Row],[Expected Goals Against]]</f>
        <v>0.90418945344281543</v>
      </c>
      <c r="F14" s="6">
        <f>Table245[[#This Row],[Goals Against]]-Table245[[#This Row],[Expected Goals Against]]</f>
        <v>-1.8013694865278005</v>
      </c>
    </row>
    <row r="15" spans="1:6" x14ac:dyDescent="0.45">
      <c r="A15" s="11"/>
      <c r="B15" s="11" t="s">
        <v>67</v>
      </c>
      <c r="C15">
        <v>22</v>
      </c>
      <c r="D15" s="6">
        <v>23.120367405505402</v>
      </c>
      <c r="E15" s="9">
        <f>Table245[[#This Row],[Goals Against]]/Table245[[#This Row],[Expected Goals Against]]</f>
        <v>0.95154197224224812</v>
      </c>
      <c r="F15" s="6">
        <f>Table245[[#This Row],[Goals Against]]-Table245[[#This Row],[Expected Goals Against]]</f>
        <v>-1.1203674055054016</v>
      </c>
    </row>
    <row r="16" spans="1:6" x14ac:dyDescent="0.45">
      <c r="A16" s="11"/>
      <c r="B16" s="11" t="s">
        <v>66</v>
      </c>
      <c r="C16">
        <v>22</v>
      </c>
      <c r="D16" s="6">
        <v>22.867887436160999</v>
      </c>
      <c r="E16" s="9">
        <f>Table245[[#This Row],[Goals Against]]/Table245[[#This Row],[Expected Goals Against]]</f>
        <v>0.96204776507738932</v>
      </c>
      <c r="F16" s="6">
        <f>Table245[[#This Row],[Goals Against]]-Table245[[#This Row],[Expected Goals Against]]</f>
        <v>-0.8678874361609985</v>
      </c>
    </row>
    <row r="17" spans="1:6" x14ac:dyDescent="0.45">
      <c r="A17" s="11"/>
      <c r="B17" s="11" t="s">
        <v>61</v>
      </c>
      <c r="C17">
        <v>23</v>
      </c>
      <c r="D17" s="6">
        <v>23.672120975000698</v>
      </c>
      <c r="E17" s="9">
        <f>Table245[[#This Row],[Goals Against]]/Table245[[#This Row],[Expected Goals Against]]</f>
        <v>0.97160706572467659</v>
      </c>
      <c r="F17" s="6">
        <f>Table245[[#This Row],[Goals Against]]-Table245[[#This Row],[Expected Goals Against]]</f>
        <v>-0.67212097500069845</v>
      </c>
    </row>
    <row r="18" spans="1:6" x14ac:dyDescent="0.45">
      <c r="A18" s="11"/>
      <c r="B18" s="11" t="s">
        <v>62</v>
      </c>
      <c r="C18">
        <v>21</v>
      </c>
      <c r="D18" s="6">
        <v>19.8362015513035</v>
      </c>
      <c r="E18" s="9">
        <f>Table245[[#This Row],[Goals Against]]/Table245[[#This Row],[Expected Goals Against]]</f>
        <v>1.0586704286950555</v>
      </c>
      <c r="F18" s="6">
        <f>Table245[[#This Row],[Goals Against]]-Table245[[#This Row],[Expected Goals Against]]</f>
        <v>1.1637984486965003</v>
      </c>
    </row>
    <row r="19" spans="1:6" x14ac:dyDescent="0.45">
      <c r="A19" s="12"/>
      <c r="B19" s="12" t="s">
        <v>64</v>
      </c>
      <c r="C19">
        <v>27</v>
      </c>
      <c r="D19" s="6">
        <v>23.942217632957998</v>
      </c>
      <c r="E19" s="9">
        <f>Table245[[#This Row],[Goals Against]]/Table245[[#This Row],[Expected Goals Against]]</f>
        <v>1.1277150852907112</v>
      </c>
      <c r="F19" s="6">
        <f>Table245[[#This Row],[Goals Against]]-Table245[[#This Row],[Expected Goals Against]]</f>
        <v>3.0577823670420017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zoomScale="110" zoomScaleNormal="110" workbookViewId="0">
      <selection activeCell="D24" sqref="D24"/>
    </sheetView>
  </sheetViews>
  <sheetFormatPr defaultRowHeight="14.25" x14ac:dyDescent="0.45"/>
  <cols>
    <col min="1" max="1" width="15.73046875" bestFit="1" customWidth="1"/>
  </cols>
  <sheetData>
    <row r="1" spans="1:3" x14ac:dyDescent="0.45">
      <c r="A1" t="s">
        <v>70</v>
      </c>
      <c r="B1" t="s">
        <v>11</v>
      </c>
      <c r="C1" t="s">
        <v>12</v>
      </c>
    </row>
    <row r="2" spans="1:3" x14ac:dyDescent="0.45">
      <c r="A2" s="2" t="s">
        <v>51</v>
      </c>
      <c r="B2" s="1">
        <v>-7.5015774162334896</v>
      </c>
      <c r="C2" s="1">
        <v>2.27453290581261</v>
      </c>
    </row>
    <row r="3" spans="1:3" x14ac:dyDescent="0.45">
      <c r="A3" s="2" t="s">
        <v>52</v>
      </c>
      <c r="B3" s="1">
        <v>-3.7029652446562901E-4</v>
      </c>
      <c r="C3" s="1">
        <v>3.13057942546898</v>
      </c>
    </row>
    <row r="4" spans="1:3" x14ac:dyDescent="0.45">
      <c r="A4" s="2" t="s">
        <v>53</v>
      </c>
      <c r="B4" s="1">
        <v>-1.8647188786592499</v>
      </c>
      <c r="C4" s="1">
        <v>2.67957494582084</v>
      </c>
    </row>
    <row r="5" spans="1:3" x14ac:dyDescent="0.45">
      <c r="A5" s="2" t="s">
        <v>54</v>
      </c>
      <c r="B5" s="1">
        <v>-3.9181169993209801</v>
      </c>
      <c r="C5" s="1">
        <v>2.3758727222664699</v>
      </c>
    </row>
    <row r="6" spans="1:3" x14ac:dyDescent="0.45">
      <c r="A6" s="2" t="s">
        <v>55</v>
      </c>
      <c r="B6" s="1">
        <v>-4.60852249430864</v>
      </c>
      <c r="C6" s="1">
        <v>7.0792891618014897</v>
      </c>
    </row>
    <row r="7" spans="1:3" x14ac:dyDescent="0.45">
      <c r="A7" s="2" t="s">
        <v>56</v>
      </c>
      <c r="B7" s="1">
        <v>-4.5403212884384896</v>
      </c>
      <c r="C7" s="1">
        <v>5.40485256240291</v>
      </c>
    </row>
    <row r="8" spans="1:3" x14ac:dyDescent="0.45">
      <c r="A8" s="2" t="s">
        <v>57</v>
      </c>
      <c r="B8" s="1">
        <v>-4.7167619649000398</v>
      </c>
      <c r="C8" s="1">
        <v>8.6440889683365807</v>
      </c>
    </row>
    <row r="9" spans="1:3" x14ac:dyDescent="0.45">
      <c r="A9" s="2" t="s">
        <v>58</v>
      </c>
      <c r="B9" s="1">
        <v>1.87263810220315</v>
      </c>
      <c r="C9" s="1">
        <v>5.6678321659852697</v>
      </c>
    </row>
    <row r="10" spans="1:3" x14ac:dyDescent="0.45">
      <c r="A10" s="2" t="s">
        <v>59</v>
      </c>
      <c r="B10" s="1">
        <v>-5.5425877104761998</v>
      </c>
      <c r="C10" s="1">
        <v>8.0700190522373703</v>
      </c>
    </row>
    <row r="11" spans="1:3" x14ac:dyDescent="0.45">
      <c r="A11" s="2" t="s">
        <v>60</v>
      </c>
      <c r="B11" s="1">
        <v>-8.4772312324110697</v>
      </c>
      <c r="C11" s="1">
        <v>9.1324423287883008</v>
      </c>
    </row>
    <row r="12" spans="1:3" x14ac:dyDescent="0.45">
      <c r="A12" s="2" t="s">
        <v>61</v>
      </c>
      <c r="B12" s="1">
        <v>-0.68663869635844998</v>
      </c>
      <c r="C12" s="1">
        <v>0.67212097500075096</v>
      </c>
    </row>
    <row r="13" spans="1:3" x14ac:dyDescent="0.45">
      <c r="A13" s="2" t="s">
        <v>62</v>
      </c>
      <c r="B13" s="1">
        <v>-5.1197049802741503</v>
      </c>
      <c r="C13" s="1">
        <v>-1.1637984486964701</v>
      </c>
    </row>
    <row r="14" spans="1:3" x14ac:dyDescent="0.45">
      <c r="A14" s="2" t="s">
        <v>63</v>
      </c>
      <c r="B14" s="1">
        <v>-3.7342091657610399</v>
      </c>
      <c r="C14" s="1">
        <v>1.8013694865278</v>
      </c>
    </row>
    <row r="15" spans="1:3" x14ac:dyDescent="0.45">
      <c r="A15" s="2" t="s">
        <v>64</v>
      </c>
      <c r="B15" s="1">
        <v>-4.23190168487855</v>
      </c>
      <c r="C15" s="1">
        <v>-3.0577823670419599</v>
      </c>
    </row>
    <row r="16" spans="1:3" x14ac:dyDescent="0.45">
      <c r="A16" s="2" t="s">
        <v>65</v>
      </c>
      <c r="B16" s="1">
        <v>-7.6018190850838803</v>
      </c>
      <c r="C16" s="1">
        <v>6.21781798301223</v>
      </c>
    </row>
    <row r="17" spans="1:3" x14ac:dyDescent="0.45">
      <c r="A17" s="2" t="s">
        <v>66</v>
      </c>
      <c r="B17" s="1">
        <v>-5.1224031220548101</v>
      </c>
      <c r="C17" s="1">
        <v>0.867887436161076</v>
      </c>
    </row>
    <row r="18" spans="1:3" x14ac:dyDescent="0.45">
      <c r="A18" s="2" t="s">
        <v>67</v>
      </c>
      <c r="B18" s="1">
        <v>1.21043170160604</v>
      </c>
      <c r="C18" s="1">
        <v>1.12036740550541</v>
      </c>
    </row>
    <row r="19" spans="1:3" x14ac:dyDescent="0.45">
      <c r="A19" s="2" t="s">
        <v>68</v>
      </c>
      <c r="B19" s="1">
        <v>-0.78471236763768804</v>
      </c>
      <c r="C19" s="1">
        <v>4.4514608701223102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H33" sqref="H33"/>
    </sheetView>
  </sheetViews>
  <sheetFormatPr defaultRowHeight="14.25" x14ac:dyDescent="0.45"/>
  <cols>
    <col min="2" max="2" width="12" bestFit="1" customWidth="1"/>
  </cols>
  <sheetData>
    <row r="1" spans="1:5" x14ac:dyDescent="0.45">
      <c r="B1" t="s">
        <v>0</v>
      </c>
      <c r="C1" t="s">
        <v>107</v>
      </c>
      <c r="D1" t="s">
        <v>108</v>
      </c>
      <c r="E1" t="s">
        <v>81</v>
      </c>
    </row>
    <row r="2" spans="1:5" x14ac:dyDescent="0.45">
      <c r="A2" s="11"/>
      <c r="B2" s="11" t="s">
        <v>62</v>
      </c>
      <c r="C2">
        <v>271</v>
      </c>
      <c r="D2" s="6">
        <v>203.017433822036</v>
      </c>
      <c r="E2" s="9">
        <f>Table26[[#This Row],[Shots]]/Table26[[#This Row],[Expected Shots]]</f>
        <v>1.3348607304215911</v>
      </c>
    </row>
    <row r="3" spans="1:5" x14ac:dyDescent="0.45">
      <c r="A3" s="11"/>
      <c r="B3" s="11" t="s">
        <v>66</v>
      </c>
      <c r="C3">
        <v>248</v>
      </c>
      <c r="D3" s="6">
        <v>187.10975955558601</v>
      </c>
      <c r="E3" s="9">
        <f>Table26[[#This Row],[Shots]]/Table26[[#This Row],[Expected Shots]]</f>
        <v>1.3254252508743398</v>
      </c>
    </row>
    <row r="4" spans="1:5" x14ac:dyDescent="0.45">
      <c r="A4" s="11"/>
      <c r="B4" s="11" t="s">
        <v>53</v>
      </c>
      <c r="C4">
        <v>225</v>
      </c>
      <c r="D4" s="6">
        <v>178.27190133257201</v>
      </c>
      <c r="E4" s="9">
        <f>Table26[[#This Row],[Shots]]/Table26[[#This Row],[Expected Shots]]</f>
        <v>1.2621170151781531</v>
      </c>
    </row>
    <row r="5" spans="1:5" x14ac:dyDescent="0.45">
      <c r="A5" s="11"/>
      <c r="B5" s="11" t="s">
        <v>68</v>
      </c>
      <c r="C5">
        <v>250</v>
      </c>
      <c r="D5" s="6">
        <v>200.69060430784899</v>
      </c>
      <c r="E5" s="9">
        <f>Table26[[#This Row],[Shots]]/Table26[[#This Row],[Expected Shots]]</f>
        <v>1.2456985759857147</v>
      </c>
    </row>
    <row r="6" spans="1:5" x14ac:dyDescent="0.45">
      <c r="A6" s="11"/>
      <c r="B6" s="11" t="s">
        <v>67</v>
      </c>
      <c r="C6">
        <v>226</v>
      </c>
      <c r="D6" s="6">
        <v>186.014459710719</v>
      </c>
      <c r="E6" s="9">
        <f>Table26[[#This Row],[Shots]]/Table26[[#This Row],[Expected Shots]]</f>
        <v>1.2149593120420028</v>
      </c>
    </row>
    <row r="7" spans="1:5" x14ac:dyDescent="0.45">
      <c r="A7" s="11"/>
      <c r="B7" s="11" t="s">
        <v>55</v>
      </c>
      <c r="C7">
        <v>221</v>
      </c>
      <c r="D7" s="6">
        <v>186.393995864228</v>
      </c>
      <c r="E7" s="9">
        <f>Table26[[#This Row],[Shots]]/Table26[[#This Row],[Expected Shots]]</f>
        <v>1.1856605089413905</v>
      </c>
    </row>
    <row r="8" spans="1:5" x14ac:dyDescent="0.45">
      <c r="A8" s="11"/>
      <c r="B8" s="11" t="s">
        <v>57</v>
      </c>
      <c r="C8">
        <v>237</v>
      </c>
      <c r="D8" s="6">
        <v>210.509549046355</v>
      </c>
      <c r="E8" s="9">
        <f>Table26[[#This Row],[Shots]]/Table26[[#This Row],[Expected Shots]]</f>
        <v>1.1258396641560982</v>
      </c>
    </row>
    <row r="9" spans="1:5" x14ac:dyDescent="0.45">
      <c r="A9" s="11"/>
      <c r="B9" s="11" t="s">
        <v>58</v>
      </c>
      <c r="C9">
        <v>227</v>
      </c>
      <c r="D9" s="6">
        <v>203.80590977918101</v>
      </c>
      <c r="E9" s="9">
        <f>Table26[[#This Row],[Shots]]/Table26[[#This Row],[Expected Shots]]</f>
        <v>1.1138047971521006</v>
      </c>
    </row>
    <row r="10" spans="1:5" x14ac:dyDescent="0.45">
      <c r="A10" s="11"/>
      <c r="B10" s="11" t="s">
        <v>64</v>
      </c>
      <c r="C10">
        <v>201</v>
      </c>
      <c r="D10" s="6">
        <v>183.38923446394799</v>
      </c>
      <c r="E10" s="9">
        <f>Table26[[#This Row],[Shots]]/Table26[[#This Row],[Expected Shots]]</f>
        <v>1.0960294402641944</v>
      </c>
    </row>
    <row r="11" spans="1:5" x14ac:dyDescent="0.45">
      <c r="A11" s="11"/>
      <c r="B11" s="11" t="s">
        <v>60</v>
      </c>
      <c r="C11">
        <v>206</v>
      </c>
      <c r="D11" s="6">
        <v>190.13646300812599</v>
      </c>
      <c r="E11" s="9">
        <f>Table26[[#This Row],[Shots]]/Table26[[#This Row],[Expected Shots]]</f>
        <v>1.0834323766251823</v>
      </c>
    </row>
    <row r="12" spans="1:5" x14ac:dyDescent="0.45">
      <c r="A12" s="11"/>
      <c r="B12" s="11" t="s">
        <v>61</v>
      </c>
      <c r="C12">
        <v>196</v>
      </c>
      <c r="D12" s="6">
        <v>180.98293445373901</v>
      </c>
      <c r="E12" s="9">
        <f>Table26[[#This Row],[Shots]]/Table26[[#This Row],[Expected Shots]]</f>
        <v>1.0829750362463015</v>
      </c>
    </row>
    <row r="13" spans="1:5" x14ac:dyDescent="0.45">
      <c r="A13" s="11"/>
      <c r="B13" s="11" t="s">
        <v>65</v>
      </c>
      <c r="C13">
        <v>188</v>
      </c>
      <c r="D13" s="6">
        <v>175.53505328465599</v>
      </c>
      <c r="E13" s="9">
        <f>Table26[[#This Row],[Shots]]/Table26[[#This Row],[Expected Shots]]</f>
        <v>1.0710111540806055</v>
      </c>
    </row>
    <row r="14" spans="1:5" x14ac:dyDescent="0.45">
      <c r="A14" s="11"/>
      <c r="B14" s="11" t="s">
        <v>59</v>
      </c>
      <c r="C14">
        <v>224</v>
      </c>
      <c r="D14" s="6">
        <v>215.01604335803901</v>
      </c>
      <c r="E14" s="9">
        <f>Table26[[#This Row],[Shots]]/Table26[[#This Row],[Expected Shots]]</f>
        <v>1.0417827270079616</v>
      </c>
    </row>
    <row r="15" spans="1:5" x14ac:dyDescent="0.45">
      <c r="A15" s="11"/>
      <c r="B15" s="11" t="s">
        <v>51</v>
      </c>
      <c r="C15">
        <v>205</v>
      </c>
      <c r="D15" s="6">
        <v>213.25652608815301</v>
      </c>
      <c r="E15" s="9">
        <f>Table26[[#This Row],[Shots]]/Table26[[#This Row],[Expected Shots]]</f>
        <v>0.96128359474101144</v>
      </c>
    </row>
    <row r="16" spans="1:5" x14ac:dyDescent="0.45">
      <c r="A16" s="11"/>
      <c r="B16" s="11" t="s">
        <v>56</v>
      </c>
      <c r="C16">
        <v>189</v>
      </c>
      <c r="D16" s="6">
        <v>204.02331774761001</v>
      </c>
      <c r="E16" s="9">
        <f>Table26[[#This Row],[Shots]]/Table26[[#This Row],[Expected Shots]]</f>
        <v>0.9263647022631265</v>
      </c>
    </row>
    <row r="17" spans="1:5" x14ac:dyDescent="0.45">
      <c r="A17" s="11"/>
      <c r="B17" s="11" t="s">
        <v>54</v>
      </c>
      <c r="C17">
        <v>157</v>
      </c>
      <c r="D17" s="6">
        <v>171.67790500918301</v>
      </c>
      <c r="E17" s="9">
        <f>Table26[[#This Row],[Shots]]/Table26[[#This Row],[Expected Shots]]</f>
        <v>0.91450323786046961</v>
      </c>
    </row>
    <row r="18" spans="1:5" x14ac:dyDescent="0.45">
      <c r="A18" s="11"/>
      <c r="B18" s="11" t="s">
        <v>63</v>
      </c>
      <c r="C18">
        <v>169</v>
      </c>
      <c r="D18" s="6">
        <v>205.98402391950799</v>
      </c>
      <c r="E18" s="9">
        <f>Table26[[#This Row],[Shots]]/Table26[[#This Row],[Expected Shots]]</f>
        <v>0.82045197867403463</v>
      </c>
    </row>
    <row r="19" spans="1:5" x14ac:dyDescent="0.45">
      <c r="A19" s="12"/>
      <c r="B19" s="12" t="s">
        <v>52</v>
      </c>
      <c r="C19">
        <v>132</v>
      </c>
      <c r="D19" s="6">
        <v>173.284144126515</v>
      </c>
      <c r="E19" s="9">
        <f>Table26[[#This Row],[Shots]]/Table26[[#This Row],[Expected Shots]]</f>
        <v>0.76175463522863707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C4" sqref="C4"/>
    </sheetView>
  </sheetViews>
  <sheetFormatPr defaultRowHeight="14.25" x14ac:dyDescent="0.45"/>
  <cols>
    <col min="2" max="2" width="12" bestFit="1" customWidth="1"/>
  </cols>
  <sheetData>
    <row r="1" spans="1:5" ht="27.75" customHeight="1" x14ac:dyDescent="0.45">
      <c r="B1" t="s">
        <v>0</v>
      </c>
      <c r="C1" t="s">
        <v>115</v>
      </c>
      <c r="D1" s="15" t="s">
        <v>116</v>
      </c>
      <c r="E1" t="s">
        <v>81</v>
      </c>
    </row>
    <row r="2" spans="1:5" x14ac:dyDescent="0.45">
      <c r="A2" s="11"/>
      <c r="B2" s="11" t="s">
        <v>98</v>
      </c>
      <c r="C2">
        <v>225</v>
      </c>
      <c r="D2" s="7">
        <v>181.52682940305999</v>
      </c>
      <c r="E2" s="9">
        <f>Table267[[#This Row],[Shots Against]]/Table267[[#This Row],[Expected Shots Against]]</f>
        <v>1.2394862001385629</v>
      </c>
    </row>
    <row r="3" spans="1:5" x14ac:dyDescent="0.45">
      <c r="A3" s="11"/>
      <c r="B3" s="11" t="s">
        <v>92</v>
      </c>
      <c r="C3">
        <v>224</v>
      </c>
      <c r="D3" s="7">
        <v>184.02264417843901</v>
      </c>
      <c r="E3" s="9">
        <f>Table267[[#This Row],[Shots Against]]/Table267[[#This Row],[Expected Shots Against]]</f>
        <v>1.217241503077179</v>
      </c>
    </row>
    <row r="4" spans="1:5" x14ac:dyDescent="0.45">
      <c r="A4" s="11"/>
      <c r="B4" s="11" t="s">
        <v>95</v>
      </c>
      <c r="C4">
        <v>250</v>
      </c>
      <c r="D4" s="7">
        <v>208.632679648845</v>
      </c>
      <c r="E4" s="9">
        <f>Table267[[#This Row],[Shots Against]]/Table267[[#This Row],[Expected Shots Against]]</f>
        <v>1.1982782391559241</v>
      </c>
    </row>
    <row r="5" spans="1:5" x14ac:dyDescent="0.45">
      <c r="A5" s="11"/>
      <c r="B5" s="11" t="s">
        <v>97</v>
      </c>
      <c r="C5">
        <v>234</v>
      </c>
      <c r="D5" s="7">
        <v>201.26183029965401</v>
      </c>
      <c r="E5" s="9">
        <f>Table267[[#This Row],[Shots Against]]/Table267[[#This Row],[Expected Shots Against]]</f>
        <v>1.1626645730668499</v>
      </c>
    </row>
    <row r="6" spans="1:5" x14ac:dyDescent="0.45">
      <c r="A6" s="11"/>
      <c r="B6" s="11" t="s">
        <v>117</v>
      </c>
      <c r="C6">
        <v>251</v>
      </c>
      <c r="D6" s="7">
        <v>216.764193177327</v>
      </c>
      <c r="E6" s="9">
        <f>Table267[[#This Row],[Shots Against]]/Table267[[#This Row],[Expected Shots Against]]</f>
        <v>1.1579403236339219</v>
      </c>
    </row>
    <row r="7" spans="1:5" x14ac:dyDescent="0.45">
      <c r="A7" s="11"/>
      <c r="B7" s="11" t="s">
        <v>86</v>
      </c>
      <c r="C7">
        <v>228</v>
      </c>
      <c r="D7" s="7">
        <v>198.39687631271201</v>
      </c>
      <c r="E7" s="9">
        <f>Table267[[#This Row],[Shots Against]]/Table267[[#This Row],[Expected Shots Against]]</f>
        <v>1.1492116420251886</v>
      </c>
    </row>
    <row r="8" spans="1:5" x14ac:dyDescent="0.45">
      <c r="A8" s="11"/>
      <c r="B8" s="11" t="s">
        <v>88</v>
      </c>
      <c r="C8">
        <v>201</v>
      </c>
      <c r="D8" s="7">
        <v>181.263933872297</v>
      </c>
      <c r="E8" s="9">
        <f>Table267[[#This Row],[Shots Against]]/Table267[[#This Row],[Expected Shots Against]]</f>
        <v>1.1088802703664555</v>
      </c>
    </row>
    <row r="9" spans="1:5" x14ac:dyDescent="0.45">
      <c r="A9" s="11"/>
      <c r="B9" s="11" t="s">
        <v>84</v>
      </c>
      <c r="C9">
        <v>232</v>
      </c>
      <c r="D9" s="7">
        <v>209.79331312807599</v>
      </c>
      <c r="E9" s="9">
        <f>Table267[[#This Row],[Shots Against]]/Table267[[#This Row],[Expected Shots Against]]</f>
        <v>1.1058503082906515</v>
      </c>
    </row>
    <row r="10" spans="1:5" x14ac:dyDescent="0.45">
      <c r="A10" s="11"/>
      <c r="B10" s="11" t="s">
        <v>91</v>
      </c>
      <c r="C10">
        <v>236</v>
      </c>
      <c r="D10" s="7">
        <v>217.42331319649099</v>
      </c>
      <c r="E10" s="9">
        <f>Table267[[#This Row],[Shots Against]]/Table267[[#This Row],[Expected Shots Against]]</f>
        <v>1.0854401790240442</v>
      </c>
    </row>
    <row r="11" spans="1:5" x14ac:dyDescent="0.45">
      <c r="A11" s="11"/>
      <c r="B11" s="11" t="s">
        <v>89</v>
      </c>
      <c r="C11">
        <v>218</v>
      </c>
      <c r="D11" s="7">
        <v>201.62568410351301</v>
      </c>
      <c r="E11" s="9">
        <f>Table267[[#This Row],[Shots Against]]/Table267[[#This Row],[Expected Shots Against]]</f>
        <v>1.0812114585961208</v>
      </c>
    </row>
    <row r="12" spans="1:5" x14ac:dyDescent="0.45">
      <c r="A12" s="11"/>
      <c r="B12" s="11" t="s">
        <v>96</v>
      </c>
      <c r="C12">
        <v>188</v>
      </c>
      <c r="D12" s="7">
        <v>174.300222764008</v>
      </c>
      <c r="E12" s="9">
        <f>Table267[[#This Row],[Shots Against]]/Table267[[#This Row],[Expected Shots Against]]</f>
        <v>1.0785987362422405</v>
      </c>
    </row>
    <row r="13" spans="1:5" x14ac:dyDescent="0.45">
      <c r="A13" s="11"/>
      <c r="B13" s="11" t="s">
        <v>94</v>
      </c>
      <c r="C13">
        <v>190</v>
      </c>
      <c r="D13" s="7">
        <v>178.315244243807</v>
      </c>
      <c r="E13" s="9">
        <f>Table267[[#This Row],[Shots Against]]/Table267[[#This Row],[Expected Shots Against]]</f>
        <v>1.0655286417364107</v>
      </c>
    </row>
    <row r="14" spans="1:5" x14ac:dyDescent="0.45">
      <c r="A14" s="11"/>
      <c r="B14" s="11" t="s">
        <v>87</v>
      </c>
      <c r="C14">
        <v>189</v>
      </c>
      <c r="D14" s="7">
        <v>180.73600650326901</v>
      </c>
      <c r="E14" s="9">
        <f>Table267[[#This Row],[Shots Against]]/Table267[[#This Row],[Expected Shots Against]]</f>
        <v>1.045724112514246</v>
      </c>
    </row>
    <row r="15" spans="1:5" x14ac:dyDescent="0.45">
      <c r="A15" s="11"/>
      <c r="B15" s="11" t="s">
        <v>85</v>
      </c>
      <c r="C15">
        <v>206</v>
      </c>
      <c r="D15" s="7">
        <v>197.192525763502</v>
      </c>
      <c r="E15" s="9">
        <f>Table267[[#This Row],[Shots Against]]/Table267[[#This Row],[Expected Shots Against]]</f>
        <v>1.0446643411173759</v>
      </c>
    </row>
    <row r="16" spans="1:5" x14ac:dyDescent="0.45">
      <c r="A16" s="11"/>
      <c r="B16" s="11" t="s">
        <v>93</v>
      </c>
      <c r="C16">
        <v>200</v>
      </c>
      <c r="D16" s="7">
        <v>196.818431993209</v>
      </c>
      <c r="E16" s="9">
        <f>Table267[[#This Row],[Shots Against]]/Table267[[#This Row],[Expected Shots Against]]</f>
        <v>1.0161649901107879</v>
      </c>
    </row>
    <row r="17" spans="1:5" x14ac:dyDescent="0.45">
      <c r="A17" s="11"/>
      <c r="B17" s="11" t="s">
        <v>100</v>
      </c>
      <c r="C17">
        <v>174</v>
      </c>
      <c r="D17" s="7">
        <v>174.432727899383</v>
      </c>
      <c r="E17" s="9">
        <f>Table267[[#This Row],[Shots Against]]/Table267[[#This Row],[Expected Shots Against]]</f>
        <v>0.99751922758650768</v>
      </c>
    </row>
    <row r="18" spans="1:5" x14ac:dyDescent="0.45">
      <c r="A18" s="11"/>
      <c r="B18" s="11" t="s">
        <v>90</v>
      </c>
      <c r="C18">
        <v>186</v>
      </c>
      <c r="D18" s="7">
        <v>193.91124444484799</v>
      </c>
      <c r="E18" s="9">
        <f>Table267[[#This Row],[Shots Against]]/Table267[[#This Row],[Expected Shots Against]]</f>
        <v>0.95920172413158789</v>
      </c>
    </row>
    <row r="19" spans="1:5" x14ac:dyDescent="0.45">
      <c r="A19" s="12"/>
      <c r="B19" s="12" t="s">
        <v>82</v>
      </c>
      <c r="C19">
        <v>140</v>
      </c>
      <c r="D19" s="7">
        <v>172.68155794556401</v>
      </c>
      <c r="E19" s="9">
        <f>Table267[[#This Row],[Shots Against]]/Table267[[#This Row],[Expected Shots Against]]</f>
        <v>0.8107408901426143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Apertura2021_LigaMX_26-11-2021</vt:lpstr>
      <vt:lpstr>Sh&amp;ShT</vt:lpstr>
      <vt:lpstr>PtsVSxPts</vt:lpstr>
      <vt:lpstr>GVSxG</vt:lpstr>
      <vt:lpstr>GAVSxGA</vt:lpstr>
      <vt:lpstr>Scatter GDiff</vt:lpstr>
      <vt:lpstr>ShVSxSh</vt:lpstr>
      <vt:lpstr>ShAVSxShA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2021-11-29T16:25:18Z</dcterms:created>
  <dcterms:modified xsi:type="dcterms:W3CDTF">2021-11-29T18:53:43Z</dcterms:modified>
</cp:coreProperties>
</file>