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WCQ 2022 07 11 2021\"/>
    </mc:Choice>
  </mc:AlternateContent>
  <xr:revisionPtr revIDLastSave="0" documentId="13_ncr:1_{C6238481-7698-4CC3-9359-C3ACCF0770F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WCQ2022_CONCACAF_07-11-2021" sheetId="1" r:id="rId1"/>
    <sheet name="xTable2" sheetId="3" r:id="rId2"/>
    <sheet name="xTabl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1" l="1"/>
  <c r="F17" i="1"/>
  <c r="E17" i="1"/>
  <c r="C17" i="1"/>
  <c r="Q17" i="1"/>
  <c r="Q10" i="1"/>
  <c r="R10" i="1"/>
  <c r="S10" i="1"/>
  <c r="T10" i="1"/>
  <c r="T2" i="1"/>
  <c r="T3" i="1"/>
  <c r="T4" i="1"/>
  <c r="T5" i="1"/>
  <c r="T6" i="1"/>
  <c r="T7" i="1"/>
  <c r="T8" i="1"/>
  <c r="T9" i="1"/>
  <c r="R2" i="1"/>
  <c r="R3" i="1"/>
  <c r="R4" i="1"/>
  <c r="R5" i="1"/>
  <c r="R6" i="1"/>
  <c r="R7" i="1"/>
  <c r="R8" i="1"/>
  <c r="R9" i="1"/>
  <c r="S2" i="1"/>
  <c r="S3" i="1"/>
  <c r="S4" i="1"/>
  <c r="S5" i="1"/>
  <c r="S6" i="1"/>
  <c r="S7" i="1"/>
  <c r="S8" i="1"/>
  <c r="S9" i="1"/>
  <c r="Q2" i="1"/>
  <c r="Q3" i="1"/>
  <c r="Q4" i="1"/>
  <c r="Q5" i="1"/>
  <c r="Q6" i="1"/>
  <c r="Q7" i="1"/>
  <c r="Q8" i="1"/>
  <c r="Q9" i="1"/>
  <c r="N10" i="1"/>
  <c r="M10" i="1"/>
  <c r="J10" i="1"/>
  <c r="I10" i="1"/>
  <c r="H10" i="1"/>
  <c r="G10" i="1"/>
  <c r="F10" i="1"/>
  <c r="E10" i="1"/>
  <c r="D10" i="1"/>
  <c r="C10" i="1"/>
  <c r="AO14" i="1"/>
  <c r="AM14" i="1"/>
  <c r="AK14" i="1"/>
  <c r="AI14" i="1"/>
  <c r="AG14" i="1"/>
  <c r="AG10" i="1"/>
  <c r="AI10" i="1"/>
  <c r="AK10" i="1"/>
  <c r="AL10" i="1"/>
  <c r="AM10" i="1"/>
  <c r="AN10" i="1"/>
  <c r="AO10" i="1"/>
  <c r="AP10" i="1"/>
  <c r="AQ10" i="1"/>
  <c r="AR10" i="1"/>
  <c r="L10" i="2"/>
  <c r="K10" i="2"/>
  <c r="I10" i="2"/>
  <c r="J10" i="2"/>
  <c r="AC17" i="1"/>
  <c r="AC10" i="1"/>
  <c r="AD10" i="1"/>
  <c r="Y17" i="1"/>
  <c r="Y10" i="1"/>
  <c r="Z10" i="1"/>
  <c r="U17" i="1"/>
  <c r="W10" i="1"/>
  <c r="U10" i="1"/>
  <c r="V10" i="1"/>
  <c r="Q17" i="2"/>
  <c r="Q15" i="2"/>
  <c r="H10" i="2"/>
  <c r="G10" i="2"/>
  <c r="F10" i="2"/>
  <c r="E10" i="2"/>
  <c r="Q13" i="2"/>
  <c r="D10" i="2"/>
  <c r="C10" i="2"/>
  <c r="T3" i="2" l="1"/>
  <c r="T2" i="2"/>
  <c r="T4" i="2" s="1"/>
  <c r="R10" i="2" l="1"/>
  <c r="O10" i="2"/>
  <c r="N10" i="2"/>
  <c r="Q10" i="2"/>
  <c r="P10" i="2"/>
  <c r="P2" i="2"/>
  <c r="P3" i="2"/>
  <c r="P4" i="2"/>
  <c r="P5" i="2"/>
  <c r="P6" i="2"/>
  <c r="P7" i="2"/>
  <c r="P8" i="2"/>
  <c r="P9" i="2"/>
  <c r="M2" i="2"/>
  <c r="M3" i="2"/>
  <c r="M4" i="2"/>
  <c r="M5" i="2"/>
  <c r="M6" i="2"/>
  <c r="M7" i="2"/>
  <c r="M8" i="2"/>
  <c r="M9" i="2"/>
  <c r="C2" i="3"/>
  <c r="C3" i="3"/>
  <c r="C4" i="3"/>
  <c r="C5" i="3"/>
  <c r="C6" i="3"/>
  <c r="C7" i="3"/>
  <c r="C8" i="3"/>
  <c r="C9" i="3"/>
  <c r="F2" i="3"/>
  <c r="F3" i="3"/>
  <c r="F4" i="3"/>
  <c r="F5" i="3"/>
  <c r="F6" i="3"/>
  <c r="F7" i="3"/>
  <c r="F8" i="3"/>
  <c r="F9" i="3"/>
  <c r="I2" i="3"/>
  <c r="I3" i="3"/>
  <c r="I4" i="3"/>
  <c r="I5" i="3"/>
  <c r="I6" i="3"/>
  <c r="I7" i="3"/>
  <c r="I8" i="3"/>
  <c r="I9" i="3"/>
  <c r="L2" i="3"/>
  <c r="L3" i="3"/>
  <c r="L4" i="3"/>
  <c r="L5" i="3"/>
  <c r="L6" i="3"/>
  <c r="L7" i="3"/>
  <c r="L8" i="3"/>
  <c r="L9" i="3"/>
  <c r="O2" i="3"/>
  <c r="O3" i="3"/>
  <c r="O4" i="3"/>
  <c r="O5" i="3"/>
  <c r="O6" i="3"/>
  <c r="O7" i="3"/>
  <c r="O8" i="3"/>
  <c r="O9" i="3"/>
  <c r="R2" i="3"/>
  <c r="R3" i="3"/>
  <c r="R4" i="3"/>
  <c r="R5" i="3"/>
  <c r="R6" i="3"/>
  <c r="R7" i="3"/>
  <c r="R8" i="3"/>
  <c r="R9" i="3"/>
  <c r="U2" i="3"/>
  <c r="U3" i="3"/>
  <c r="U4" i="3"/>
  <c r="U5" i="3"/>
  <c r="U6" i="3"/>
  <c r="U7" i="3"/>
  <c r="U8" i="3"/>
  <c r="U9" i="3"/>
  <c r="X2" i="3"/>
  <c r="X3" i="3"/>
  <c r="X4" i="3"/>
  <c r="X5" i="3"/>
  <c r="X6" i="3"/>
  <c r="X7" i="3"/>
  <c r="X8" i="3"/>
  <c r="X9" i="3"/>
  <c r="AA2" i="3"/>
  <c r="AA3" i="3"/>
  <c r="AA4" i="3"/>
  <c r="AA5" i="3"/>
  <c r="AA6" i="3"/>
  <c r="AA7" i="3"/>
  <c r="AA8" i="3"/>
  <c r="AA9" i="3"/>
  <c r="AD2" i="3"/>
  <c r="AD3" i="3"/>
  <c r="AD4" i="3"/>
  <c r="AD5" i="3"/>
  <c r="AD6" i="3"/>
  <c r="AD7" i="3"/>
  <c r="AD8" i="3"/>
  <c r="AD9" i="3"/>
  <c r="M10" i="2" l="1"/>
  <c r="AJ10" i="1"/>
  <c r="AH10" i="1"/>
</calcChain>
</file>

<file path=xl/sharedStrings.xml><?xml version="1.0" encoding="utf-8"?>
<sst xmlns="http://schemas.openxmlformats.org/spreadsheetml/2006/main" count="120" uniqueCount="66">
  <si>
    <t>team</t>
  </si>
  <si>
    <t>Points</t>
  </si>
  <si>
    <t>xPoints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</si>
  <si>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</si>
  <si>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</si>
  <si>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</si>
  <si>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</si>
  <si>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</si>
  <si>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</si>
  <si>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</si>
  <si>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</si>
  <si>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</t>
  </si>
  <si>
    <t>xGoalsF</t>
  </si>
  <si>
    <t>GoalsA</t>
  </si>
  <si>
    <t>xGoalsA</t>
  </si>
  <si>
    <t>HTGoalsF</t>
  </si>
  <si>
    <t>xHTGoalsF</t>
  </si>
  <si>
    <t>HTGoalsA</t>
  </si>
  <si>
    <t>xHTGoalsA</t>
  </si>
  <si>
    <t>ShotsF</t>
  </si>
  <si>
    <t>xShotsF</t>
  </si>
  <si>
    <t>ShotsA</t>
  </si>
  <si>
    <t>xShotsA</t>
  </si>
  <si>
    <t>ShotsTF</t>
  </si>
  <si>
    <t>xShotsTF</t>
  </si>
  <si>
    <t>ShotsTA</t>
  </si>
  <si>
    <t>xShotsTA</t>
  </si>
  <si>
    <t>Fouls</t>
  </si>
  <si>
    <t>xFouls</t>
  </si>
  <si>
    <t>FoulsA</t>
  </si>
  <si>
    <t>xFoulsA</t>
  </si>
  <si>
    <t>YCard</t>
  </si>
  <si>
    <t>xYCard</t>
  </si>
  <si>
    <t>YCardA</t>
  </si>
  <si>
    <t>xYCardA</t>
  </si>
  <si>
    <t>RCard</t>
  </si>
  <si>
    <t>xRCard</t>
  </si>
  <si>
    <t>RCardA</t>
  </si>
  <si>
    <t>xRCardA</t>
  </si>
  <si>
    <t>Panama</t>
  </si>
  <si>
    <t>Mexico</t>
  </si>
  <si>
    <t>Costa Rica</t>
  </si>
  <si>
    <t>Canada</t>
  </si>
  <si>
    <t>Jamaica</t>
  </si>
  <si>
    <t>USA</t>
  </si>
  <si>
    <t>Honduras</t>
  </si>
  <si>
    <t>El Salvador</t>
  </si>
  <si>
    <t>Ranking</t>
  </si>
  <si>
    <t>Team</t>
  </si>
  <si>
    <t>ShotsF%</t>
  </si>
  <si>
    <t>ShotsA%</t>
  </si>
  <si>
    <t>ShotsT</t>
  </si>
  <si>
    <t>ShotsTF%</t>
  </si>
  <si>
    <t>ShotsTA%</t>
  </si>
  <si>
    <t>Fouls%</t>
  </si>
  <si>
    <t>FoulsA%</t>
  </si>
  <si>
    <t>Ycard%</t>
  </si>
  <si>
    <t>YCardA%</t>
  </si>
  <si>
    <t>Rcard%</t>
  </si>
  <si>
    <t>RCardA%</t>
  </si>
  <si>
    <t>GoalsF%</t>
  </si>
  <si>
    <t>GoalsA%</t>
  </si>
  <si>
    <t>2HGoalsF</t>
  </si>
  <si>
    <t>x2HGoalsF</t>
  </si>
  <si>
    <t>2HGoalsA</t>
  </si>
  <si>
    <t>x2HGoalsA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</si>
</sst>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5" borderId="7" xfId="14" applyFont="1" applyFill="1" applyAlignment="1">
      <alignment horizontal="center" vertical="center"/>
    </xf>
    <xf numFmtId="0" fontId="13" fillId="35" borderId="7" xfId="14" applyFill="1" applyAlignment="1">
      <alignment horizontal="center" vertical="center"/>
    </xf>
    <xf numFmtId="0" fontId="19" fillId="34" borderId="7" xfId="14" applyFont="1" applyFill="1" applyAlignment="1">
      <alignment horizontal="center" vertical="center"/>
    </xf>
    <xf numFmtId="9" fontId="0" fillId="0" borderId="0" xfId="1" applyFont="1"/>
    <xf numFmtId="0" fontId="20" fillId="37" borderId="0" xfId="0" applyFont="1" applyFill="1" applyAlignment="1">
      <alignment horizontal="center" vertical="center"/>
    </xf>
    <xf numFmtId="164" fontId="20" fillId="36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9" fontId="20" fillId="33" borderId="0" xfId="1" applyFont="1" applyFill="1" applyAlignment="1">
      <alignment horizontal="center" vertical="center"/>
    </xf>
    <xf numFmtId="9" fontId="20" fillId="33" borderId="0" xfId="1" applyNumberFormat="1" applyFont="1" applyFill="1" applyAlignment="1">
      <alignment horizontal="center" vertical="center"/>
    </xf>
    <xf numFmtId="0" fontId="22" fillId="39" borderId="7" xfId="14" applyFont="1" applyFill="1" applyAlignment="1">
      <alignment horizontal="center" vertical="center"/>
    </xf>
    <xf numFmtId="0" fontId="13" fillId="40" borderId="7" xfId="14" applyFill="1" applyAlignment="1">
      <alignment horizontal="center" vertical="center"/>
    </xf>
    <xf numFmtId="0" fontId="13" fillId="41" borderId="7" xfId="14" applyFill="1" applyAlignment="1">
      <alignment horizontal="center" vertical="center"/>
    </xf>
    <xf numFmtId="164" fontId="20" fillId="38" borderId="0" xfId="0" applyNumberFormat="1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2000"/>
              <a:t>Qatar 2022</a:t>
            </a:r>
            <a:r>
              <a:rPr lang="es-MX" sz="2000" baseline="0"/>
              <a:t> World Cup Qualifiers</a:t>
            </a:r>
          </a:p>
          <a:p>
            <a:pPr>
              <a:defRPr sz="2000"/>
            </a:pPr>
            <a:r>
              <a:rPr lang="es-MX" sz="2000" baseline="0"/>
              <a:t>Points and Expected Points</a:t>
            </a:r>
            <a:endParaRPr lang="es-MX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xTable!$C$1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rgbClr val="FFFF00"/>
            </a:solidFill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xTable!$B$2:$B$9</c:f>
              <c:strCache>
                <c:ptCount val="8"/>
                <c:pt idx="0">
                  <c:v>Mexico</c:v>
                </c:pt>
                <c:pt idx="1">
                  <c:v>USA</c:v>
                </c:pt>
                <c:pt idx="2">
                  <c:v>Canada</c:v>
                </c:pt>
                <c:pt idx="3">
                  <c:v>Panama</c:v>
                </c:pt>
                <c:pt idx="4">
                  <c:v>Costa Rica</c:v>
                </c:pt>
                <c:pt idx="5">
                  <c:v>Jamaica</c:v>
                </c:pt>
                <c:pt idx="6">
                  <c:v>El Salvador</c:v>
                </c:pt>
                <c:pt idx="7">
                  <c:v>Honduras</c:v>
                </c:pt>
              </c:strCache>
            </c:strRef>
          </c:cat>
          <c:val>
            <c:numRef>
              <c:f>xTable!$C$2:$C$9</c:f>
              <c:numCache>
                <c:formatCode>General</c:formatCode>
                <c:ptCount val="8"/>
                <c:pt idx="0">
                  <c:v>14</c:v>
                </c:pt>
                <c:pt idx="1">
                  <c:v>11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5-4B4A-9BD7-5CDAA4FA6CE9}"/>
            </c:ext>
          </c:extLst>
        </c:ser>
        <c:ser>
          <c:idx val="1"/>
          <c:order val="1"/>
          <c:tx>
            <c:strRef>
              <c:f>xTable!$D$1</c:f>
              <c:strCache>
                <c:ptCount val="1"/>
                <c:pt idx="0">
                  <c:v>xPoints</c:v>
                </c:pt>
              </c:strCache>
            </c:strRef>
          </c:tx>
          <c:spPr>
            <a:solidFill>
              <a:srgbClr val="0070C0"/>
            </a:solidFill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xTable!$B$2:$B$9</c:f>
              <c:strCache>
                <c:ptCount val="8"/>
                <c:pt idx="0">
                  <c:v>Mexico</c:v>
                </c:pt>
                <c:pt idx="1">
                  <c:v>USA</c:v>
                </c:pt>
                <c:pt idx="2">
                  <c:v>Canada</c:v>
                </c:pt>
                <c:pt idx="3">
                  <c:v>Panama</c:v>
                </c:pt>
                <c:pt idx="4">
                  <c:v>Costa Rica</c:v>
                </c:pt>
                <c:pt idx="5">
                  <c:v>Jamaica</c:v>
                </c:pt>
                <c:pt idx="6">
                  <c:v>El Salvador</c:v>
                </c:pt>
                <c:pt idx="7">
                  <c:v>Honduras</c:v>
                </c:pt>
              </c:strCache>
            </c:strRef>
          </c:cat>
          <c:val>
            <c:numRef>
              <c:f>xTable!$D$2:$D$9</c:f>
              <c:numCache>
                <c:formatCode>0.0</c:formatCode>
                <c:ptCount val="8"/>
                <c:pt idx="0">
                  <c:v>13.699038064511701</c:v>
                </c:pt>
                <c:pt idx="1">
                  <c:v>12.691626555401401</c:v>
                </c:pt>
                <c:pt idx="2">
                  <c:v>9.7345796665556996</c:v>
                </c:pt>
                <c:pt idx="3">
                  <c:v>6.2467414027560499</c:v>
                </c:pt>
                <c:pt idx="4">
                  <c:v>7.6335010659199396</c:v>
                </c:pt>
                <c:pt idx="5">
                  <c:v>4.8478080153010898</c:v>
                </c:pt>
                <c:pt idx="6">
                  <c:v>4.76410208290641</c:v>
                </c:pt>
                <c:pt idx="7">
                  <c:v>6.3856682493623804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15-4B4A-9BD7-5CDAA4FA6C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9563744"/>
        <c:axId val="319564728"/>
      </c:barChart>
      <c:catAx>
        <c:axId val="31956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9564728"/>
        <c:crosses val="autoZero"/>
        <c:auto val="1"/>
        <c:lblAlgn val="ctr"/>
        <c:lblOffset val="100"/>
        <c:noMultiLvlLbl val="0"/>
      </c:catAx>
      <c:valAx>
        <c:axId val="3195647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95637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16668</xdr:colOff>
      <xdr:row>11</xdr:row>
      <xdr:rowOff>21431</xdr:rowOff>
    </xdr:from>
    <xdr:to>
      <xdr:col>12</xdr:col>
      <xdr:colOff>276225</xdr:colOff>
      <xdr:row>35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1DE06-DF14-4181-9095-663C88E93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10" totalsRowCount="1">
  <autoFilter ref="A1:AR9" xr:uid="{00000000-0009-0000-0100-000001000000}"/>
  <sortState xmlns:xlrd2="http://schemas.microsoft.com/office/spreadsheetml/2017/richdata2" ref="A2:AR9">
    <sortCondition descending="1" ref="D1:D9"/>
  </sortState>
  <tableColumns count="44">
    <tableColumn id="1" xr3:uid="{00000000-0010-0000-0000-000001000000}" name="Ranking"/>
    <tableColumn id="2" xr3:uid="{00000000-0010-0000-0000-000002000000}" name="team"/>
    <tableColumn id="3" xr3:uid="{00000000-0010-0000-0000-000003000000}" name="Points" totalsRowFunction="sum"/>
    <tableColumn id="4" xr3:uid="{00000000-0010-0000-0000-000004000000}" name="xPoints" totalsRowFunction="sum"/>
    <tableColumn id="5" xr3:uid="{00000000-0010-0000-0000-000005000000}" name="Wins" totalsRowFunction="sum"/>
    <tableColumn id="6" xr3:uid="{00000000-0010-0000-0000-000006000000}" name="Draws" totalsRowFunction="sum"/>
    <tableColumn id="7" xr3:uid="{00000000-0010-0000-0000-000007000000}" name="Losses" totalsRowFunction="sum"/>
    <tableColumn id="8" xr3:uid="{00000000-0010-0000-0000-000008000000}" name="xWins" totalsRowFunction="sum"/>
    <tableColumn id="9" xr3:uid="{00000000-0010-0000-0000-000009000000}" name="xDraws" totalsRowFunction="sum"/>
    <tableColumn id="10" xr3:uid="{00000000-0010-0000-0000-00000A000000}" name="xLosses" totalsRowFunction="sum"/>
    <tableColumn id="11" xr3:uid="{00000000-0010-0000-0000-00000B000000}" name="GoalDiff"/>
    <tableColumn id="12" xr3:uid="{00000000-0010-0000-0000-00000C000000}" name="xGoalDiff"/>
    <tableColumn id="13" xr3:uid="{00000000-0010-0000-0000-00000D000000}" name="GoalsF" totalsRowFunction="sum"/>
    <tableColumn id="14" xr3:uid="{00000000-0010-0000-0000-00000E000000}" name="xGoalsF" totalsRowFunction="sum"/>
    <tableColumn id="15" xr3:uid="{00000000-0010-0000-0000-00000F000000}" name="GoalsA"/>
    <tableColumn id="16" xr3:uid="{00000000-0010-0000-0000-000010000000}" name="xGoalsA"/>
    <tableColumn id="41" xr3:uid="{CDCF8B90-9936-4C52-89B5-1FD6C49C225C}" name="2HGoalsF" totalsRowFunction="sum" dataDxfId="3">
      <calculatedColumnFormula>Table1[[#This Row],[GoalsF]]-Table1[[#This Row],[HTGoalsF]]</calculatedColumnFormula>
    </tableColumn>
    <tableColumn id="42" xr3:uid="{256CB26C-5C2C-4940-8B18-F11A815B9341}" name="x2HGoalsF" totalsRowFunction="sum" dataDxfId="1">
      <calculatedColumnFormula>Table1[[#This Row],[xGoalsF]]-Table1[[#This Row],[xHTGoalsF]]</calculatedColumnFormula>
    </tableColumn>
    <tableColumn id="43" xr3:uid="{4317D0E5-5DFD-4180-9431-C8C4D2BB56DE}" name="2HGoalsA" totalsRowFunction="sum" dataDxfId="2">
      <calculatedColumnFormula>Table1[[#This Row],[GoalsA]]-Table1[[#This Row],[HTGoalsA]]</calculatedColumnFormula>
    </tableColumn>
    <tableColumn id="44" xr3:uid="{D483151B-3881-42B1-9749-318BCE850475}" name="x2HGoalsA" totalsRowFunction="sum" dataDxfId="0">
      <calculatedColumnFormula>Table1[[#This Row],[xGoalsA]]-Table1[[#This Row],[xHTGoalsA]]</calculatedColumnFormula>
    </tableColumn>
    <tableColumn id="17" xr3:uid="{00000000-0010-0000-0000-000011000000}" name="HTGoalsF" totalsRowFunction="sum"/>
    <tableColumn id="18" xr3:uid="{00000000-0010-0000-0000-000012000000}" name="xHTGoalsF" totalsRowFunction="sum"/>
    <tableColumn id="19" xr3:uid="{00000000-0010-0000-0000-000013000000}" name="HTGoalsA" totalsRowFunction="sum"/>
    <tableColumn id="20" xr3:uid="{00000000-0010-0000-0000-000014000000}" name="xHTGoalsA"/>
    <tableColumn id="21" xr3:uid="{00000000-0010-0000-0000-000015000000}" name="ShotsF" totalsRowFunction="sum"/>
    <tableColumn id="22" xr3:uid="{00000000-0010-0000-0000-000016000000}" name="xShotsF" totalsRowFunction="sum"/>
    <tableColumn id="23" xr3:uid="{00000000-0010-0000-0000-000017000000}" name="ShotsA"/>
    <tableColumn id="24" xr3:uid="{00000000-0010-0000-0000-000018000000}" name="xShotsA"/>
    <tableColumn id="25" xr3:uid="{00000000-0010-0000-0000-000019000000}" name="ShotsTF" totalsRowFunction="sum"/>
    <tableColumn id="26" xr3:uid="{00000000-0010-0000-0000-00001A000000}" name="xShotsTF" totalsRowFunction="sum"/>
    <tableColumn id="27" xr3:uid="{00000000-0010-0000-0000-00001B000000}" name="ShotsTA"/>
    <tableColumn id="28" xr3:uid="{00000000-0010-0000-0000-00001C000000}" name="xShotsTA"/>
    <tableColumn id="29" xr3:uid="{00000000-0010-0000-0000-00001D000000}" name="Fouls" totalsRowFunction="sum"/>
    <tableColumn id="30" xr3:uid="{00000000-0010-0000-0000-00001E000000}" name="xFouls" totalsRowFunction="custom">
      <totalsRowFormula>SUM(Table1[xFouls])</totalsRowFormula>
    </tableColumn>
    <tableColumn id="31" xr3:uid="{00000000-0010-0000-0000-00001F000000}" name="FoulsA" totalsRowFunction="sum"/>
    <tableColumn id="32" xr3:uid="{00000000-0010-0000-0000-000020000000}" name="xFoulsA" totalsRowFunction="sum"/>
    <tableColumn id="33" xr3:uid="{00000000-0010-0000-0000-000021000000}" name="YCard" totalsRowFunction="sum"/>
    <tableColumn id="34" xr3:uid="{00000000-0010-0000-0000-000022000000}" name="xYCard" totalsRowFunction="sum"/>
    <tableColumn id="35" xr3:uid="{00000000-0010-0000-0000-000023000000}" name="YCardA" totalsRowFunction="sum"/>
    <tableColumn id="36" xr3:uid="{00000000-0010-0000-0000-000024000000}" name="xYCardA" totalsRowFunction="sum"/>
    <tableColumn id="37" xr3:uid="{00000000-0010-0000-0000-000025000000}" name="RCard" totalsRowFunction="sum"/>
    <tableColumn id="38" xr3:uid="{00000000-0010-0000-0000-000026000000}" name="xRCard" totalsRowFunction="sum"/>
    <tableColumn id="39" xr3:uid="{00000000-0010-0000-0000-000027000000}" name="RCardA" totalsRowFunction="sum"/>
    <tableColumn id="40" xr3:uid="{00000000-0010-0000-0000-000028000000}" name="xRCardA" totalsRowFunction="su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1:AF9" totalsRowShown="0">
  <autoFilter ref="B1:AF9" xr:uid="{00000000-0009-0000-0100-000003000000}"/>
  <tableColumns count="31">
    <tableColumn id="1" xr3:uid="{00000000-0010-0000-0100-000001000000}" name="team"/>
    <tableColumn id="22" xr3:uid="{00000000-0010-0000-0100-000016000000}" name="ShotsF%" dataCellStyle="Percent">
      <calculatedColumnFormula>Table3[[#This Row],[ShotsF]]/Table3[[#This Row],[xShotsF]]</calculatedColumnFormula>
    </tableColumn>
    <tableColumn id="2" xr3:uid="{00000000-0010-0000-0100-000002000000}" name="ShotsF"/>
    <tableColumn id="3" xr3:uid="{00000000-0010-0000-0100-000003000000}" name="xShotsF"/>
    <tableColumn id="23" xr3:uid="{00000000-0010-0000-0100-000017000000}" name="ShotsA%" dataCellStyle="Percent">
      <calculatedColumnFormula>Table3[[#This Row],[ShotsA]]/Table3[[#This Row],[xShotsA]]</calculatedColumnFormula>
    </tableColumn>
    <tableColumn id="4" xr3:uid="{00000000-0010-0000-0100-000004000000}" name="ShotsA"/>
    <tableColumn id="5" xr3:uid="{00000000-0010-0000-0100-000005000000}" name="xShotsA"/>
    <tableColumn id="24" xr3:uid="{00000000-0010-0000-0100-000018000000}" name="ShotsTF%" dataCellStyle="Percent">
      <calculatedColumnFormula>Table3[[#This Row],[ShotsTF]]/Table3[[#This Row],[xShotsTF]]</calculatedColumnFormula>
    </tableColumn>
    <tableColumn id="6" xr3:uid="{00000000-0010-0000-0100-000006000000}" name="ShotsTF"/>
    <tableColumn id="7" xr3:uid="{00000000-0010-0000-0100-000007000000}" name="xShotsTF"/>
    <tableColumn id="25" xr3:uid="{00000000-0010-0000-0100-000019000000}" name="ShotsTA%" dataDxfId="45">
      <calculatedColumnFormula>Table3[[#This Row],[ShotsTA]]/Table3[[#This Row],[xShotsTA]]</calculatedColumnFormula>
    </tableColumn>
    <tableColumn id="8" xr3:uid="{00000000-0010-0000-0100-000008000000}" name="ShotsTA"/>
    <tableColumn id="9" xr3:uid="{00000000-0010-0000-0100-000009000000}" name="xShotsTA"/>
    <tableColumn id="26" xr3:uid="{00000000-0010-0000-0100-00001A000000}" name="Fouls%" dataDxfId="44">
      <calculatedColumnFormula>Table3[[#This Row],[Fouls]]/Table3[[#This Row],[xFouls]]</calculatedColumnFormula>
    </tableColumn>
    <tableColumn id="10" xr3:uid="{00000000-0010-0000-0100-00000A000000}" name="Fouls"/>
    <tableColumn id="11" xr3:uid="{00000000-0010-0000-0100-00000B000000}" name="xFouls"/>
    <tableColumn id="27" xr3:uid="{00000000-0010-0000-0100-00001B000000}" name="FoulsA%" dataDxfId="43">
      <calculatedColumnFormula>Table3[[#This Row],[FoulsA]]/Table3[[#This Row],[xFoulsA]]</calculatedColumnFormula>
    </tableColumn>
    <tableColumn id="12" xr3:uid="{00000000-0010-0000-0100-00000C000000}" name="FoulsA"/>
    <tableColumn id="13" xr3:uid="{00000000-0010-0000-0100-00000D000000}" name="xFoulsA"/>
    <tableColumn id="28" xr3:uid="{00000000-0010-0000-0100-00001C000000}" name="Ycard%" dataDxfId="42">
      <calculatedColumnFormula>Table3[[#This Row],[YCard]]/Table3[[#This Row],[xYCard]]</calculatedColumnFormula>
    </tableColumn>
    <tableColumn id="14" xr3:uid="{00000000-0010-0000-0100-00000E000000}" name="YCard"/>
    <tableColumn id="15" xr3:uid="{00000000-0010-0000-0100-00000F000000}" name="xYCard"/>
    <tableColumn id="29" xr3:uid="{00000000-0010-0000-0100-00001D000000}" name="YCardA%" dataDxfId="41">
      <calculatedColumnFormula>Table3[[#This Row],[YCardA]]/Table3[[#This Row],[xYCardA]]</calculatedColumnFormula>
    </tableColumn>
    <tableColumn id="16" xr3:uid="{00000000-0010-0000-0100-000010000000}" name="YCardA"/>
    <tableColumn id="17" xr3:uid="{00000000-0010-0000-0100-000011000000}" name="xYCardA"/>
    <tableColumn id="30" xr3:uid="{00000000-0010-0000-0100-00001E000000}" name="Rcard%" dataDxfId="40">
      <calculatedColumnFormula>Table3[[#This Row],[RCard]]/Table3[[#This Row],[xRCard]]</calculatedColumnFormula>
    </tableColumn>
    <tableColumn id="18" xr3:uid="{00000000-0010-0000-0100-000012000000}" name="RCard"/>
    <tableColumn id="19" xr3:uid="{00000000-0010-0000-0100-000013000000}" name="xRCard"/>
    <tableColumn id="31" xr3:uid="{00000000-0010-0000-0100-00001F000000}" name="RCardA%" dataCellStyle="Percent">
      <calculatedColumnFormula>Table3[[#This Row],[RCardA]]/Table3[[#This Row],[xRCardA]]</calculatedColumnFormula>
    </tableColumn>
    <tableColumn id="20" xr3:uid="{00000000-0010-0000-0100-000014000000}" name="RCardA"/>
    <tableColumn id="21" xr3:uid="{00000000-0010-0000-0100-000015000000}" name="xRCar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1:R10" totalsRowCount="1" headerRowDxfId="39" dataDxfId="38" headerRowCellStyle="Check Cell">
  <autoFilter ref="B1:R9" xr:uid="{00000000-0009-0000-0100-000002000000}"/>
  <sortState xmlns:xlrd2="http://schemas.microsoft.com/office/spreadsheetml/2017/richdata2" ref="B2:R9">
    <sortCondition descending="1" ref="C1:C9"/>
  </sortState>
  <tableColumns count="17">
    <tableColumn id="1" xr3:uid="{00000000-0010-0000-0200-000001000000}" name="Team" dataDxfId="37" totalsRowDxfId="36"/>
    <tableColumn id="2" xr3:uid="{00000000-0010-0000-0200-000002000000}" name="Points" totalsRowFunction="sum" dataDxfId="35" totalsRowDxfId="34"/>
    <tableColumn id="3" xr3:uid="{00000000-0010-0000-0200-000003000000}" name="xPoints" totalsRowFunction="sum" dataDxfId="33" totalsRowDxfId="32"/>
    <tableColumn id="4" xr3:uid="{00000000-0010-0000-0200-000004000000}" name="Wins" totalsRowFunction="sum" dataDxfId="31" totalsRowDxfId="30"/>
    <tableColumn id="16" xr3:uid="{00000000-0010-0000-0200-000010000000}" name="xWins" totalsRowFunction="sum" dataDxfId="29" totalsRowDxfId="28"/>
    <tableColumn id="5" xr3:uid="{00000000-0010-0000-0200-000005000000}" name="Draws" totalsRowFunction="sum" dataDxfId="27" totalsRowDxfId="26"/>
    <tableColumn id="17" xr3:uid="{00000000-0010-0000-0200-000011000000}" name="xDraws" totalsRowFunction="sum" dataDxfId="25" totalsRowDxfId="24"/>
    <tableColumn id="6" xr3:uid="{00000000-0010-0000-0200-000006000000}" name="Losses" totalsRowFunction="sum" dataDxfId="23" totalsRowDxfId="22"/>
    <tableColumn id="7" xr3:uid="{00000000-0010-0000-0200-000007000000}" name="xLosses" totalsRowFunction="sum" dataDxfId="21" totalsRowDxfId="20"/>
    <tableColumn id="10" xr3:uid="{00000000-0010-0000-0200-00000A000000}" name="GoalDiff" totalsRowFunction="sum" dataDxfId="19" totalsRowDxfId="18"/>
    <tableColumn id="11" xr3:uid="{00000000-0010-0000-0200-00000B000000}" name="xGoalDiff" totalsRowFunction="sum" dataDxfId="17" totalsRowDxfId="16"/>
    <tableColumn id="18" xr3:uid="{00000000-0010-0000-0200-000012000000}" name="GoalsF%" totalsRowFunction="custom" dataDxfId="15" totalsRowDxfId="14" dataCellStyle="Percent" totalsRowCellStyle="Percent">
      <calculatedColumnFormula>Table2[[#This Row],[GoalsF]]/Table2[[#This Row],[xGoalsF]]</calculatedColumnFormula>
      <totalsRowFormula>AVERAGE(Table2[GoalsF%])</totalsRowFormula>
    </tableColumn>
    <tableColumn id="12" xr3:uid="{00000000-0010-0000-0200-00000C000000}" name="GoalsF" totalsRowFunction="sum" dataDxfId="13" totalsRowDxfId="12"/>
    <tableColumn id="13" xr3:uid="{00000000-0010-0000-0200-00000D000000}" name="xGoalsF" totalsRowFunction="sum" dataDxfId="11" totalsRowDxfId="10"/>
    <tableColumn id="19" xr3:uid="{00000000-0010-0000-0200-000013000000}" name="GoalsA%" totalsRowFunction="average" dataDxfId="9" totalsRowDxfId="8" dataCellStyle="Percent" totalsRowCellStyle="Percent">
      <calculatedColumnFormula>Table2[[#This Row],[GoalsA]]/Table2[[#This Row],[xGoalsA]]</calculatedColumnFormula>
    </tableColumn>
    <tableColumn id="14" xr3:uid="{00000000-0010-0000-0200-00000E000000}" name="GoalsA" totalsRowFunction="sum" dataDxfId="7" totalsRowDxfId="6"/>
    <tableColumn id="15" xr3:uid="{00000000-0010-0000-0200-00000F000000}" name="xGoalsA" totalsRowFunction="sum" dataDxfId="5" totalsRow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"/>
  <sheetViews>
    <sheetView tabSelected="1" workbookViewId="0">
      <pane xSplit="2" topLeftCell="G1" activePane="topRight" state="frozen"/>
      <selection pane="topRight" activeCell="P2" sqref="P2"/>
    </sheetView>
  </sheetViews>
  <sheetFormatPr defaultRowHeight="14.25" x14ac:dyDescent="0.45"/>
  <cols>
    <col min="12" max="12" width="9.9296875" customWidth="1"/>
    <col min="17" max="17" width="10.46484375" bestFit="1" customWidth="1"/>
    <col min="18" max="18" width="11.33203125" bestFit="1" customWidth="1"/>
    <col min="19" max="19" width="10.796875" bestFit="1" customWidth="1"/>
    <col min="20" max="20" width="11.6640625" bestFit="1" customWidth="1"/>
    <col min="21" max="21" width="10.3984375" bestFit="1" customWidth="1"/>
    <col min="22" max="22" width="11.73046875" bestFit="1" customWidth="1"/>
    <col min="23" max="23" width="10.73046875" bestFit="1" customWidth="1"/>
    <col min="24" max="24" width="11.73046875" bestFit="1" customWidth="1"/>
    <col min="30" max="30" width="9.53125" customWidth="1"/>
    <col min="32" max="32" width="9.796875" customWidth="1"/>
    <col min="40" max="40" width="9.1328125" customWidth="1"/>
    <col min="44" max="44" width="9.265625" customWidth="1"/>
  </cols>
  <sheetData>
    <row r="1" spans="1:44" x14ac:dyDescent="0.4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62</v>
      </c>
      <c r="R1" t="s">
        <v>63</v>
      </c>
      <c r="S1" t="s">
        <v>64</v>
      </c>
      <c r="T1" t="s">
        <v>65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</row>
    <row r="2" spans="1:44" x14ac:dyDescent="0.45">
      <c r="A2">
        <v>1</v>
      </c>
      <c r="B2" t="s">
        <v>40</v>
      </c>
      <c r="C2">
        <v>14</v>
      </c>
      <c r="D2">
        <v>13.699038064511701</v>
      </c>
      <c r="E2">
        <v>4</v>
      </c>
      <c r="F2">
        <v>2</v>
      </c>
      <c r="G2">
        <v>0</v>
      </c>
      <c r="H2">
        <v>4.1557574552717398</v>
      </c>
      <c r="I2">
        <v>1.23176569869653</v>
      </c>
      <c r="J2">
        <v>0.61247684603172003</v>
      </c>
      <c r="K2">
        <v>7</v>
      </c>
      <c r="L2">
        <v>9.3089852354142</v>
      </c>
      <c r="M2">
        <v>10</v>
      </c>
      <c r="N2">
        <v>13.769401206185201</v>
      </c>
      <c r="O2">
        <v>3</v>
      </c>
      <c r="P2">
        <v>4.4604159707709998</v>
      </c>
      <c r="Q2">
        <f>Table1[[#This Row],[GoalsF]]-Table1[[#This Row],[HTGoalsF]]</f>
        <v>6</v>
      </c>
      <c r="R2">
        <f>Table1[[#This Row],[xGoalsF]]-Table1[[#This Row],[xHTGoalsF]]</f>
        <v>7.6375599275525206</v>
      </c>
      <c r="S2">
        <f>Table1[[#This Row],[GoalsA]]-Table1[[#This Row],[HTGoalsA]]</f>
        <v>1</v>
      </c>
      <c r="T2">
        <f>Table1[[#This Row],[xGoalsA]]-Table1[[#This Row],[xHTGoalsA]]</f>
        <v>2.4746638289474099</v>
      </c>
      <c r="U2">
        <v>4</v>
      </c>
      <c r="V2">
        <v>6.1318412786326801</v>
      </c>
      <c r="W2">
        <v>2</v>
      </c>
      <c r="X2">
        <v>1.9857521418235899</v>
      </c>
      <c r="Y2">
        <v>99</v>
      </c>
      <c r="Z2">
        <v>93.487816480164895</v>
      </c>
      <c r="AA2">
        <v>39</v>
      </c>
      <c r="AB2">
        <v>50.768804720705802</v>
      </c>
      <c r="AC2">
        <v>34</v>
      </c>
      <c r="AD2">
        <v>41.778426923404702</v>
      </c>
      <c r="AE2">
        <v>10</v>
      </c>
      <c r="AF2">
        <v>19.817465771732</v>
      </c>
      <c r="AG2">
        <v>81</v>
      </c>
      <c r="AH2">
        <v>70.218873937613296</v>
      </c>
      <c r="AI2">
        <v>64</v>
      </c>
      <c r="AJ2">
        <v>79.380856934623907</v>
      </c>
      <c r="AK2">
        <v>10</v>
      </c>
      <c r="AL2">
        <v>8.6974350512014507</v>
      </c>
      <c r="AM2">
        <v>12</v>
      </c>
      <c r="AN2">
        <v>11.987478083523101</v>
      </c>
      <c r="AO2">
        <v>1</v>
      </c>
      <c r="AP2">
        <v>0.392396377672524</v>
      </c>
      <c r="AQ2">
        <v>2</v>
      </c>
      <c r="AR2">
        <v>0.73175134641389905</v>
      </c>
    </row>
    <row r="3" spans="1:44" x14ac:dyDescent="0.45">
      <c r="A3">
        <v>5</v>
      </c>
      <c r="B3" t="s">
        <v>44</v>
      </c>
      <c r="C3">
        <v>11</v>
      </c>
      <c r="D3">
        <v>12.691626555401401</v>
      </c>
      <c r="E3">
        <v>3</v>
      </c>
      <c r="F3">
        <v>2</v>
      </c>
      <c r="G3">
        <v>1</v>
      </c>
      <c r="H3">
        <v>3.77303275035784</v>
      </c>
      <c r="I3">
        <v>1.3725283043279</v>
      </c>
      <c r="J3">
        <v>0.85443894531425002</v>
      </c>
      <c r="K3">
        <v>5</v>
      </c>
      <c r="L3">
        <v>6.8269204890405604</v>
      </c>
      <c r="M3">
        <v>9</v>
      </c>
      <c r="N3">
        <v>11.8986162892599</v>
      </c>
      <c r="O3">
        <v>4</v>
      </c>
      <c r="P3">
        <v>5.0716958002193699</v>
      </c>
      <c r="Q3">
        <f>Table1[[#This Row],[GoalsF]]-Table1[[#This Row],[HTGoalsF]]</f>
        <v>8</v>
      </c>
      <c r="R3">
        <f>Table1[[#This Row],[xGoalsF]]-Table1[[#This Row],[xHTGoalsF]]</f>
        <v>6.7172823747018899</v>
      </c>
      <c r="S3">
        <f>Table1[[#This Row],[GoalsA]]-Table1[[#This Row],[HTGoalsA]]</f>
        <v>2</v>
      </c>
      <c r="T3">
        <f>Table1[[#This Row],[xGoalsA]]-Table1[[#This Row],[xHTGoalsA]]</f>
        <v>2.8847516434655698</v>
      </c>
      <c r="U3">
        <v>1</v>
      </c>
      <c r="V3">
        <v>5.1813339145580102</v>
      </c>
      <c r="W3">
        <v>2</v>
      </c>
      <c r="X3">
        <v>2.1869441567538002</v>
      </c>
      <c r="Y3">
        <v>70</v>
      </c>
      <c r="Z3">
        <v>87.7413354480328</v>
      </c>
      <c r="AA3">
        <v>48</v>
      </c>
      <c r="AB3">
        <v>54.5256959786716</v>
      </c>
      <c r="AC3">
        <v>24</v>
      </c>
      <c r="AD3">
        <v>38.412381412603899</v>
      </c>
      <c r="AE3">
        <v>14</v>
      </c>
      <c r="AF3">
        <v>21.407256262125799</v>
      </c>
      <c r="AG3">
        <v>77</v>
      </c>
      <c r="AH3">
        <v>74.277537836887205</v>
      </c>
      <c r="AI3">
        <v>65</v>
      </c>
      <c r="AJ3">
        <v>81.330930602373897</v>
      </c>
      <c r="AK3">
        <v>5</v>
      </c>
      <c r="AL3">
        <v>9.3527155003528293</v>
      </c>
      <c r="AM3">
        <v>6</v>
      </c>
      <c r="AN3">
        <v>11.992807849185899</v>
      </c>
      <c r="AO3">
        <v>0</v>
      </c>
      <c r="AP3">
        <v>0.49889068089553401</v>
      </c>
      <c r="AQ3">
        <v>0</v>
      </c>
      <c r="AR3">
        <v>0.68580290647838105</v>
      </c>
    </row>
    <row r="4" spans="1:44" x14ac:dyDescent="0.45">
      <c r="A4">
        <v>3</v>
      </c>
      <c r="B4" t="s">
        <v>42</v>
      </c>
      <c r="C4">
        <v>10</v>
      </c>
      <c r="D4">
        <v>9.7345796665556996</v>
      </c>
      <c r="E4">
        <v>2</v>
      </c>
      <c r="F4">
        <v>4</v>
      </c>
      <c r="G4">
        <v>0</v>
      </c>
      <c r="H4">
        <v>2.7432506488839699</v>
      </c>
      <c r="I4">
        <v>1.5048277199037701</v>
      </c>
      <c r="J4">
        <v>1.7519216312122401</v>
      </c>
      <c r="K4">
        <v>6</v>
      </c>
      <c r="L4">
        <v>2.28146007774899</v>
      </c>
      <c r="M4">
        <v>10</v>
      </c>
      <c r="N4">
        <v>9.4047744003876694</v>
      </c>
      <c r="O4">
        <v>4</v>
      </c>
      <c r="P4">
        <v>7.1233143226386799</v>
      </c>
      <c r="Q4">
        <f>Table1[[#This Row],[GoalsF]]-Table1[[#This Row],[HTGoalsF]]</f>
        <v>6</v>
      </c>
      <c r="R4">
        <f>Table1[[#This Row],[xGoalsF]]-Table1[[#This Row],[xHTGoalsF]]</f>
        <v>5.2745362184597893</v>
      </c>
      <c r="S4">
        <f>Table1[[#This Row],[GoalsA]]-Table1[[#This Row],[HTGoalsA]]</f>
        <v>1</v>
      </c>
      <c r="T4">
        <f>Table1[[#This Row],[xGoalsA]]-Table1[[#This Row],[xHTGoalsA]]</f>
        <v>3.9654031377215198</v>
      </c>
      <c r="U4">
        <v>4</v>
      </c>
      <c r="V4">
        <v>4.1302381819278802</v>
      </c>
      <c r="W4">
        <v>3</v>
      </c>
      <c r="X4">
        <v>3.1579111849171602</v>
      </c>
      <c r="Y4">
        <v>69</v>
      </c>
      <c r="Z4">
        <v>75.693380816555603</v>
      </c>
      <c r="AA4">
        <v>60</v>
      </c>
      <c r="AB4">
        <v>64.691470709229606</v>
      </c>
      <c r="AC4">
        <v>24</v>
      </c>
      <c r="AD4">
        <v>32.645305195773403</v>
      </c>
      <c r="AE4">
        <v>15</v>
      </c>
      <c r="AF4">
        <v>27.017358588941001</v>
      </c>
      <c r="AG4">
        <v>93</v>
      </c>
      <c r="AH4">
        <v>76.353378048900097</v>
      </c>
      <c r="AI4">
        <v>105</v>
      </c>
      <c r="AJ4">
        <v>78.677076111073404</v>
      </c>
      <c r="AK4">
        <v>11</v>
      </c>
      <c r="AL4">
        <v>9.7406256258901092</v>
      </c>
      <c r="AM4">
        <v>15</v>
      </c>
      <c r="AN4">
        <v>10.734491504805501</v>
      </c>
      <c r="AO4">
        <v>0</v>
      </c>
      <c r="AP4">
        <v>0.53434863797990495</v>
      </c>
      <c r="AQ4">
        <v>0</v>
      </c>
      <c r="AR4">
        <v>0.65483317423215903</v>
      </c>
    </row>
    <row r="5" spans="1:44" x14ac:dyDescent="0.45">
      <c r="A5">
        <v>2</v>
      </c>
      <c r="B5" t="s">
        <v>41</v>
      </c>
      <c r="C5">
        <v>6</v>
      </c>
      <c r="D5">
        <v>7.6335010659199396</v>
      </c>
      <c r="E5">
        <v>1</v>
      </c>
      <c r="F5">
        <v>3</v>
      </c>
      <c r="G5">
        <v>2</v>
      </c>
      <c r="H5">
        <v>2.00891680294685</v>
      </c>
      <c r="I5">
        <v>1.6067506570793699</v>
      </c>
      <c r="J5">
        <v>2.38433253997376</v>
      </c>
      <c r="K5">
        <v>-1</v>
      </c>
      <c r="L5">
        <v>-1.4222849350514699</v>
      </c>
      <c r="M5">
        <v>4</v>
      </c>
      <c r="N5">
        <v>7.4184172255811802</v>
      </c>
      <c r="O5">
        <v>5</v>
      </c>
      <c r="P5">
        <v>8.8407021606326595</v>
      </c>
      <c r="Q5">
        <f>Table1[[#This Row],[GoalsF]]-Table1[[#This Row],[HTGoalsF]]</f>
        <v>2</v>
      </c>
      <c r="R5">
        <f>Table1[[#This Row],[xGoalsF]]-Table1[[#This Row],[xHTGoalsF]]</f>
        <v>4.16421189064397</v>
      </c>
      <c r="S5">
        <f>Table1[[#This Row],[GoalsA]]-Table1[[#This Row],[HTGoalsA]]</f>
        <v>2</v>
      </c>
      <c r="T5">
        <f>Table1[[#This Row],[xGoalsA]]-Table1[[#This Row],[xHTGoalsA]]</f>
        <v>4.9662668595353496</v>
      </c>
      <c r="U5">
        <v>2</v>
      </c>
      <c r="V5">
        <v>3.2542053349372102</v>
      </c>
      <c r="W5">
        <v>3</v>
      </c>
      <c r="X5">
        <v>3.8744353010973098</v>
      </c>
      <c r="Y5">
        <v>50</v>
      </c>
      <c r="Z5">
        <v>66.261502441671894</v>
      </c>
      <c r="AA5">
        <v>80</v>
      </c>
      <c r="AB5">
        <v>72.013220901393197</v>
      </c>
      <c r="AC5">
        <v>25</v>
      </c>
      <c r="AD5">
        <v>28.224748121191901</v>
      </c>
      <c r="AE5">
        <v>23</v>
      </c>
      <c r="AF5">
        <v>31.061383606710201</v>
      </c>
      <c r="AG5">
        <v>91</v>
      </c>
      <c r="AH5">
        <v>79.316052643674894</v>
      </c>
      <c r="AI5">
        <v>86</v>
      </c>
      <c r="AJ5">
        <v>77.141327064616803</v>
      </c>
      <c r="AK5">
        <v>9</v>
      </c>
      <c r="AL5">
        <v>10.692362453056599</v>
      </c>
      <c r="AM5">
        <v>9</v>
      </c>
      <c r="AN5">
        <v>10.2879882394838</v>
      </c>
      <c r="AO5">
        <v>0</v>
      </c>
      <c r="AP5">
        <v>0.60464037427871298</v>
      </c>
      <c r="AQ5">
        <v>1</v>
      </c>
      <c r="AR5">
        <v>0.57826568092711905</v>
      </c>
    </row>
    <row r="6" spans="1:44" x14ac:dyDescent="0.45">
      <c r="A6">
        <v>6</v>
      </c>
      <c r="B6" t="s">
        <v>45</v>
      </c>
      <c r="C6">
        <v>3</v>
      </c>
      <c r="D6">
        <v>6.3856682493623804</v>
      </c>
      <c r="E6">
        <v>0</v>
      </c>
      <c r="F6">
        <v>3</v>
      </c>
      <c r="G6">
        <v>3</v>
      </c>
      <c r="H6">
        <v>1.6048922449380001</v>
      </c>
      <c r="I6">
        <v>1.5709915145483699</v>
      </c>
      <c r="J6">
        <v>2.8241162405136202</v>
      </c>
      <c r="K6">
        <v>-8</v>
      </c>
      <c r="L6">
        <v>-3.1590281522805701</v>
      </c>
      <c r="M6">
        <v>2</v>
      </c>
      <c r="N6">
        <v>6.6776675619798898</v>
      </c>
      <c r="O6">
        <v>10</v>
      </c>
      <c r="P6">
        <v>9.8366957142604701</v>
      </c>
      <c r="Q6">
        <f>Table1[[#This Row],[GoalsF]]-Table1[[#This Row],[HTGoalsF]]</f>
        <v>0</v>
      </c>
      <c r="R6">
        <f>Table1[[#This Row],[xGoalsF]]-Table1[[#This Row],[xHTGoalsF]]</f>
        <v>3.8019552969972796</v>
      </c>
      <c r="S6">
        <f>Table1[[#This Row],[GoalsA]]-Table1[[#This Row],[HTGoalsA]]</f>
        <v>8</v>
      </c>
      <c r="T6">
        <f>Table1[[#This Row],[xGoalsA]]-Table1[[#This Row],[xHTGoalsA]]</f>
        <v>5.5189641883416698</v>
      </c>
      <c r="U6">
        <v>2</v>
      </c>
      <c r="V6">
        <v>2.8757122649826101</v>
      </c>
      <c r="W6">
        <v>2</v>
      </c>
      <c r="X6">
        <v>4.3177315259188003</v>
      </c>
      <c r="Y6">
        <v>92</v>
      </c>
      <c r="Z6">
        <v>61.8459156388125</v>
      </c>
      <c r="AA6">
        <v>78</v>
      </c>
      <c r="AB6">
        <v>77.658872030413704</v>
      </c>
      <c r="AC6">
        <v>21</v>
      </c>
      <c r="AD6">
        <v>25.3969958062195</v>
      </c>
      <c r="AE6">
        <v>29</v>
      </c>
      <c r="AF6">
        <v>33.505551935396802</v>
      </c>
      <c r="AG6">
        <v>75</v>
      </c>
      <c r="AH6">
        <v>78.390516244087394</v>
      </c>
      <c r="AI6">
        <v>99</v>
      </c>
      <c r="AJ6">
        <v>76.217646344884201</v>
      </c>
      <c r="AK6">
        <v>6</v>
      </c>
      <c r="AL6">
        <v>10.843158001573</v>
      </c>
      <c r="AM6">
        <v>8</v>
      </c>
      <c r="AN6">
        <v>9.9021756657506597</v>
      </c>
      <c r="AO6">
        <v>1</v>
      </c>
      <c r="AP6">
        <v>0.65851907748472605</v>
      </c>
      <c r="AQ6">
        <v>0</v>
      </c>
      <c r="AR6">
        <v>0.58248158121692895</v>
      </c>
    </row>
    <row r="7" spans="1:44" x14ac:dyDescent="0.45">
      <c r="A7">
        <v>0</v>
      </c>
      <c r="B7" t="s">
        <v>39</v>
      </c>
      <c r="C7">
        <v>8</v>
      </c>
      <c r="D7">
        <v>6.2467414027560499</v>
      </c>
      <c r="E7">
        <v>2</v>
      </c>
      <c r="F7">
        <v>2</v>
      </c>
      <c r="G7">
        <v>2</v>
      </c>
      <c r="H7">
        <v>1.5070741237917</v>
      </c>
      <c r="I7">
        <v>1.7255190313809401</v>
      </c>
      <c r="J7">
        <v>2.7674068448273501</v>
      </c>
      <c r="K7">
        <v>0</v>
      </c>
      <c r="L7">
        <v>-2.7708560152722099</v>
      </c>
      <c r="M7">
        <v>6</v>
      </c>
      <c r="N7">
        <v>6.5566011659122303</v>
      </c>
      <c r="O7">
        <v>6</v>
      </c>
      <c r="P7">
        <v>9.3274571811844496</v>
      </c>
      <c r="Q7">
        <f>Table1[[#This Row],[GoalsF]]-Table1[[#This Row],[HTGoalsF]]</f>
        <v>2</v>
      </c>
      <c r="R7">
        <f>Table1[[#This Row],[xGoalsF]]-Table1[[#This Row],[xHTGoalsF]]</f>
        <v>3.6327730421817002</v>
      </c>
      <c r="S7">
        <f>Table1[[#This Row],[GoalsA]]-Table1[[#This Row],[HTGoalsA]]</f>
        <v>4</v>
      </c>
      <c r="T7">
        <f>Table1[[#This Row],[xGoalsA]]-Table1[[#This Row],[xHTGoalsA]]</f>
        <v>5.2435767631570096</v>
      </c>
      <c r="U7">
        <v>4</v>
      </c>
      <c r="V7">
        <v>2.9238281237305301</v>
      </c>
      <c r="W7">
        <v>2</v>
      </c>
      <c r="X7">
        <v>4.08388041802744</v>
      </c>
      <c r="Y7">
        <v>54</v>
      </c>
      <c r="Z7">
        <v>61.759219942462202</v>
      </c>
      <c r="AA7">
        <v>54</v>
      </c>
      <c r="AB7">
        <v>74.891820308128999</v>
      </c>
      <c r="AC7">
        <v>17</v>
      </c>
      <c r="AD7">
        <v>25.531133353428</v>
      </c>
      <c r="AE7">
        <v>20</v>
      </c>
      <c r="AF7">
        <v>32.237141426955503</v>
      </c>
      <c r="AG7">
        <v>87</v>
      </c>
      <c r="AH7">
        <v>79.463501393936298</v>
      </c>
      <c r="AI7">
        <v>95</v>
      </c>
      <c r="AJ7">
        <v>76.569461991044093</v>
      </c>
      <c r="AK7">
        <v>7</v>
      </c>
      <c r="AL7">
        <v>11.1594654700096</v>
      </c>
      <c r="AM7">
        <v>5</v>
      </c>
      <c r="AN7">
        <v>9.9155227115179407</v>
      </c>
      <c r="AO7">
        <v>0</v>
      </c>
      <c r="AP7">
        <v>0.72019297128094695</v>
      </c>
      <c r="AQ7">
        <v>0</v>
      </c>
      <c r="AR7">
        <v>0.58436154879386804</v>
      </c>
    </row>
    <row r="8" spans="1:44" x14ac:dyDescent="0.45">
      <c r="A8">
        <v>4</v>
      </c>
      <c r="B8" t="s">
        <v>43</v>
      </c>
      <c r="C8">
        <v>5</v>
      </c>
      <c r="D8">
        <v>4.8478080153010898</v>
      </c>
      <c r="E8">
        <v>1</v>
      </c>
      <c r="F8">
        <v>2</v>
      </c>
      <c r="G8">
        <v>3</v>
      </c>
      <c r="H8">
        <v>1.14746160109957</v>
      </c>
      <c r="I8">
        <v>1.40542321200236</v>
      </c>
      <c r="J8">
        <v>3.4471151868980501</v>
      </c>
      <c r="K8">
        <v>-4</v>
      </c>
      <c r="L8">
        <v>-5.7793211619153499</v>
      </c>
      <c r="M8">
        <v>4</v>
      </c>
      <c r="N8">
        <v>5.6128346766743702</v>
      </c>
      <c r="O8">
        <v>8</v>
      </c>
      <c r="P8">
        <v>11.3921558385897</v>
      </c>
      <c r="Q8">
        <f>Table1[[#This Row],[GoalsF]]-Table1[[#This Row],[HTGoalsF]]</f>
        <v>3</v>
      </c>
      <c r="R8">
        <f>Table1[[#This Row],[xGoalsF]]-Table1[[#This Row],[xHTGoalsF]]</f>
        <v>3.1414828678057201</v>
      </c>
      <c r="S8">
        <f>Table1[[#This Row],[GoalsA]]-Table1[[#This Row],[HTGoalsA]]</f>
        <v>5</v>
      </c>
      <c r="T8">
        <f>Table1[[#This Row],[xGoalsA]]-Table1[[#This Row],[xHTGoalsA]]</f>
        <v>6.3188697636035496</v>
      </c>
      <c r="U8">
        <v>1</v>
      </c>
      <c r="V8">
        <v>2.4713518088686501</v>
      </c>
      <c r="W8">
        <v>3</v>
      </c>
      <c r="X8">
        <v>5.0732860749861501</v>
      </c>
      <c r="Y8">
        <v>49</v>
      </c>
      <c r="Z8">
        <v>56.230931274207101</v>
      </c>
      <c r="AA8">
        <v>96</v>
      </c>
      <c r="AB8">
        <v>85.781964150262596</v>
      </c>
      <c r="AC8">
        <v>14</v>
      </c>
      <c r="AD8">
        <v>22.786976389386801</v>
      </c>
      <c r="AE8">
        <v>34</v>
      </c>
      <c r="AF8">
        <v>37.992149110964498</v>
      </c>
      <c r="AG8">
        <v>94</v>
      </c>
      <c r="AH8">
        <v>79.350509832861107</v>
      </c>
      <c r="AI8">
        <v>77</v>
      </c>
      <c r="AJ8">
        <v>73.3294610251682</v>
      </c>
      <c r="AK8">
        <v>12</v>
      </c>
      <c r="AL8">
        <v>11.4219749591482</v>
      </c>
      <c r="AM8">
        <v>5</v>
      </c>
      <c r="AN8">
        <v>8.9834165879076107</v>
      </c>
      <c r="AO8">
        <v>0</v>
      </c>
      <c r="AP8">
        <v>0.73208311532583503</v>
      </c>
      <c r="AQ8">
        <v>0</v>
      </c>
      <c r="AR8">
        <v>0.44871067185837799</v>
      </c>
    </row>
    <row r="9" spans="1:44" x14ac:dyDescent="0.45">
      <c r="A9">
        <v>7</v>
      </c>
      <c r="B9" t="s">
        <v>46</v>
      </c>
      <c r="C9">
        <v>5</v>
      </c>
      <c r="D9">
        <v>4.76410208290641</v>
      </c>
      <c r="E9">
        <v>1</v>
      </c>
      <c r="F9">
        <v>2</v>
      </c>
      <c r="G9">
        <v>3</v>
      </c>
      <c r="H9">
        <v>1.0626794754251001</v>
      </c>
      <c r="I9">
        <v>1.5760636566311099</v>
      </c>
      <c r="J9">
        <v>3.36125686794378</v>
      </c>
      <c r="K9">
        <v>-5</v>
      </c>
      <c r="L9">
        <v>-5.2858755376841398</v>
      </c>
      <c r="M9">
        <v>2</v>
      </c>
      <c r="N9">
        <v>5.5908874717167203</v>
      </c>
      <c r="O9">
        <v>7</v>
      </c>
      <c r="P9">
        <v>10.876763009400801</v>
      </c>
      <c r="Q9">
        <f>Table1[[#This Row],[GoalsF]]-Table1[[#This Row],[HTGoalsF]]</f>
        <v>0</v>
      </c>
      <c r="R9">
        <f>Table1[[#This Row],[xGoalsF]]-Table1[[#This Row],[xHTGoalsF]]</f>
        <v>3.1289451624186801</v>
      </c>
      <c r="S9">
        <f>Table1[[#This Row],[GoalsA]]-Table1[[#This Row],[HTGoalsA]]</f>
        <v>4</v>
      </c>
      <c r="T9">
        <f>Table1[[#This Row],[xGoalsA]]-Table1[[#This Row],[xHTGoalsA]]</f>
        <v>6.1262505959894407</v>
      </c>
      <c r="U9">
        <v>2</v>
      </c>
      <c r="V9">
        <v>2.4619423092980401</v>
      </c>
      <c r="W9">
        <v>3</v>
      </c>
      <c r="X9">
        <v>4.7505124134113599</v>
      </c>
      <c r="Y9">
        <v>44</v>
      </c>
      <c r="Z9">
        <v>57.833584968076501</v>
      </c>
      <c r="AA9">
        <v>72</v>
      </c>
      <c r="AB9">
        <v>80.521838211178107</v>
      </c>
      <c r="AC9">
        <v>13</v>
      </c>
      <c r="AD9">
        <v>23.598296429922101</v>
      </c>
      <c r="AE9">
        <v>27</v>
      </c>
      <c r="AF9">
        <v>35.335956929104398</v>
      </c>
      <c r="AG9">
        <v>104</v>
      </c>
      <c r="AH9">
        <v>79.543059217925205</v>
      </c>
      <c r="AI9">
        <v>111</v>
      </c>
      <c r="AJ9">
        <v>74.266669082101004</v>
      </c>
      <c r="AK9">
        <v>10</v>
      </c>
      <c r="AL9">
        <v>11.648647853817801</v>
      </c>
      <c r="AM9">
        <v>10</v>
      </c>
      <c r="AN9">
        <v>9.7525042728752105</v>
      </c>
      <c r="AO9">
        <v>2</v>
      </c>
      <c r="AP9">
        <v>0.65458220265424605</v>
      </c>
      <c r="AQ9">
        <v>1</v>
      </c>
      <c r="AR9">
        <v>0.52944652765169598</v>
      </c>
    </row>
    <row r="10" spans="1:44" x14ac:dyDescent="0.45">
      <c r="C10">
        <f>SUBTOTAL(109,Table1[Points])</f>
        <v>62</v>
      </c>
      <c r="D10">
        <f>SUBTOTAL(109,Table1[xPoints])</f>
        <v>66.003065102714672</v>
      </c>
      <c r="E10">
        <f>SUBTOTAL(109,Table1[Wins])</f>
        <v>14</v>
      </c>
      <c r="F10">
        <f>SUBTOTAL(109,Table1[Draws])</f>
        <v>20</v>
      </c>
      <c r="G10">
        <f>SUBTOTAL(109,Table1[Losses])</f>
        <v>14</v>
      </c>
      <c r="H10">
        <f>SUBTOTAL(109,Table1[xWins])</f>
        <v>18.003065102714771</v>
      </c>
      <c r="I10">
        <f>SUBTOTAL(109,Table1[xDraws])</f>
        <v>11.993869794570349</v>
      </c>
      <c r="J10">
        <f>SUBTOTAL(109,Table1[xLosses])</f>
        <v>18.003065102714771</v>
      </c>
      <c r="M10">
        <f>SUBTOTAL(109,Table1[GoalsF])</f>
        <v>47</v>
      </c>
      <c r="N10">
        <f>SUBTOTAL(109,Table1[xGoalsF])</f>
        <v>66.929199997697154</v>
      </c>
      <c r="Q10">
        <f>SUBTOTAL(109,Table1[2HGoalsF])</f>
        <v>27</v>
      </c>
      <c r="R10">
        <f>SUBTOTAL(109,Table1[x2HGoalsF])</f>
        <v>37.49874678076155</v>
      </c>
      <c r="S10">
        <f>SUBTOTAL(109,Table1[2HGoalsA])</f>
        <v>27</v>
      </c>
      <c r="T10">
        <f>SUBTOTAL(109,Table1[x2HGoalsA])</f>
        <v>37.498746780761515</v>
      </c>
      <c r="U10">
        <f>SUBTOTAL(109,Table1[HTGoalsF])</f>
        <v>20</v>
      </c>
      <c r="V10">
        <f>SUBTOTAL(109,Table1[xHTGoalsF])</f>
        <v>29.430453216935611</v>
      </c>
      <c r="W10">
        <f>SUBTOTAL(109,Table1[HTGoalsA])</f>
        <v>20</v>
      </c>
      <c r="Y10">
        <f>SUBTOTAL(109,Table1[ShotsF])</f>
        <v>527</v>
      </c>
      <c r="Z10">
        <f>SUBTOTAL(109,Table1[xShotsF])</f>
        <v>560.85368700998356</v>
      </c>
      <c r="AC10">
        <f>SUBTOTAL(109,Table1[ShotsTF])</f>
        <v>172</v>
      </c>
      <c r="AD10">
        <f>SUBTOTAL(109,Table1[xShotsTF])</f>
        <v>238.37426363193032</v>
      </c>
      <c r="AG10">
        <f>SUBTOTAL(109,Table1[Fouls])</f>
        <v>702</v>
      </c>
      <c r="AH10">
        <f>SUM(Table1[xFouls])</f>
        <v>616.91342915588552</v>
      </c>
      <c r="AI10">
        <f>SUBTOTAL(109,Table1[FoulsA])</f>
        <v>702</v>
      </c>
      <c r="AJ10">
        <f>SUBTOTAL(109,Table1[xFoulsA])</f>
        <v>616.91342915588541</v>
      </c>
      <c r="AK10">
        <f>SUBTOTAL(109,Table1[YCard])</f>
        <v>70</v>
      </c>
      <c r="AL10">
        <f>SUBTOTAL(109,Table1[xYCard])</f>
        <v>83.556384915049591</v>
      </c>
      <c r="AM10">
        <f>SUBTOTAL(109,Table1[YCardA])</f>
        <v>70</v>
      </c>
      <c r="AN10">
        <f>SUBTOTAL(109,Table1[xYCardA])</f>
        <v>83.556384915049733</v>
      </c>
      <c r="AO10">
        <f>SUBTOTAL(109,Table1[RCard])</f>
        <v>4</v>
      </c>
      <c r="AP10">
        <f>SUBTOTAL(109,Table1[xRCard])</f>
        <v>4.7956534375724305</v>
      </c>
      <c r="AQ10">
        <f>SUBTOTAL(109,Table1[RCardA])</f>
        <v>4</v>
      </c>
      <c r="AR10">
        <f>SUBTOTAL(109,Table1[xRCardA])</f>
        <v>4.7956534375724287</v>
      </c>
    </row>
    <row r="12" spans="1:44" x14ac:dyDescent="0.45">
      <c r="AG12">
        <v>702</v>
      </c>
      <c r="AH12">
        <v>616.91342915588552</v>
      </c>
      <c r="AI12">
        <v>702</v>
      </c>
      <c r="AJ12">
        <v>616.91342915588541</v>
      </c>
      <c r="AK12">
        <v>70</v>
      </c>
      <c r="AL12">
        <v>83.556384915049591</v>
      </c>
      <c r="AM12">
        <v>70</v>
      </c>
      <c r="AN12">
        <v>83.556384915049733</v>
      </c>
      <c r="AO12">
        <v>4</v>
      </c>
      <c r="AP12">
        <v>4.7956534375724305</v>
      </c>
      <c r="AQ12">
        <v>4</v>
      </c>
      <c r="AR12">
        <v>4.7956534375724287</v>
      </c>
    </row>
    <row r="14" spans="1:44" x14ac:dyDescent="0.45">
      <c r="AG14" s="4">
        <f>AG12/AH12</f>
        <v>1.1379230323459442</v>
      </c>
      <c r="AI14" s="4">
        <f>AI12/AJ12</f>
        <v>1.1379230323459444</v>
      </c>
      <c r="AK14" s="4">
        <f>AK12/AL12</f>
        <v>0.83775764199429947</v>
      </c>
      <c r="AM14" s="4">
        <f>AM12/AN12</f>
        <v>0.83775764199429803</v>
      </c>
      <c r="AO14" s="4">
        <f>AO12/AP12</f>
        <v>0.83408862881151147</v>
      </c>
    </row>
    <row r="15" spans="1:44" x14ac:dyDescent="0.45">
      <c r="C15">
        <v>62</v>
      </c>
      <c r="D15">
        <v>66.003065102714672</v>
      </c>
      <c r="E15">
        <v>14</v>
      </c>
      <c r="F15">
        <v>20</v>
      </c>
      <c r="G15">
        <v>14</v>
      </c>
      <c r="H15">
        <v>18.003065102714771</v>
      </c>
      <c r="I15">
        <v>11.993869794570349</v>
      </c>
      <c r="J15">
        <v>18.003065102714771</v>
      </c>
      <c r="M15">
        <v>47</v>
      </c>
      <c r="N15">
        <v>66.929199997697154</v>
      </c>
      <c r="Q15">
        <v>27</v>
      </c>
      <c r="R15">
        <v>37.49874678076155</v>
      </c>
      <c r="S15">
        <v>27</v>
      </c>
      <c r="T15">
        <v>37.498746780761515</v>
      </c>
      <c r="U15">
        <v>20</v>
      </c>
      <c r="V15">
        <v>29.430453216935611</v>
      </c>
      <c r="Y15">
        <v>527</v>
      </c>
      <c r="Z15">
        <v>560.85368700998356</v>
      </c>
      <c r="AC15">
        <v>172</v>
      </c>
      <c r="AD15">
        <v>238.37426363193032</v>
      </c>
    </row>
    <row r="17" spans="3:29" x14ac:dyDescent="0.45">
      <c r="C17">
        <f>C15/D15</f>
        <v>0.93935031507271582</v>
      </c>
      <c r="E17">
        <f>E15/H15</f>
        <v>0.77764535761684661</v>
      </c>
      <c r="F17">
        <f>F15/I15</f>
        <v>1.6675185192567326</v>
      </c>
      <c r="M17" s="4">
        <f>M15/N15</f>
        <v>0.70223460016879236</v>
      </c>
      <c r="Q17" s="4">
        <f>Q15/R15</f>
        <v>0.72002406261353102</v>
      </c>
      <c r="U17" s="4">
        <f>U15/V15</f>
        <v>0.67956819599676088</v>
      </c>
      <c r="Y17" s="4">
        <f>Y15/Z15</f>
        <v>0.93963900426426017</v>
      </c>
      <c r="AC17" s="4">
        <f>AC15/AD15</f>
        <v>0.72155440515836178</v>
      </c>
    </row>
  </sheetData>
  <phoneticPr fontId="2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14"/>
  <sheetViews>
    <sheetView topLeftCell="K1" workbookViewId="0">
      <selection activeCell="T9" sqref="T9"/>
    </sheetView>
  </sheetViews>
  <sheetFormatPr defaultRowHeight="14.25" x14ac:dyDescent="0.45"/>
  <cols>
    <col min="3" max="3" width="9.73046875" bestFit="1" customWidth="1"/>
    <col min="6" max="6" width="10.06640625" bestFit="1" customWidth="1"/>
    <col min="9" max="9" width="10.6640625" bestFit="1" customWidth="1"/>
    <col min="11" max="11" width="9.53125" customWidth="1"/>
    <col min="12" max="12" width="11" bestFit="1" customWidth="1"/>
    <col min="14" max="15" width="9.796875" customWidth="1"/>
    <col min="24" max="24" width="10.19921875" bestFit="1" customWidth="1"/>
    <col min="26" max="27" width="9.1328125" customWidth="1"/>
    <col min="30" max="30" width="10.265625" bestFit="1" customWidth="1"/>
    <col min="32" max="32" width="9.265625" customWidth="1"/>
  </cols>
  <sheetData>
    <row r="1" spans="2:32" x14ac:dyDescent="0.45">
      <c r="B1" t="s">
        <v>0</v>
      </c>
      <c r="C1" t="s">
        <v>49</v>
      </c>
      <c r="D1" t="s">
        <v>19</v>
      </c>
      <c r="E1" t="s">
        <v>20</v>
      </c>
      <c r="F1" t="s">
        <v>50</v>
      </c>
      <c r="G1" t="s">
        <v>21</v>
      </c>
      <c r="H1" t="s">
        <v>22</v>
      </c>
      <c r="I1" t="s">
        <v>52</v>
      </c>
      <c r="J1" t="s">
        <v>23</v>
      </c>
      <c r="K1" t="s">
        <v>24</v>
      </c>
      <c r="L1" t="s">
        <v>53</v>
      </c>
      <c r="M1" t="s">
        <v>25</v>
      </c>
      <c r="N1" t="s">
        <v>26</v>
      </c>
      <c r="O1" t="s">
        <v>54</v>
      </c>
      <c r="P1" t="s">
        <v>27</v>
      </c>
      <c r="Q1" t="s">
        <v>28</v>
      </c>
      <c r="R1" t="s">
        <v>55</v>
      </c>
      <c r="S1" t="s">
        <v>29</v>
      </c>
      <c r="T1" t="s">
        <v>30</v>
      </c>
      <c r="U1" t="s">
        <v>56</v>
      </c>
      <c r="V1" t="s">
        <v>31</v>
      </c>
      <c r="W1" t="s">
        <v>32</v>
      </c>
      <c r="X1" t="s">
        <v>57</v>
      </c>
      <c r="Y1" t="s">
        <v>33</v>
      </c>
      <c r="Z1" t="s">
        <v>34</v>
      </c>
      <c r="AA1" t="s">
        <v>58</v>
      </c>
      <c r="AB1" t="s">
        <v>35</v>
      </c>
      <c r="AC1" t="s">
        <v>36</v>
      </c>
      <c r="AD1" t="s">
        <v>59</v>
      </c>
      <c r="AE1" t="s">
        <v>37</v>
      </c>
      <c r="AF1" t="s">
        <v>38</v>
      </c>
    </row>
    <row r="2" spans="2:32" x14ac:dyDescent="0.45">
      <c r="B2" t="s">
        <v>40</v>
      </c>
      <c r="C2" s="4">
        <f>Table3[[#This Row],[ShotsF]]/Table3[[#This Row],[xShotsF]]</f>
        <v>1.0589615174187388</v>
      </c>
      <c r="D2">
        <v>99</v>
      </c>
      <c r="E2">
        <v>93.487816480164895</v>
      </c>
      <c r="F2" s="4">
        <f>Table3[[#This Row],[ShotsA]]/Table3[[#This Row],[xShotsA]]</f>
        <v>0.76818826471394241</v>
      </c>
      <c r="G2">
        <v>39</v>
      </c>
      <c r="H2">
        <v>50.768804720705802</v>
      </c>
      <c r="I2" s="4">
        <f>Table3[[#This Row],[ShotsTF]]/Table3[[#This Row],[xShotsTF]]</f>
        <v>0.81381714209428146</v>
      </c>
      <c r="J2">
        <v>34</v>
      </c>
      <c r="K2">
        <v>41.778426923404702</v>
      </c>
      <c r="L2">
        <f>Table3[[#This Row],[ShotsTA]]/Table3[[#This Row],[xShotsTA]]</f>
        <v>0.5046053877516562</v>
      </c>
      <c r="M2">
        <v>10</v>
      </c>
      <c r="N2">
        <v>19.817465771732</v>
      </c>
      <c r="O2">
        <f>Table3[[#This Row],[Fouls]]/Table3[[#This Row],[xFouls]]</f>
        <v>1.1535360147182838</v>
      </c>
      <c r="P2">
        <v>81</v>
      </c>
      <c r="Q2">
        <v>70.218873937613296</v>
      </c>
      <c r="R2">
        <f>Table3[[#This Row],[FoulsA]]/Table3[[#This Row],[xFoulsA]]</f>
        <v>0.80623972165869662</v>
      </c>
      <c r="S2">
        <v>64</v>
      </c>
      <c r="T2">
        <v>79.380856934623907</v>
      </c>
      <c r="U2">
        <f>Table3[[#This Row],[YCard]]/Table3[[#This Row],[xYCard]]</f>
        <v>1.1497642628120133</v>
      </c>
      <c r="V2">
        <v>10</v>
      </c>
      <c r="W2">
        <v>8.6974350512014507</v>
      </c>
      <c r="X2">
        <f>Table3[[#This Row],[YCardA]]/Table3[[#This Row],[xYCardA]]</f>
        <v>1.0010445830548889</v>
      </c>
      <c r="Y2">
        <v>12</v>
      </c>
      <c r="Z2">
        <v>11.987478083523101</v>
      </c>
      <c r="AA2">
        <f>Table3[[#This Row],[RCard]]/Table3[[#This Row],[xRCard]]</f>
        <v>2.5484435048341707</v>
      </c>
      <c r="AB2">
        <v>1</v>
      </c>
      <c r="AC2">
        <v>0.392396377672524</v>
      </c>
      <c r="AD2" s="4">
        <f>Table3[[#This Row],[RCardA]]/Table3[[#This Row],[xRCardA]]</f>
        <v>2.7331688691813407</v>
      </c>
      <c r="AE2">
        <v>2</v>
      </c>
      <c r="AF2">
        <v>0.73175134641389905</v>
      </c>
    </row>
    <row r="3" spans="2:32" x14ac:dyDescent="0.45">
      <c r="B3" t="s">
        <v>44</v>
      </c>
      <c r="C3" s="4">
        <f>Table3[[#This Row],[ShotsF]]/Table3[[#This Row],[xShotsF]]</f>
        <v>0.79779957351412112</v>
      </c>
      <c r="D3">
        <v>70</v>
      </c>
      <c r="E3">
        <v>87.7413354480328</v>
      </c>
      <c r="F3" s="4">
        <f>Table3[[#This Row],[ShotsA]]/Table3[[#This Row],[xShotsA]]</f>
        <v>0.88031888705787076</v>
      </c>
      <c r="G3">
        <v>48</v>
      </c>
      <c r="H3">
        <v>54.5256959786716</v>
      </c>
      <c r="I3" s="4">
        <f>Table3[[#This Row],[ShotsTF]]/Table3[[#This Row],[xShotsTF]]</f>
        <v>0.62479854456836936</v>
      </c>
      <c r="J3">
        <v>24</v>
      </c>
      <c r="K3">
        <v>38.412381412603899</v>
      </c>
      <c r="L3">
        <f>Table3[[#This Row],[ShotsTA]]/Table3[[#This Row],[xShotsTA]]</f>
        <v>0.65398385615484578</v>
      </c>
      <c r="M3">
        <v>14</v>
      </c>
      <c r="N3">
        <v>21.407256262125799</v>
      </c>
      <c r="O3">
        <f>Table3[[#This Row],[Fouls]]/Table3[[#This Row],[xFouls]]</f>
        <v>1.0366525633777912</v>
      </c>
      <c r="P3">
        <v>77</v>
      </c>
      <c r="Q3">
        <v>74.277537836887205</v>
      </c>
      <c r="R3">
        <f>Table3[[#This Row],[FoulsA]]/Table3[[#This Row],[xFoulsA]]</f>
        <v>0.79920393777103504</v>
      </c>
      <c r="S3">
        <v>65</v>
      </c>
      <c r="T3">
        <v>81.330930602373897</v>
      </c>
      <c r="U3">
        <f>Table3[[#This Row],[YCard]]/Table3[[#This Row],[xYCard]]</f>
        <v>0.53460409437359402</v>
      </c>
      <c r="V3">
        <v>5</v>
      </c>
      <c r="W3">
        <v>9.3527155003528293</v>
      </c>
      <c r="X3">
        <f>Table3[[#This Row],[YCardA]]/Table3[[#This Row],[xYCardA]]</f>
        <v>0.50029985266605392</v>
      </c>
      <c r="Y3">
        <v>6</v>
      </c>
      <c r="Z3">
        <v>11.992807849185899</v>
      </c>
      <c r="AA3">
        <f>Table3[[#This Row],[RCard]]/Table3[[#This Row],[xRCard]]</f>
        <v>0</v>
      </c>
      <c r="AB3">
        <v>0</v>
      </c>
      <c r="AC3">
        <v>0.49889068089553401</v>
      </c>
      <c r="AD3" s="4">
        <f>Table3[[#This Row],[RCardA]]/Table3[[#This Row],[xRCardA]]</f>
        <v>0</v>
      </c>
      <c r="AE3">
        <v>0</v>
      </c>
      <c r="AF3">
        <v>0.68580290647838105</v>
      </c>
    </row>
    <row r="4" spans="2:32" x14ac:dyDescent="0.45">
      <c r="B4" t="s">
        <v>42</v>
      </c>
      <c r="C4" s="4">
        <f>Table3[[#This Row],[ShotsF]]/Table3[[#This Row],[xShotsF]]</f>
        <v>0.91157244207684229</v>
      </c>
      <c r="D4">
        <v>69</v>
      </c>
      <c r="E4">
        <v>75.693380816555603</v>
      </c>
      <c r="F4" s="4">
        <f>Table3[[#This Row],[ShotsA]]/Table3[[#This Row],[xShotsA]]</f>
        <v>0.927479300473528</v>
      </c>
      <c r="G4">
        <v>60</v>
      </c>
      <c r="H4">
        <v>64.691470709229606</v>
      </c>
      <c r="I4" s="4">
        <f>Table3[[#This Row],[ShotsTF]]/Table3[[#This Row],[xShotsTF]]</f>
        <v>0.73517462483724261</v>
      </c>
      <c r="J4">
        <v>24</v>
      </c>
      <c r="K4">
        <v>32.645305195773403</v>
      </c>
      <c r="L4">
        <f>Table3[[#This Row],[ShotsTA]]/Table3[[#This Row],[xShotsTA]]</f>
        <v>0.55519861242615853</v>
      </c>
      <c r="M4">
        <v>15</v>
      </c>
      <c r="N4">
        <v>27.017358588941001</v>
      </c>
      <c r="O4">
        <f>Table3[[#This Row],[Fouls]]/Table3[[#This Row],[xFouls]]</f>
        <v>1.2180207657667572</v>
      </c>
      <c r="P4">
        <v>93</v>
      </c>
      <c r="Q4">
        <v>76.353378048900097</v>
      </c>
      <c r="R4">
        <f>Table3[[#This Row],[FoulsA]]/Table3[[#This Row],[xFoulsA]]</f>
        <v>1.3345691679208422</v>
      </c>
      <c r="S4">
        <v>105</v>
      </c>
      <c r="T4">
        <v>78.677076111073404</v>
      </c>
      <c r="U4">
        <f>Table3[[#This Row],[YCard]]/Table3[[#This Row],[xYCard]]</f>
        <v>1.1292909123580865</v>
      </c>
      <c r="V4">
        <v>11</v>
      </c>
      <c r="W4">
        <v>9.7406256258901092</v>
      </c>
      <c r="X4">
        <f>Table3[[#This Row],[YCardA]]/Table3[[#This Row],[xYCardA]]</f>
        <v>1.3973647464609724</v>
      </c>
      <c r="Y4">
        <v>15</v>
      </c>
      <c r="Z4">
        <v>10.734491504805501</v>
      </c>
      <c r="AA4">
        <f>Table3[[#This Row],[RCard]]/Table3[[#This Row],[xRCard]]</f>
        <v>0</v>
      </c>
      <c r="AB4">
        <v>0</v>
      </c>
      <c r="AC4">
        <v>0.53434863797990495</v>
      </c>
      <c r="AD4" s="4">
        <f>Table3[[#This Row],[RCardA]]/Table3[[#This Row],[xRCardA]]</f>
        <v>0</v>
      </c>
      <c r="AE4">
        <v>0</v>
      </c>
      <c r="AF4">
        <v>0.65483317423215903</v>
      </c>
    </row>
    <row r="5" spans="2:32" x14ac:dyDescent="0.45">
      <c r="B5" t="s">
        <v>41</v>
      </c>
      <c r="C5" s="4">
        <f>Table3[[#This Row],[ShotsF]]/Table3[[#This Row],[xShotsF]]</f>
        <v>0.75458596858731919</v>
      </c>
      <c r="D5">
        <v>50</v>
      </c>
      <c r="E5">
        <v>66.261502441671894</v>
      </c>
      <c r="F5" s="4">
        <f>Table3[[#This Row],[ShotsA]]/Table3[[#This Row],[xShotsA]]</f>
        <v>1.1109071223122071</v>
      </c>
      <c r="G5">
        <v>80</v>
      </c>
      <c r="H5">
        <v>72.013220901393197</v>
      </c>
      <c r="I5" s="4">
        <f>Table3[[#This Row],[ShotsTF]]/Table3[[#This Row],[xShotsTF]]</f>
        <v>0.88574749693618438</v>
      </c>
      <c r="J5">
        <v>25</v>
      </c>
      <c r="K5">
        <v>28.224748121191901</v>
      </c>
      <c r="L5">
        <f>Table3[[#This Row],[ShotsTA]]/Table3[[#This Row],[xShotsTA]]</f>
        <v>0.74046926856894113</v>
      </c>
      <c r="M5">
        <v>23</v>
      </c>
      <c r="N5">
        <v>31.061383606710201</v>
      </c>
      <c r="O5">
        <f>Table3[[#This Row],[Fouls]]/Table3[[#This Row],[xFouls]]</f>
        <v>1.1473087346998332</v>
      </c>
      <c r="P5">
        <v>91</v>
      </c>
      <c r="Q5">
        <v>79.316052643674894</v>
      </c>
      <c r="R5">
        <f>Table3[[#This Row],[FoulsA]]/Table3[[#This Row],[xFoulsA]]</f>
        <v>1.1148369268778953</v>
      </c>
      <c r="S5">
        <v>86</v>
      </c>
      <c r="T5">
        <v>77.141327064616803</v>
      </c>
      <c r="U5">
        <f>Table3[[#This Row],[YCard]]/Table3[[#This Row],[xYCard]]</f>
        <v>0.84172230781675306</v>
      </c>
      <c r="V5">
        <v>9</v>
      </c>
      <c r="W5">
        <v>10.692362453056599</v>
      </c>
      <c r="X5">
        <f>Table3[[#This Row],[YCardA]]/Table3[[#This Row],[xYCardA]]</f>
        <v>0.87480659877305367</v>
      </c>
      <c r="Y5">
        <v>9</v>
      </c>
      <c r="Z5">
        <v>10.2879882394838</v>
      </c>
      <c r="AA5">
        <f>Table3[[#This Row],[RCard]]/Table3[[#This Row],[xRCard]]</f>
        <v>0</v>
      </c>
      <c r="AB5">
        <v>0</v>
      </c>
      <c r="AC5">
        <v>0.60464037427871298</v>
      </c>
      <c r="AD5" s="4">
        <f>Table3[[#This Row],[RCardA]]/Table3[[#This Row],[xRCardA]]</f>
        <v>1.729308919728255</v>
      </c>
      <c r="AE5">
        <v>1</v>
      </c>
      <c r="AF5">
        <v>0.57826568092711905</v>
      </c>
    </row>
    <row r="6" spans="2:32" x14ac:dyDescent="0.45">
      <c r="B6" t="s">
        <v>45</v>
      </c>
      <c r="C6" s="4">
        <f>Table3[[#This Row],[ShotsF]]/Table3[[#This Row],[xShotsF]]</f>
        <v>1.4875679185880428</v>
      </c>
      <c r="D6">
        <v>92</v>
      </c>
      <c r="E6">
        <v>61.8459156388125</v>
      </c>
      <c r="F6" s="4">
        <f>Table3[[#This Row],[ShotsA]]/Table3[[#This Row],[xShotsA]]</f>
        <v>1.0043926464635322</v>
      </c>
      <c r="G6">
        <v>78</v>
      </c>
      <c r="H6">
        <v>77.658872030413704</v>
      </c>
      <c r="I6" s="4">
        <f>Table3[[#This Row],[ShotsTF]]/Table3[[#This Row],[xShotsTF]]</f>
        <v>0.82686945181355997</v>
      </c>
      <c r="J6">
        <v>21</v>
      </c>
      <c r="K6">
        <v>25.3969958062195</v>
      </c>
      <c r="L6">
        <f>Table3[[#This Row],[ShotsTA]]/Table3[[#This Row],[xShotsTA]]</f>
        <v>0.86552819830922023</v>
      </c>
      <c r="M6">
        <v>29</v>
      </c>
      <c r="N6">
        <v>33.505551935396802</v>
      </c>
      <c r="O6">
        <f>Table3[[#This Row],[Fouls]]/Table3[[#This Row],[xFouls]]</f>
        <v>0.956748387349176</v>
      </c>
      <c r="P6">
        <v>75</v>
      </c>
      <c r="Q6">
        <v>78.390516244087394</v>
      </c>
      <c r="R6">
        <f>Table3[[#This Row],[FoulsA]]/Table3[[#This Row],[xFoulsA]]</f>
        <v>1.2989117973025019</v>
      </c>
      <c r="S6">
        <v>99</v>
      </c>
      <c r="T6">
        <v>76.217646344884201</v>
      </c>
      <c r="U6">
        <f>Table3[[#This Row],[YCard]]/Table3[[#This Row],[xYCard]]</f>
        <v>0.55334433004938133</v>
      </c>
      <c r="V6">
        <v>6</v>
      </c>
      <c r="W6">
        <v>10.843158001573</v>
      </c>
      <c r="X6">
        <f>Table3[[#This Row],[YCardA]]/Table3[[#This Row],[xYCardA]]</f>
        <v>0.80790325985330214</v>
      </c>
      <c r="Y6">
        <v>8</v>
      </c>
      <c r="Z6">
        <v>9.9021756657506597</v>
      </c>
      <c r="AA6">
        <f>Table3[[#This Row],[RCard]]/Table3[[#This Row],[xRCard]]</f>
        <v>1.518558890988537</v>
      </c>
      <c r="AB6">
        <v>1</v>
      </c>
      <c r="AC6">
        <v>0.65851907748472605</v>
      </c>
      <c r="AD6" s="4">
        <f>Table3[[#This Row],[RCardA]]/Table3[[#This Row],[xRCardA]]</f>
        <v>0</v>
      </c>
      <c r="AE6">
        <v>0</v>
      </c>
      <c r="AF6">
        <v>0.58248158121692895</v>
      </c>
    </row>
    <row r="7" spans="2:32" x14ac:dyDescent="0.45">
      <c r="B7" t="s">
        <v>39</v>
      </c>
      <c r="C7" s="4">
        <f>Table3[[#This Row],[ShotsF]]/Table3[[#This Row],[xShotsF]]</f>
        <v>0.87436337522250029</v>
      </c>
      <c r="D7">
        <v>54</v>
      </c>
      <c r="E7">
        <v>61.759219942462202</v>
      </c>
      <c r="F7" s="4">
        <f>Table3[[#This Row],[ShotsA]]/Table3[[#This Row],[xShotsA]]</f>
        <v>0.72104002516999399</v>
      </c>
      <c r="G7">
        <v>54</v>
      </c>
      <c r="H7">
        <v>74.891820308128999</v>
      </c>
      <c r="I7" s="4">
        <f>Table3[[#This Row],[ShotsTF]]/Table3[[#This Row],[xShotsTF]]</f>
        <v>0.66585371533134285</v>
      </c>
      <c r="J7">
        <v>17</v>
      </c>
      <c r="K7">
        <v>25.531133353428</v>
      </c>
      <c r="L7">
        <f>Table3[[#This Row],[ShotsTA]]/Table3[[#This Row],[xShotsTA]]</f>
        <v>0.62040240277870118</v>
      </c>
      <c r="M7">
        <v>20</v>
      </c>
      <c r="N7">
        <v>32.237141426955503</v>
      </c>
      <c r="O7">
        <f>Table3[[#This Row],[Fouls]]/Table3[[#This Row],[xFouls]]</f>
        <v>1.0948422668754789</v>
      </c>
      <c r="P7">
        <v>87</v>
      </c>
      <c r="Q7">
        <v>79.463501393936298</v>
      </c>
      <c r="R7">
        <f>Table3[[#This Row],[FoulsA]]/Table3[[#This Row],[xFoulsA]]</f>
        <v>1.2407035067206247</v>
      </c>
      <c r="S7">
        <v>95</v>
      </c>
      <c r="T7">
        <v>76.569461991044093</v>
      </c>
      <c r="U7">
        <f>Table3[[#This Row],[YCard]]/Table3[[#This Row],[xYCard]]</f>
        <v>0.62727018769958864</v>
      </c>
      <c r="V7">
        <v>7</v>
      </c>
      <c r="W7">
        <v>11.1594654700096</v>
      </c>
      <c r="X7">
        <f>Table3[[#This Row],[YCardA]]/Table3[[#This Row],[xYCardA]]</f>
        <v>0.50425985048594213</v>
      </c>
      <c r="Y7">
        <v>5</v>
      </c>
      <c r="Z7">
        <v>9.9155227115179407</v>
      </c>
      <c r="AA7">
        <f>Table3[[#This Row],[RCard]]/Table3[[#This Row],[xRCard]]</f>
        <v>0</v>
      </c>
      <c r="AB7">
        <v>0</v>
      </c>
      <c r="AC7">
        <v>0.72019297128094695</v>
      </c>
      <c r="AD7" s="4">
        <f>Table3[[#This Row],[RCardA]]/Table3[[#This Row],[xRCardA]]</f>
        <v>0</v>
      </c>
      <c r="AE7">
        <v>0</v>
      </c>
      <c r="AF7">
        <v>0.58436154879386804</v>
      </c>
    </row>
    <row r="8" spans="2:32" x14ac:dyDescent="0.45">
      <c r="B8" t="s">
        <v>43</v>
      </c>
      <c r="C8" s="4">
        <f>Table3[[#This Row],[ShotsF]]/Table3[[#This Row],[xShotsF]]</f>
        <v>0.87140651754555054</v>
      </c>
      <c r="D8">
        <v>49</v>
      </c>
      <c r="E8">
        <v>56.230931274207101</v>
      </c>
      <c r="F8" s="4">
        <f>Table3[[#This Row],[ShotsA]]/Table3[[#This Row],[xShotsA]]</f>
        <v>1.1191163661377428</v>
      </c>
      <c r="G8">
        <v>96</v>
      </c>
      <c r="H8">
        <v>85.781964150262596</v>
      </c>
      <c r="I8" s="4">
        <f>Table3[[#This Row],[ShotsTF]]/Table3[[#This Row],[xShotsTF]]</f>
        <v>0.61438603177386009</v>
      </c>
      <c r="J8">
        <v>14</v>
      </c>
      <c r="K8">
        <v>22.786976389386801</v>
      </c>
      <c r="L8">
        <f>Table3[[#This Row],[ShotsTA]]/Table3[[#This Row],[xShotsTA]]</f>
        <v>0.8949217350325579</v>
      </c>
      <c r="M8">
        <v>34</v>
      </c>
      <c r="N8">
        <v>37.992149110964498</v>
      </c>
      <c r="O8">
        <f>Table3[[#This Row],[Fouls]]/Table3[[#This Row],[xFouls]]</f>
        <v>1.1846174674617171</v>
      </c>
      <c r="P8">
        <v>94</v>
      </c>
      <c r="Q8">
        <v>79.350509832861107</v>
      </c>
      <c r="R8">
        <f>Table3[[#This Row],[FoulsA]]/Table3[[#This Row],[xFoulsA]]</f>
        <v>1.0500554473402171</v>
      </c>
      <c r="S8">
        <v>77</v>
      </c>
      <c r="T8">
        <v>73.3294610251682</v>
      </c>
      <c r="U8">
        <f>Table3[[#This Row],[YCard]]/Table3[[#This Row],[xYCard]]</f>
        <v>1.0506064006372946</v>
      </c>
      <c r="V8">
        <v>12</v>
      </c>
      <c r="W8">
        <v>11.4219749591482</v>
      </c>
      <c r="X8">
        <f>Table3[[#This Row],[YCardA]]/Table3[[#This Row],[xYCardA]]</f>
        <v>0.55658111266156751</v>
      </c>
      <c r="Y8">
        <v>5</v>
      </c>
      <c r="Z8">
        <v>8.9834165879076107</v>
      </c>
      <c r="AA8">
        <f>Table3[[#This Row],[RCard]]/Table3[[#This Row],[xRCard]]</f>
        <v>0</v>
      </c>
      <c r="AB8">
        <v>0</v>
      </c>
      <c r="AC8">
        <v>0.73208311532583503</v>
      </c>
      <c r="AD8" s="4">
        <f>Table3[[#This Row],[RCardA]]/Table3[[#This Row],[xRCardA]]</f>
        <v>0</v>
      </c>
      <c r="AE8">
        <v>0</v>
      </c>
      <c r="AF8">
        <v>0.44871067185837799</v>
      </c>
    </row>
    <row r="9" spans="2:32" x14ac:dyDescent="0.45">
      <c r="B9" t="s">
        <v>46</v>
      </c>
      <c r="C9" s="4">
        <f>Table3[[#This Row],[ShotsF]]/Table3[[#This Row],[xShotsF]]</f>
        <v>0.76080360614489861</v>
      </c>
      <c r="D9">
        <v>44</v>
      </c>
      <c r="E9">
        <v>57.833584968076501</v>
      </c>
      <c r="F9" s="4">
        <f>Table3[[#This Row],[ShotsA]]/Table3[[#This Row],[xShotsA]]</f>
        <v>0.89416736626368898</v>
      </c>
      <c r="G9">
        <v>72</v>
      </c>
      <c r="H9">
        <v>80.521838211178107</v>
      </c>
      <c r="I9" s="4">
        <f>Table3[[#This Row],[ShotsTF]]/Table3[[#This Row],[xShotsTF]]</f>
        <v>0.55088722351653729</v>
      </c>
      <c r="J9">
        <v>13</v>
      </c>
      <c r="K9">
        <v>23.598296429922101</v>
      </c>
      <c r="L9">
        <f>Table3[[#This Row],[ShotsTA]]/Table3[[#This Row],[xShotsTA]]</f>
        <v>0.76409420733025335</v>
      </c>
      <c r="M9">
        <v>27</v>
      </c>
      <c r="N9">
        <v>35.335956929104398</v>
      </c>
      <c r="O9">
        <f>Table3[[#This Row],[Fouls]]/Table3[[#This Row],[xFouls]]</f>
        <v>1.3074679428040326</v>
      </c>
      <c r="P9">
        <v>104</v>
      </c>
      <c r="Q9">
        <v>79.543059217925205</v>
      </c>
      <c r="R9">
        <f>Table3[[#This Row],[FoulsA]]/Table3[[#This Row],[xFoulsA]]</f>
        <v>1.4946139549801365</v>
      </c>
      <c r="S9">
        <v>111</v>
      </c>
      <c r="T9">
        <v>74.266669082101004</v>
      </c>
      <c r="U9">
        <f>Table3[[#This Row],[YCard]]/Table3[[#This Row],[xYCard]]</f>
        <v>0.85846873607073093</v>
      </c>
      <c r="V9">
        <v>10</v>
      </c>
      <c r="W9">
        <v>11.648647853817801</v>
      </c>
      <c r="X9">
        <f>Table3[[#This Row],[YCardA]]/Table3[[#This Row],[xYCardA]]</f>
        <v>1.0253776589273744</v>
      </c>
      <c r="Y9">
        <v>10</v>
      </c>
      <c r="Z9">
        <v>9.7525042728752105</v>
      </c>
      <c r="AA9">
        <f>Table3[[#This Row],[RCard]]/Table3[[#This Row],[xRCard]]</f>
        <v>3.0553840173018134</v>
      </c>
      <c r="AB9">
        <v>2</v>
      </c>
      <c r="AC9">
        <v>0.65458220265424605</v>
      </c>
      <c r="AD9" s="4">
        <f>Table3[[#This Row],[RCardA]]/Table3[[#This Row],[xRCardA]]</f>
        <v>1.8887648662753425</v>
      </c>
      <c r="AE9">
        <v>1</v>
      </c>
      <c r="AF9">
        <v>0.52944652765169598</v>
      </c>
    </row>
    <row r="12" spans="2:32" x14ac:dyDescent="0.45">
      <c r="B12" t="s">
        <v>49</v>
      </c>
    </row>
    <row r="13" spans="2:32" x14ac:dyDescent="0.45">
      <c r="B13" t="s">
        <v>50</v>
      </c>
    </row>
    <row r="14" spans="2:32" x14ac:dyDescent="0.45">
      <c r="B14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N13" sqref="N13"/>
    </sheetView>
  </sheetViews>
  <sheetFormatPr defaultRowHeight="14.25" x14ac:dyDescent="0.45"/>
  <cols>
    <col min="1" max="1" width="7.796875" bestFit="1" customWidth="1"/>
    <col min="2" max="2" width="15.265625" bestFit="1" customWidth="1"/>
    <col min="12" max="13" width="9.9296875" customWidth="1"/>
    <col min="16" max="16" width="0" hidden="1" customWidth="1"/>
  </cols>
  <sheetData>
    <row r="1" spans="1:20" ht="46.5" customHeight="1" thickTop="1" thickBot="1" x14ac:dyDescent="0.5">
      <c r="A1" s="1" t="s">
        <v>47</v>
      </c>
      <c r="B1" s="2" t="s">
        <v>48</v>
      </c>
      <c r="C1" s="11" t="s">
        <v>1</v>
      </c>
      <c r="D1" s="12" t="s">
        <v>2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10" t="s">
        <v>60</v>
      </c>
      <c r="N1" s="2" t="s">
        <v>11</v>
      </c>
      <c r="O1" s="2" t="s">
        <v>12</v>
      </c>
      <c r="P1" s="10" t="s">
        <v>61</v>
      </c>
      <c r="Q1" s="2" t="s">
        <v>13</v>
      </c>
      <c r="R1" s="2" t="s">
        <v>14</v>
      </c>
    </row>
    <row r="2" spans="1:20" ht="24" thickTop="1" thickBot="1" x14ac:dyDescent="0.5">
      <c r="A2" s="3">
        <v>1</v>
      </c>
      <c r="B2" s="7" t="s">
        <v>40</v>
      </c>
      <c r="C2" s="5">
        <v>14</v>
      </c>
      <c r="D2" s="13">
        <v>13.699038064511701</v>
      </c>
      <c r="E2" s="5">
        <v>4</v>
      </c>
      <c r="F2" s="6">
        <v>4.1557574552717398</v>
      </c>
      <c r="G2" s="5">
        <v>2</v>
      </c>
      <c r="H2" s="6">
        <v>1.23176569869653</v>
      </c>
      <c r="I2" s="5">
        <v>0</v>
      </c>
      <c r="J2" s="6">
        <v>0.61247684603172003</v>
      </c>
      <c r="K2" s="5">
        <v>7</v>
      </c>
      <c r="L2" s="6">
        <v>9.3089852354142</v>
      </c>
      <c r="M2" s="8">
        <f>Table2[[#This Row],[GoalsF]]/Table2[[#This Row],[xGoalsF]]</f>
        <v>0.72624799366787351</v>
      </c>
      <c r="N2" s="5">
        <v>10</v>
      </c>
      <c r="O2" s="6">
        <v>13.769401206185201</v>
      </c>
      <c r="P2" s="8">
        <f>Table2[[#This Row],[GoalsA]]/Table2[[#This Row],[xGoalsA]]</f>
        <v>0.67258301011809862</v>
      </c>
      <c r="Q2" s="5">
        <v>3</v>
      </c>
      <c r="R2" s="6">
        <v>4.4604159707709998</v>
      </c>
      <c r="T2">
        <f>66.9/24</f>
        <v>2.7875000000000001</v>
      </c>
    </row>
    <row r="3" spans="1:20" ht="24" thickTop="1" thickBot="1" x14ac:dyDescent="0.5">
      <c r="A3" s="3">
        <v>2</v>
      </c>
      <c r="B3" s="7" t="s">
        <v>44</v>
      </c>
      <c r="C3" s="5">
        <v>11</v>
      </c>
      <c r="D3" s="13">
        <v>12.691626555401401</v>
      </c>
      <c r="E3" s="5">
        <v>3</v>
      </c>
      <c r="F3" s="6">
        <v>3.77303275035784</v>
      </c>
      <c r="G3" s="5">
        <v>2</v>
      </c>
      <c r="H3" s="6">
        <v>1.3725283043279</v>
      </c>
      <c r="I3" s="5">
        <v>1</v>
      </c>
      <c r="J3" s="6">
        <v>0.85443894531425002</v>
      </c>
      <c r="K3" s="5">
        <v>5</v>
      </c>
      <c r="L3" s="6">
        <v>6.8269204890405604</v>
      </c>
      <c r="M3" s="8">
        <f>Table2[[#This Row],[GoalsF]]/Table2[[#This Row],[xGoalsF]]</f>
        <v>0.75639047274124716</v>
      </c>
      <c r="N3" s="5">
        <v>9</v>
      </c>
      <c r="O3" s="6">
        <v>11.8986162892599</v>
      </c>
      <c r="P3" s="8">
        <f>Table2[[#This Row],[GoalsA]]/Table2[[#This Row],[xGoalsA]]</f>
        <v>0.78869083587919153</v>
      </c>
      <c r="Q3" s="5">
        <v>4</v>
      </c>
      <c r="R3" s="6">
        <v>5.0716958002193699</v>
      </c>
      <c r="T3">
        <f>47/24</f>
        <v>1.9583333333333333</v>
      </c>
    </row>
    <row r="4" spans="1:20" ht="24" thickTop="1" thickBot="1" x14ac:dyDescent="0.5">
      <c r="A4" s="3">
        <v>3</v>
      </c>
      <c r="B4" s="7" t="s">
        <v>42</v>
      </c>
      <c r="C4" s="5">
        <v>10</v>
      </c>
      <c r="D4" s="13">
        <v>9.7345796665556996</v>
      </c>
      <c r="E4" s="5">
        <v>2</v>
      </c>
      <c r="F4" s="6">
        <v>2.7432506488839699</v>
      </c>
      <c r="G4" s="5">
        <v>4</v>
      </c>
      <c r="H4" s="6">
        <v>1.5048277199037701</v>
      </c>
      <c r="I4" s="5">
        <v>0</v>
      </c>
      <c r="J4" s="6">
        <v>1.7519216312122401</v>
      </c>
      <c r="K4" s="5">
        <v>6</v>
      </c>
      <c r="L4" s="6">
        <v>2.28146007774899</v>
      </c>
      <c r="M4" s="8">
        <f>Table2[[#This Row],[GoalsF]]/Table2[[#This Row],[xGoalsF]]</f>
        <v>1.0632897265018706</v>
      </c>
      <c r="N4" s="5">
        <v>10</v>
      </c>
      <c r="O4" s="6">
        <v>9.4047744003876694</v>
      </c>
      <c r="P4" s="8">
        <f>Table2[[#This Row],[GoalsA]]/Table2[[#This Row],[xGoalsA]]</f>
        <v>0.56153636057973155</v>
      </c>
      <c r="Q4" s="5">
        <v>4</v>
      </c>
      <c r="R4" s="6">
        <v>7.1233143226386799</v>
      </c>
      <c r="T4">
        <f>T2-T3</f>
        <v>0.82916666666666683</v>
      </c>
    </row>
    <row r="5" spans="1:20" ht="24" thickTop="1" thickBot="1" x14ac:dyDescent="0.5">
      <c r="A5" s="3">
        <v>4</v>
      </c>
      <c r="B5" s="7" t="s">
        <v>39</v>
      </c>
      <c r="C5" s="5">
        <v>8</v>
      </c>
      <c r="D5" s="13">
        <v>6.2467414027560499</v>
      </c>
      <c r="E5" s="5">
        <v>2</v>
      </c>
      <c r="F5" s="6">
        <v>1.5070741237917</v>
      </c>
      <c r="G5" s="5">
        <v>2</v>
      </c>
      <c r="H5" s="6">
        <v>1.7255190313809401</v>
      </c>
      <c r="I5" s="5">
        <v>2</v>
      </c>
      <c r="J5" s="6">
        <v>2.7674068448273501</v>
      </c>
      <c r="K5" s="5">
        <v>0</v>
      </c>
      <c r="L5" s="6">
        <v>-2.7708560152722099</v>
      </c>
      <c r="M5" s="8">
        <f>Table2[[#This Row],[GoalsF]]/Table2[[#This Row],[xGoalsF]]</f>
        <v>0.9151082776231686</v>
      </c>
      <c r="N5" s="5">
        <v>6</v>
      </c>
      <c r="O5" s="6">
        <v>6.5566011659122303</v>
      </c>
      <c r="P5" s="8">
        <f>Table2[[#This Row],[GoalsA]]/Table2[[#This Row],[xGoalsA]]</f>
        <v>0.64326213280328226</v>
      </c>
      <c r="Q5" s="5">
        <v>6</v>
      </c>
      <c r="R5" s="6">
        <v>9.3274571811844496</v>
      </c>
    </row>
    <row r="6" spans="1:20" ht="24" thickTop="1" thickBot="1" x14ac:dyDescent="0.5">
      <c r="A6" s="3">
        <v>5</v>
      </c>
      <c r="B6" s="7" t="s">
        <v>41</v>
      </c>
      <c r="C6" s="5">
        <v>6</v>
      </c>
      <c r="D6" s="13">
        <v>7.6335010659199396</v>
      </c>
      <c r="E6" s="5">
        <v>1</v>
      </c>
      <c r="F6" s="6">
        <v>2.00891680294685</v>
      </c>
      <c r="G6" s="5">
        <v>3</v>
      </c>
      <c r="H6" s="6">
        <v>1.6067506570793699</v>
      </c>
      <c r="I6" s="5">
        <v>2</v>
      </c>
      <c r="J6" s="6">
        <v>2.38433253997376</v>
      </c>
      <c r="K6" s="5">
        <v>-1</v>
      </c>
      <c r="L6" s="6">
        <v>-1.4222849350514699</v>
      </c>
      <c r="M6" s="8">
        <f>Table2[[#This Row],[GoalsF]]/Table2[[#This Row],[xGoalsF]]</f>
        <v>0.53919857543286509</v>
      </c>
      <c r="N6" s="5">
        <v>4</v>
      </c>
      <c r="O6" s="6">
        <v>7.4184172255811802</v>
      </c>
      <c r="P6" s="8">
        <f>Table2[[#This Row],[GoalsA]]/Table2[[#This Row],[xGoalsA]]</f>
        <v>0.56556593686243917</v>
      </c>
      <c r="Q6" s="5">
        <v>5</v>
      </c>
      <c r="R6" s="6">
        <v>8.8407021606326595</v>
      </c>
    </row>
    <row r="7" spans="1:20" ht="24" thickTop="1" thickBot="1" x14ac:dyDescent="0.5">
      <c r="A7" s="3">
        <v>6</v>
      </c>
      <c r="B7" s="7" t="s">
        <v>43</v>
      </c>
      <c r="C7" s="5">
        <v>5</v>
      </c>
      <c r="D7" s="13">
        <v>4.8478080153010898</v>
      </c>
      <c r="E7" s="5">
        <v>1</v>
      </c>
      <c r="F7" s="6">
        <v>1.14746160109957</v>
      </c>
      <c r="G7" s="5">
        <v>2</v>
      </c>
      <c r="H7" s="6">
        <v>1.40542321200236</v>
      </c>
      <c r="I7" s="5">
        <v>3</v>
      </c>
      <c r="J7" s="6">
        <v>3.4471151868980501</v>
      </c>
      <c r="K7" s="5">
        <v>-4</v>
      </c>
      <c r="L7" s="6">
        <v>-5.7793211619153499</v>
      </c>
      <c r="M7" s="8">
        <f>Table2[[#This Row],[GoalsF]]/Table2[[#This Row],[xGoalsF]]</f>
        <v>0.71265238162511102</v>
      </c>
      <c r="N7" s="5">
        <v>4</v>
      </c>
      <c r="O7" s="6">
        <v>5.6128346766743702</v>
      </c>
      <c r="P7" s="8">
        <f>Table2[[#This Row],[GoalsA]]/Table2[[#This Row],[xGoalsA]]</f>
        <v>0.70223758464581942</v>
      </c>
      <c r="Q7" s="5">
        <v>8</v>
      </c>
      <c r="R7" s="6">
        <v>11.3921558385897</v>
      </c>
    </row>
    <row r="8" spans="1:20" ht="24" thickTop="1" thickBot="1" x14ac:dyDescent="0.5">
      <c r="A8" s="3">
        <v>7</v>
      </c>
      <c r="B8" s="7" t="s">
        <v>46</v>
      </c>
      <c r="C8" s="5">
        <v>5</v>
      </c>
      <c r="D8" s="13">
        <v>4.76410208290641</v>
      </c>
      <c r="E8" s="5">
        <v>1</v>
      </c>
      <c r="F8" s="6">
        <v>1.0626794754251001</v>
      </c>
      <c r="G8" s="5">
        <v>2</v>
      </c>
      <c r="H8" s="6">
        <v>1.5760636566311099</v>
      </c>
      <c r="I8" s="5">
        <v>3</v>
      </c>
      <c r="J8" s="6">
        <v>3.36125686794378</v>
      </c>
      <c r="K8" s="5">
        <v>-5</v>
      </c>
      <c r="L8" s="6">
        <v>-5.2858755376841398</v>
      </c>
      <c r="M8" s="8">
        <f>Table2[[#This Row],[GoalsF]]/Table2[[#This Row],[xGoalsF]]</f>
        <v>0.35772496050361147</v>
      </c>
      <c r="N8" s="5">
        <v>2</v>
      </c>
      <c r="O8" s="6">
        <v>5.5908874717167203</v>
      </c>
      <c r="P8" s="8">
        <f>Table2[[#This Row],[GoalsA]]/Table2[[#This Row],[xGoalsA]]</f>
        <v>0.64357382742916169</v>
      </c>
      <c r="Q8" s="5">
        <v>7</v>
      </c>
      <c r="R8" s="6">
        <v>10.876763009400801</v>
      </c>
    </row>
    <row r="9" spans="1:20" ht="24" thickTop="1" thickBot="1" x14ac:dyDescent="0.5">
      <c r="A9" s="3">
        <v>8</v>
      </c>
      <c r="B9" s="7" t="s">
        <v>45</v>
      </c>
      <c r="C9" s="5">
        <v>3</v>
      </c>
      <c r="D9" s="13">
        <v>6.3856682493623804</v>
      </c>
      <c r="E9" s="5">
        <v>0</v>
      </c>
      <c r="F9" s="6">
        <v>1.6048922449380001</v>
      </c>
      <c r="G9" s="5">
        <v>3</v>
      </c>
      <c r="H9" s="6">
        <v>1.5709915145483699</v>
      </c>
      <c r="I9" s="5">
        <v>3</v>
      </c>
      <c r="J9" s="6">
        <v>2.8241162405136202</v>
      </c>
      <c r="K9" s="5">
        <v>-8</v>
      </c>
      <c r="L9" s="6">
        <v>-3.1590281522805701</v>
      </c>
      <c r="M9" s="8">
        <f>Table2[[#This Row],[GoalsF]]/Table2[[#This Row],[xGoalsF]]</f>
        <v>0.29950577524811844</v>
      </c>
      <c r="N9" s="5">
        <v>2</v>
      </c>
      <c r="O9" s="6">
        <v>6.6776675619798898</v>
      </c>
      <c r="P9" s="8">
        <f>Table2[[#This Row],[GoalsA]]/Table2[[#This Row],[xGoalsA]]</f>
        <v>1.0166015388178353</v>
      </c>
      <c r="Q9" s="5">
        <v>10</v>
      </c>
      <c r="R9" s="6">
        <v>9.8366957142604701</v>
      </c>
    </row>
    <row r="10" spans="1:20" ht="23.65" thickTop="1" x14ac:dyDescent="0.45">
      <c r="B10" s="7"/>
      <c r="C10" s="5">
        <f>SUBTOTAL(109,Table2[Points])</f>
        <v>62</v>
      </c>
      <c r="D10" s="13">
        <f>SUBTOTAL(109,Table2[xPoints])</f>
        <v>66.003065102714672</v>
      </c>
      <c r="E10" s="5">
        <f>SUBTOTAL(109,Table2[Wins])</f>
        <v>14</v>
      </c>
      <c r="F10" s="6">
        <f>SUBTOTAL(109,Table2[xWins])</f>
        <v>18.003065102714771</v>
      </c>
      <c r="G10" s="5">
        <f>SUBTOTAL(109,Table2[Draws])</f>
        <v>20</v>
      </c>
      <c r="H10" s="6">
        <f>SUBTOTAL(109,Table2[xDraws])</f>
        <v>11.993869794570349</v>
      </c>
      <c r="I10" s="5">
        <f>SUBTOTAL(109,Table2[Losses])</f>
        <v>14</v>
      </c>
      <c r="J10" s="6">
        <f>SUBTOTAL(109,Table2[xLosses])</f>
        <v>18.003065102714771</v>
      </c>
      <c r="K10" s="5">
        <f>SUBTOTAL(109,Table2[GoalDiff])</f>
        <v>0</v>
      </c>
      <c r="L10" s="6">
        <f>SUBTOTAL(109,Table2[xGoalDiff])</f>
        <v>6.6613381477509392E-15</v>
      </c>
      <c r="M10" s="8">
        <f>AVERAGE(Table2[GoalsF%])</f>
        <v>0.67126477041798327</v>
      </c>
      <c r="N10" s="5">
        <f>SUBTOTAL(109,Table2[GoalsF])</f>
        <v>47</v>
      </c>
      <c r="O10" s="6">
        <f>SUBTOTAL(109,Table2[xGoalsF])</f>
        <v>66.929199997697154</v>
      </c>
      <c r="P10" s="9">
        <f>SUBTOTAL(101,Table2[GoalsA%])</f>
        <v>0.69925640339194495</v>
      </c>
      <c r="Q10" s="5">
        <f>SUBTOTAL(109,Table2[GoalsA])</f>
        <v>47</v>
      </c>
      <c r="R10" s="6">
        <f>SUBTOTAL(109,Table2[xGoalsA])</f>
        <v>66.92919999769714</v>
      </c>
    </row>
    <row r="12" spans="1:20" x14ac:dyDescent="0.45">
      <c r="O12" s="4"/>
    </row>
    <row r="13" spans="1:20" x14ac:dyDescent="0.45">
      <c r="O13" s="4"/>
      <c r="Q13" s="4">
        <f>62/66</f>
        <v>0.93939393939393945</v>
      </c>
    </row>
    <row r="14" spans="1:20" x14ac:dyDescent="0.45">
      <c r="O14" s="4"/>
    </row>
    <row r="15" spans="1:20" x14ac:dyDescent="0.45">
      <c r="O15" s="4"/>
      <c r="Q15" s="4">
        <f>14/18</f>
        <v>0.77777777777777779</v>
      </c>
    </row>
    <row r="16" spans="1:20" x14ac:dyDescent="0.45">
      <c r="O16" s="4"/>
    </row>
    <row r="17" spans="15:17" x14ac:dyDescent="0.45">
      <c r="O17" s="4"/>
      <c r="Q17" s="4">
        <f>20/12</f>
        <v>1.6666666666666667</v>
      </c>
    </row>
    <row r="18" spans="15:17" x14ac:dyDescent="0.45">
      <c r="O18" s="4"/>
    </row>
    <row r="19" spans="15:17" x14ac:dyDescent="0.45">
      <c r="O19" s="4"/>
    </row>
  </sheetData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WCQ2022_CONCACAF_07-11-2021</vt:lpstr>
      <vt:lpstr>xTable2</vt:lpstr>
      <vt:lpstr>xTable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2021-11-08T03:44:38Z</dcterms:created>
  <dcterms:modified xsi:type="dcterms:W3CDTF">2021-11-14T18:34:22Z</dcterms:modified>
</cp:coreProperties>
</file>