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40009_{B427199D-3CD9-4D26-82EB-B216C3D815A1}" xr6:coauthVersionLast="47" xr6:coauthVersionMax="47" xr10:uidLastSave="{00000000-0000-0000-0000-000000000000}"/>
  <bookViews>
    <workbookView xWindow="-98" yWindow="-98" windowWidth="22695" windowHeight="14595"/>
  </bookViews>
  <sheets>
    <sheet name="WCQ2022_CONCACAF_14-11-2021" sheetId="1" r:id="rId1"/>
    <sheet name="PtsvsxPts" sheetId="5" r:id="rId2"/>
    <sheet name="GvsxG" sheetId="6" r:id="rId3"/>
    <sheet name="Ages" sheetId="4" r:id="rId4"/>
    <sheet name="Goals" sheetId="3" r:id="rId5"/>
    <sheet name="Scatter GDiff" sheetId="2" r:id="rId6"/>
  </sheets>
  <calcPr calcId="0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2" i="4"/>
  <c r="O2" i="1"/>
  <c r="O3" i="1"/>
  <c r="O4" i="1"/>
  <c r="O5" i="1"/>
  <c r="O6" i="1"/>
  <c r="O7" i="1"/>
  <c r="O8" i="1"/>
  <c r="O9" i="1"/>
  <c r="K2" i="1"/>
  <c r="K3" i="1"/>
  <c r="K4" i="1"/>
  <c r="K5" i="1"/>
  <c r="K6" i="1"/>
  <c r="K7" i="1"/>
  <c r="K8" i="1"/>
  <c r="K9" i="1"/>
  <c r="AO14" i="1"/>
  <c r="AK14" i="1"/>
  <c r="AG14" i="1"/>
  <c r="AC14" i="1"/>
  <c r="Y14" i="1"/>
  <c r="U14" i="1"/>
  <c r="P14" i="1"/>
  <c r="F14" i="1"/>
  <c r="E14" i="1"/>
  <c r="C14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Z10" i="1"/>
  <c r="S10" i="1"/>
  <c r="T10" i="1"/>
  <c r="X6" i="1"/>
  <c r="X7" i="1"/>
  <c r="X5" i="1"/>
  <c r="X2" i="1"/>
  <c r="X3" i="1"/>
  <c r="X8" i="1"/>
  <c r="X9" i="1"/>
  <c r="X4" i="1"/>
  <c r="V6" i="1"/>
  <c r="V7" i="1"/>
  <c r="V5" i="1"/>
  <c r="V2" i="1"/>
  <c r="V3" i="1"/>
  <c r="V8" i="1"/>
  <c r="V9" i="1"/>
  <c r="V4" i="1"/>
  <c r="AA10" i="1"/>
  <c r="Y10" i="1"/>
  <c r="W6" i="1"/>
  <c r="W7" i="1"/>
  <c r="W5" i="1"/>
  <c r="W2" i="1"/>
  <c r="W3" i="1"/>
  <c r="W8" i="1"/>
  <c r="W9" i="1"/>
  <c r="W4" i="1"/>
  <c r="U6" i="1"/>
  <c r="U7" i="1"/>
  <c r="U5" i="1"/>
  <c r="U2" i="1"/>
  <c r="U3" i="1"/>
  <c r="U8" i="1"/>
  <c r="U9" i="1"/>
  <c r="U4" i="1"/>
  <c r="Q10" i="1"/>
  <c r="P10" i="1"/>
  <c r="I10" i="1"/>
  <c r="H10" i="1"/>
  <c r="F10" i="1"/>
  <c r="E10" i="1"/>
  <c r="D10" i="1"/>
  <c r="C10" i="1"/>
  <c r="R6" i="1"/>
  <c r="R7" i="1"/>
  <c r="R5" i="1"/>
  <c r="R2" i="1"/>
  <c r="R3" i="1"/>
  <c r="R8" i="1"/>
  <c r="R9" i="1"/>
  <c r="R4" i="1"/>
  <c r="N6" i="1"/>
  <c r="N7" i="1"/>
  <c r="N5" i="1"/>
  <c r="N2" i="1"/>
  <c r="N3" i="1"/>
  <c r="N8" i="1"/>
  <c r="N9" i="1"/>
  <c r="N4" i="1"/>
  <c r="W10" i="1" l="1"/>
  <c r="U10" i="1"/>
  <c r="V10" i="1"/>
  <c r="X10" i="1"/>
</calcChain>
</file>

<file path=xl/sharedStrings.xml><?xml version="1.0" encoding="utf-8"?>
<sst xmlns="http://schemas.openxmlformats.org/spreadsheetml/2006/main" count="114" uniqueCount="64">
  <si>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</si>
  <si>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</si>
  <si>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</si>
  <si>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</si>
  <si>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</si>
  <si>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</si>
  <si>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</si>
  <si>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</si>
  <si>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</si>
  <si>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</si>
  <si>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</si>
  <si>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</si>
  <si>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</si>
  <si>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</si>
  <si>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</si>
  <si>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</si>
  <si>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</si>
  <si>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</si>
  <si>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</t>
  </si>
  <si>
    <t>xShotsF</t>
  </si>
  <si>
    <t>ShotsA</t>
  </si>
  <si>
    <t>xShotsA</t>
  </si>
  <si>
    <t>ShotsTF</t>
  </si>
  <si>
    <t>xShotsTF</t>
  </si>
  <si>
    <t>ShotsTA</t>
  </si>
  <si>
    <t>xShotsTA</t>
  </si>
  <si>
    <t>Fouls</t>
  </si>
  <si>
    <t>xFouls</t>
  </si>
  <si>
    <t>FoulsA</t>
  </si>
  <si>
    <t>xFoulsA</t>
  </si>
  <si>
    <t>YCard</t>
  </si>
  <si>
    <t>xYCard</t>
  </si>
  <si>
    <t>YCardA</t>
  </si>
  <si>
    <t>xYCardA</t>
  </si>
  <si>
    <t>RCard</t>
  </si>
  <si>
    <t>xRCard</t>
  </si>
  <si>
    <t>RCardA</t>
  </si>
  <si>
    <t>xRCardA</t>
  </si>
  <si>
    <t>Jamaica</t>
  </si>
  <si>
    <t>Costa Rica</t>
  </si>
  <si>
    <t>Panama</t>
  </si>
  <si>
    <t>USA</t>
  </si>
  <si>
    <t>Mexico</t>
  </si>
  <si>
    <t>El Salvador</t>
  </si>
  <si>
    <t>Honduras</t>
  </si>
  <si>
    <t>Canada</t>
  </si>
  <si>
    <t>Rank</t>
  </si>
  <si>
    <t>Team</t>
  </si>
  <si>
    <t>GoalsF_Diff</t>
  </si>
  <si>
    <t>GoalsA_Diff</t>
  </si>
  <si>
    <t>x2HGoalsA</t>
  </si>
  <si>
    <t>2HGoalsA</t>
  </si>
  <si>
    <t>x2HGoalsF</t>
  </si>
  <si>
    <t>2HGoalsF</t>
  </si>
  <si>
    <t>GoalDiff_P</t>
  </si>
  <si>
    <t>GoalsF_P</t>
  </si>
  <si>
    <t>2H Goals in Favor</t>
  </si>
  <si>
    <t>x2H Goals in Favor</t>
  </si>
  <si>
    <t>1H Goals in Favor</t>
  </si>
  <si>
    <t>x1H Goals in Favor</t>
  </si>
  <si>
    <t>avg</t>
  </si>
  <si>
    <t>Expected Points</t>
  </si>
  <si>
    <t>Goals Scored</t>
  </si>
  <si>
    <t>Expected Goals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</si>
</sst>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0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CONCACAF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PtsvsxPts!$B$2:$B$9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45ED-B2F4-D96DE39859C5}"/>
            </c:ext>
          </c:extLst>
        </c:ser>
        <c:ser>
          <c:idx val="1"/>
          <c:order val="1"/>
          <c:tx>
            <c:strRef>
              <c:f>PtsvsxPts!$C$1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PtsvsxPts!$C$2:$C$9</c:f>
              <c:numCache>
                <c:formatCode>0.0</c:formatCode>
                <c:ptCount val="8"/>
                <c:pt idx="0">
                  <c:v>14.0204069703887</c:v>
                </c:pt>
                <c:pt idx="1">
                  <c:v>15.047298998979601</c:v>
                </c:pt>
                <c:pt idx="2">
                  <c:v>12.0789782447004</c:v>
                </c:pt>
                <c:pt idx="3">
                  <c:v>7.3978882144919202</c:v>
                </c:pt>
                <c:pt idx="4">
                  <c:v>6.3554013704554198</c:v>
                </c:pt>
                <c:pt idx="5">
                  <c:v>8.0878067648076897</c:v>
                </c:pt>
                <c:pt idx="6">
                  <c:v>5.93078634715165</c:v>
                </c:pt>
                <c:pt idx="7">
                  <c:v>7.9320719780943003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2-45ED-B2F4-D96DE3985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58295"/>
        <c:axId val="59552063"/>
      </c:barChart>
      <c:catAx>
        <c:axId val="59558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52063"/>
        <c:crosses val="autoZero"/>
        <c:auto val="1"/>
        <c:lblAlgn val="ctr"/>
        <c:lblOffset val="100"/>
        <c:noMultiLvlLbl val="0"/>
      </c:catAx>
      <c:valAx>
        <c:axId val="5955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558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CONCACAF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GvsxG!$B$1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GvsxG!$B$2:$B$9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C-46B3-9F11-C0393B549B17}"/>
            </c:ext>
          </c:extLst>
        </c:ser>
        <c:ser>
          <c:idx val="1"/>
          <c:order val="1"/>
          <c:tx>
            <c:strRef>
              <c:f>GvsxG!$C$1</c:f>
              <c:strCache>
                <c:ptCount val="1"/>
                <c:pt idx="0">
                  <c:v>Expected Goals Scored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GvsxG!$C$2:$C$9</c:f>
              <c:numCache>
                <c:formatCode>0.0</c:formatCode>
                <c:ptCount val="8"/>
                <c:pt idx="0">
                  <c:v>13.127537778861701</c:v>
                </c:pt>
                <c:pt idx="1">
                  <c:v>15.0634524717019</c:v>
                </c:pt>
                <c:pt idx="2">
                  <c:v>11.629319241925099</c:v>
                </c:pt>
                <c:pt idx="3">
                  <c:v>7.7081784350159799</c:v>
                </c:pt>
                <c:pt idx="4">
                  <c:v>7.0286291581206202</c:v>
                </c:pt>
                <c:pt idx="5">
                  <c:v>8.1864549868758605</c:v>
                </c:pt>
                <c:pt idx="6">
                  <c:v>6.7196537260776497</c:v>
                </c:pt>
                <c:pt idx="7">
                  <c:v>8.0217058264144701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C-46B3-9F11-C0393B549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320904"/>
        <c:axId val="681322544"/>
      </c:barChart>
      <c:catAx>
        <c:axId val="68132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1322544"/>
        <c:crosses val="autoZero"/>
        <c:auto val="1"/>
        <c:lblAlgn val="ctr"/>
        <c:lblOffset val="100"/>
        <c:noMultiLvlLbl val="0"/>
      </c:catAx>
      <c:valAx>
        <c:axId val="68132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132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Goals!$D$1</c:f>
              <c:strCache>
                <c:ptCount val="1"/>
                <c:pt idx="0">
                  <c:v>2H Goals in Favor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Goals!$A$2:$A$9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Goals!$D$2:$D$9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5-4004-B7A5-51EEB753CD86}"/>
            </c:ext>
          </c:extLst>
        </c:ser>
        <c:ser>
          <c:idx val="3"/>
          <c:order val="3"/>
          <c:tx>
            <c:strRef>
              <c:f>Goals!$E$1</c:f>
              <c:strCache>
                <c:ptCount val="1"/>
                <c:pt idx="0">
                  <c:v>x2H Goals in Favor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Goals!$A$2:$A$9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Goals!$E$2:$E$9</c:f>
              <c:numCache>
                <c:formatCode>0.0</c:formatCode>
                <c:ptCount val="8"/>
                <c:pt idx="0">
                  <c:v>7.4137949639489706</c:v>
                </c:pt>
                <c:pt idx="1">
                  <c:v>8.3664709157393204</c:v>
                </c:pt>
                <c:pt idx="2">
                  <c:v>6.5334708105029495</c:v>
                </c:pt>
                <c:pt idx="3">
                  <c:v>4.2771187886798305</c:v>
                </c:pt>
                <c:pt idx="4">
                  <c:v>3.9464305366925103</c:v>
                </c:pt>
                <c:pt idx="5">
                  <c:v>4.5903750733816704</c:v>
                </c:pt>
                <c:pt idx="6">
                  <c:v>3.7613587367922996</c:v>
                </c:pt>
                <c:pt idx="7">
                  <c:v>4.5466313020081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5-4004-B7A5-51EEB753CD86}"/>
            </c:ext>
          </c:extLst>
        </c:ser>
        <c:ser>
          <c:idx val="4"/>
          <c:order val="4"/>
          <c:tx>
            <c:strRef>
              <c:f>Goals!$F$1</c:f>
              <c:strCache>
                <c:ptCount val="1"/>
                <c:pt idx="0">
                  <c:v>1H Goals in Favor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Goals!$A$2:$A$9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Goals!$F$2:$F$9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5-4004-B7A5-51EEB753CD86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x1H Goals in Favor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Goals!$A$2:$A$9</c:f>
              <c:strCache>
                <c:ptCount val="8"/>
                <c:pt idx="0">
                  <c:v>USA</c:v>
                </c:pt>
                <c:pt idx="1">
                  <c:v>Mexico</c:v>
                </c:pt>
                <c:pt idx="2">
                  <c:v>Canada</c:v>
                </c:pt>
                <c:pt idx="3">
                  <c:v>Panama</c:v>
                </c:pt>
                <c:pt idx="4">
                  <c:v>Jamaica</c:v>
                </c:pt>
                <c:pt idx="5">
                  <c:v>Costa Rica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Goals!$G$2:$G$9</c:f>
              <c:numCache>
                <c:formatCode>0.0</c:formatCode>
                <c:ptCount val="8"/>
                <c:pt idx="0">
                  <c:v>5.7137428149127301</c:v>
                </c:pt>
                <c:pt idx="1">
                  <c:v>6.69698155596258</c:v>
                </c:pt>
                <c:pt idx="2">
                  <c:v>5.0958484314221497</c:v>
                </c:pt>
                <c:pt idx="3">
                  <c:v>3.4310596463361498</c:v>
                </c:pt>
                <c:pt idx="4">
                  <c:v>3.0821986214281099</c:v>
                </c:pt>
                <c:pt idx="5">
                  <c:v>3.5960799134941901</c:v>
                </c:pt>
                <c:pt idx="6">
                  <c:v>2.9582949892853501</c:v>
                </c:pt>
                <c:pt idx="7">
                  <c:v>3.4750745244063701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5-4004-B7A5-51EEB753C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096256"/>
        <c:axId val="73509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Goals!$A$2:$A$9</c15:sqref>
                        </c15:formulaRef>
                      </c:ext>
                    </c:extLst>
                    <c:strCache>
                      <c:ptCount val="8"/>
                      <c:pt idx="0">
                        <c:v>USA</c:v>
                      </c:pt>
                      <c:pt idx="1">
                        <c:v>Mexico</c:v>
                      </c:pt>
                      <c:pt idx="2">
                        <c:v>Canada</c:v>
                      </c:pt>
                      <c:pt idx="3">
                        <c:v>Panama</c:v>
                      </c:pt>
                      <c:pt idx="4">
                        <c:v>Jamaica</c:v>
                      </c:pt>
                      <c:pt idx="5">
                        <c:v>Costa Rica</c:v>
                      </c:pt>
                      <c:pt idx="6">
                        <c:v>El Salvador</c:v>
                      </c:pt>
                      <c:pt idx="7">
                        <c:v>Honduras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15-4004-B7A5-51EEB753CD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xGoalsF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Goals!$A$2:$A$9</c15:sqref>
                        </c15:formulaRef>
                      </c:ext>
                    </c:extLst>
                    <c:strCache>
                      <c:ptCount val="8"/>
                      <c:pt idx="0">
                        <c:v>USA</c:v>
                      </c:pt>
                      <c:pt idx="1">
                        <c:v>Mexico</c:v>
                      </c:pt>
                      <c:pt idx="2">
                        <c:v>Canada</c:v>
                      </c:pt>
                      <c:pt idx="3">
                        <c:v>Panama</c:v>
                      </c:pt>
                      <c:pt idx="4">
                        <c:v>Jamaica</c:v>
                      </c:pt>
                      <c:pt idx="5">
                        <c:v>Costa Rica</c:v>
                      </c:pt>
                      <c:pt idx="6">
                        <c:v>El Salvador</c:v>
                      </c:pt>
                      <c:pt idx="7">
                        <c:v>Honduras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Goals!$C$2:$C$9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13.127537778861701</c:v>
                      </c:pt>
                      <c:pt idx="1">
                        <c:v>15.0634524717019</c:v>
                      </c:pt>
                      <c:pt idx="2">
                        <c:v>11.629319241925099</c:v>
                      </c:pt>
                      <c:pt idx="3">
                        <c:v>7.7081784350159799</c:v>
                      </c:pt>
                      <c:pt idx="4">
                        <c:v>7.0286291581206202</c:v>
                      </c:pt>
                      <c:pt idx="5">
                        <c:v>8.1864549868758605</c:v>
                      </c:pt>
                      <c:pt idx="6">
                        <c:v>6.7196537260776497</c:v>
                      </c:pt>
                      <c:pt idx="7">
                        <c:v>8.0217058264144701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15-4004-B7A5-51EEB753CD86}"/>
                  </c:ext>
                </c:extLst>
              </c15:ser>
            </c15:filteredBarSeries>
          </c:ext>
        </c:extLst>
      </c:barChart>
      <c:catAx>
        <c:axId val="735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096912"/>
        <c:crosses val="autoZero"/>
        <c:auto val="1"/>
        <c:lblAlgn val="ctr"/>
        <c:lblOffset val="100"/>
        <c:noMultiLvlLbl val="0"/>
      </c:catAx>
      <c:valAx>
        <c:axId val="73509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0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Qatar 2022 World Cup CONCACAF Qualifiers </a:t>
            </a:r>
            <a:br>
              <a:rPr lang="en-US" sz="2000" b="0" i="0" baseline="0">
                <a:effectLst/>
              </a:rPr>
            </a:br>
            <a:r>
              <a:rPr lang="en-US" sz="2000" b="0" i="0" baseline="0">
                <a:effectLst/>
              </a:rPr>
              <a:t>Goals vs Expected Goals for Betting Houses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GDiff'!$B$2:$B$9</c:f>
              <c:numCache>
                <c:formatCode>0</c:formatCode>
                <c:ptCount val="8"/>
                <c:pt idx="0">
                  <c:v>-2.1275377788617007</c:v>
                </c:pt>
                <c:pt idx="1">
                  <c:v>-5.0634524717019005</c:v>
                </c:pt>
                <c:pt idx="2">
                  <c:v>-0.62931924192509925</c:v>
                </c:pt>
                <c:pt idx="3">
                  <c:v>1.2918215649840201</c:v>
                </c:pt>
                <c:pt idx="4">
                  <c:v>-2.0286291581206202</c:v>
                </c:pt>
                <c:pt idx="5">
                  <c:v>-4.1864549868758605</c:v>
                </c:pt>
                <c:pt idx="6">
                  <c:v>-3.7196537260776497</c:v>
                </c:pt>
                <c:pt idx="7">
                  <c:v>-4.0217058264144701</c:v>
                </c:pt>
              </c:numCache>
            </c:numRef>
          </c:xVal>
          <c:yVal>
            <c:numRef>
              <c:f>'Scatter GDiff'!$C$2:$C$9</c:f>
              <c:numCache>
                <c:formatCode>0</c:formatCode>
                <c:ptCount val="8"/>
                <c:pt idx="0">
                  <c:v>2.3657470657360502</c:v>
                </c:pt>
                <c:pt idx="1">
                  <c:v>0.68933746037281018</c:v>
                </c:pt>
                <c:pt idx="2">
                  <c:v>3.8913520839333504</c:v>
                </c:pt>
                <c:pt idx="3">
                  <c:v>2.6714954456189997</c:v>
                </c:pt>
                <c:pt idx="4">
                  <c:v>3.5209220929506007</c:v>
                </c:pt>
                <c:pt idx="5">
                  <c:v>5.0652470021700005</c:v>
                </c:pt>
                <c:pt idx="6">
                  <c:v>4.2925574908471003</c:v>
                </c:pt>
                <c:pt idx="7">
                  <c:v>-2.0117270166358008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C-4522-9D44-97FE8483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://www.all-flags-world.com/country-flag/USA/national-american-flag.php" TargetMode="External"/><Relationship Id="rId7" Type="http://schemas.openxmlformats.org/officeDocument/2006/relationships/hyperlink" Target="https://www.wikidata.org/wiki/Q168941" TargetMode="External"/><Relationship Id="rId2" Type="http://schemas.openxmlformats.org/officeDocument/2006/relationships/image" Target="../media/image4.jpeg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11" Type="http://schemas.openxmlformats.org/officeDocument/2006/relationships/hyperlink" Target="https://en.wikipedia.org/wiki/File:Flag_of_Honduras.svg" TargetMode="External"/><Relationship Id="rId5" Type="http://schemas.openxmlformats.org/officeDocument/2006/relationships/hyperlink" Target="https://www.publicdomainpictures.net/en/view-image.php?image=49118&amp;picture=canadian-flag" TargetMode="External"/><Relationship Id="rId10" Type="http://schemas.openxmlformats.org/officeDocument/2006/relationships/image" Target="../media/image8.png"/><Relationship Id="rId4" Type="http://schemas.openxmlformats.org/officeDocument/2006/relationships/image" Target="../media/image5.jpeg"/><Relationship Id="rId9" Type="http://schemas.openxmlformats.org/officeDocument/2006/relationships/hyperlink" Target="https://en.wikipedia.org/wiki/Flag_of_El_Salvador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en/mexico-flag-mexican-national-26989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nl.wikipedia.org/wiki/Costa_Rica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en.wikipedia.org/wiki/Flag_of_Jamaic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645316</xdr:colOff>
      <xdr:row>0</xdr:row>
      <xdr:rowOff>173830</xdr:rowOff>
    </xdr:from>
    <xdr:to>
      <xdr:col>16</xdr:col>
      <xdr:colOff>642936</xdr:colOff>
      <xdr:row>28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373E3-E95A-4D03-B837-E328464C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1</xdr:row>
      <xdr:rowOff>11906</xdr:rowOff>
    </xdr:from>
    <xdr:to>
      <xdr:col>16</xdr:col>
      <xdr:colOff>642937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D7F00-56A2-4D6E-96DF-D72704693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1</xdr:row>
      <xdr:rowOff>164306</xdr:rowOff>
    </xdr:from>
    <xdr:to>
      <xdr:col>17</xdr:col>
      <xdr:colOff>19049</xdr:colOff>
      <xdr:row>29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9A5C-4575-4D8C-91C7-7CA27A43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640554</xdr:colOff>
      <xdr:row>1</xdr:row>
      <xdr:rowOff>169068</xdr:rowOff>
    </xdr:from>
    <xdr:to>
      <xdr:col>16</xdr:col>
      <xdr:colOff>647699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49CAF-9A62-48D1-9116-90EB2DDC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357188</xdr:colOff>
      <xdr:row>13</xdr:row>
      <xdr:rowOff>83343</xdr:rowOff>
    </xdr:from>
    <xdr:to>
      <xdr:col>9</xdr:col>
      <xdr:colOff>51591</xdr:colOff>
      <xdr:row>14</xdr:row>
      <xdr:rowOff>71436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59993-2DD4-4B1C-AC54-4FC445194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532438" y="2456656"/>
          <a:ext cx="341310" cy="1706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456405</xdr:colOff>
      <xdr:row>10</xdr:row>
      <xdr:rowOff>162717</xdr:rowOff>
    </xdr:from>
    <xdr:to>
      <xdr:col>10</xdr:col>
      <xdr:colOff>138906</xdr:colOff>
      <xdr:row>11</xdr:row>
      <xdr:rowOff>172261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06D85B-ED1A-41BB-B9F8-C07ED66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259" t="5118" r="2372" b="4120"/>
        <a:stretch/>
      </xdr:blipFill>
      <xdr:spPr>
        <a:xfrm>
          <a:off x="6278562" y="1988342"/>
          <a:ext cx="329407" cy="1921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202406</xdr:colOff>
      <xdr:row>12</xdr:row>
      <xdr:rowOff>174624</xdr:rowOff>
    </xdr:from>
    <xdr:to>
      <xdr:col>11</xdr:col>
      <xdr:colOff>515939</xdr:colOff>
      <xdr:row>13</xdr:row>
      <xdr:rowOff>174624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2DDB1C-2E32-4C17-A73E-6349B651A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7318375" y="2365374"/>
          <a:ext cx="313533" cy="1825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230190</xdr:colOff>
      <xdr:row>10</xdr:row>
      <xdr:rowOff>51594</xdr:rowOff>
    </xdr:from>
    <xdr:to>
      <xdr:col>7</xdr:col>
      <xdr:colOff>551658</xdr:colOff>
      <xdr:row>11</xdr:row>
      <xdr:rowOff>55563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BA9021-2206-41F0-B348-632C46BF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758534" y="1877219"/>
          <a:ext cx="321468" cy="1865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55564</xdr:colOff>
      <xdr:row>20</xdr:row>
      <xdr:rowOff>27781</xdr:rowOff>
    </xdr:from>
    <xdr:to>
      <xdr:col>7</xdr:col>
      <xdr:colOff>384970</xdr:colOff>
      <xdr:row>21</xdr:row>
      <xdr:rowOff>38987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3D00D8-5281-441E-AEDE-00AF49B1B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4583908" y="3679031"/>
          <a:ext cx="329406" cy="19376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0.86084</cdr:x>
      <cdr:y>0.17334</cdr:y>
    </cdr:from>
    <cdr:to>
      <cdr:x>0.99352</cdr:x>
      <cdr:y>0.5653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7122C384-F50B-4A0B-8D1C-C13D15586FB8}"/>
            </a:ext>
          </a:extLst>
        </cdr:cNvPr>
        <cdr:cNvSpPr/>
      </cdr:nvSpPr>
      <cdr:spPr>
        <a:xfrm xmlns:a="http://schemas.openxmlformats.org/drawingml/2006/main" rot="16200000">
          <a:off x="6866934" y="1262642"/>
          <a:ext cx="1935013" cy="1121163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/>
            <a:t>The further</a:t>
          </a:r>
          <a:r>
            <a:rPr lang="es-MX" sz="1100" baseline="0"/>
            <a:t> up, the better Conceded Goals performance</a:t>
          </a:r>
          <a:endParaRPr lang="es-MX" sz="1100"/>
        </a:p>
      </cdr:txBody>
    </cdr:sp>
  </cdr:relSizeAnchor>
  <cdr:relSizeAnchor xmlns:cdr="http://schemas.openxmlformats.org/drawingml/2006/chartDrawing">
    <cdr:from>
      <cdr:x>0.72608</cdr:x>
      <cdr:y>0.77259</cdr:y>
    </cdr:from>
    <cdr:to>
      <cdr:x>0.97717</cdr:x>
      <cdr:y>0.99306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072027B0-D408-4B97-8826-8BBB7520A22B}"/>
            </a:ext>
          </a:extLst>
        </cdr:cNvPr>
        <cdr:cNvSpPr/>
      </cdr:nvSpPr>
      <cdr:spPr>
        <a:xfrm xmlns:a="http://schemas.openxmlformats.org/drawingml/2006/main">
          <a:off x="6135184" y="3814115"/>
          <a:ext cx="2121685" cy="108837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/>
            <a:t>The</a:t>
          </a:r>
          <a:r>
            <a:rPr lang="es-MX" sz="1100" baseline="0"/>
            <a:t> more to the right, the better Scored Goals performance</a:t>
          </a:r>
          <a:endParaRPr lang="es-MX" sz="1100"/>
        </a:p>
      </cdr:txBody>
    </cdr:sp>
  </cdr:relSizeAnchor>
  <cdr:relSizeAnchor xmlns:cdr="http://schemas.openxmlformats.org/drawingml/2006/chartDrawing">
    <cdr:from>
      <cdr:x>0.17729</cdr:x>
      <cdr:y>0.52042</cdr:y>
    </cdr:from>
    <cdr:to>
      <cdr:x>0.21479</cdr:x>
      <cdr:y>0.55677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A8DC06A-EEAE-463D-96E2-52DD2B44EA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92251" y="2579687"/>
          <a:ext cx="315646" cy="18018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0.35505</cdr:x>
      <cdr:y>0.35468</cdr:y>
    </cdr:from>
    <cdr:to>
      <cdr:x>0.39212</cdr:x>
      <cdr:y>0.39344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70617B4A-FF4E-4071-BF15-4303296C03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988469" y="1758158"/>
          <a:ext cx="311946" cy="19208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0.22303</cdr:x>
      <cdr:y>0.26741</cdr:y>
    </cdr:from>
    <cdr:to>
      <cdr:x>0.26292</cdr:x>
      <cdr:y>0.30805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8091E3C0-E3FB-47F0-9CA7-2903DE4AA38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77220" y="1325565"/>
          <a:ext cx="335757" cy="20145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</c:userShapes>
</file>

<file path=xl/tables/table1.xml><?xml version="1.0" encoding="utf-8"?>
<table xmlns="http://schemas.openxmlformats.org/spreadsheetml/2006/main" id="1" name="Table1" displayName="Table1" ref="A1:AV10" totalsRowCount="1">
  <autoFilter ref="A1:AV9"/>
  <sortState xmlns:xlrd2="http://schemas.microsoft.com/office/spreadsheetml/2017/richdata2" ref="A2:AV9">
    <sortCondition descending="1" ref="C1:C9"/>
  </sortState>
  <tableColumns count="48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47" name="GoalDiff_P" dataDxfId="4">
      <calculatedColumnFormula>Table1[[#This Row],[GoalDiff]]-Table1[[#This Row],[xGoalDiff]]</calculatedColumnFormula>
    </tableColumn>
    <tableColumn id="11" name="GoalDiff"/>
    <tableColumn id="12" name="xGoalDiff"/>
    <tableColumn id="41" name="GoalsF_Diff" dataDxfId="0" totalsRowDxfId="3">
      <calculatedColumnFormula>Table1[[#This Row],[GoalsF]]-Table1[[#This Row],[xGoalsF]]</calculatedColumnFormula>
    </tableColumn>
    <tableColumn id="48" name="GoalsF_P" totalsRowDxfId="2" dataCellStyle="Percent">
      <calculatedColumnFormula>Table1[[#This Row],[GoalsF]]/Table1[[#This Row],[xGoalsF]]</calculatedColumnFormula>
    </tableColumn>
    <tableColumn id="13" name="GoalsF" totalsRowFunction="sum"/>
    <tableColumn id="14" name="xGoalsF" totalsRowFunction="sum"/>
    <tableColumn id="42" name="GoalsA_Diff" dataDxfId="9" totalsRowDxfId="1">
      <calculatedColumnFormula>Table1[[#This Row],[xGoalsA]]-Table1[[#This Row],[GoalsA]]</calculatedColumnFormula>
    </tableColumn>
    <tableColumn id="15" name="GoalsA" totalsRowFunction="sum"/>
    <tableColumn id="16" name="xGoalsA" totalsRowFunction="sum"/>
    <tableColumn id="43" name="2HGoalsF" totalsRowFunction="sum" dataDxfId="8">
      <calculatedColumnFormula>Table1[[#This Row],[GoalsF]]-Table1[[#This Row],[HTGoalsF]]</calculatedColumnFormula>
    </tableColumn>
    <tableColumn id="44" name="x2HGoalsF" totalsRowFunction="sum" dataDxfId="6">
      <calculatedColumnFormula>Table1[[#This Row],[xGoalsF]]-Table1[[#This Row],[xHTGoalsF]]</calculatedColumnFormula>
    </tableColumn>
    <tableColumn id="45" name="2HGoalsA" totalsRowFunction="sum" dataDxfId="7">
      <calculatedColumnFormula>Table1[[#This Row],[GoalsA]]-Table1[[#This Row],[HTGoalsA]]</calculatedColumnFormula>
    </tableColumn>
    <tableColumn id="46" name="x2HGoalsA" totalsRowFunction="sum" dataDxfId="5">
      <calculatedColumnFormula>Table1[[#This Row],[xGoalsA]]-Table1[[#This Row],[xHTGoalsA]]</calculatedColumnFormula>
    </tableColumn>
    <tableColumn id="17" name="HTGoalsF" totalsRowFunction="sum"/>
    <tableColumn id="18" name="xHTGoalsF" totalsRowFunction="sum"/>
    <tableColumn id="19" name="HTGoalsA" totalsRowFunction="sum"/>
    <tableColumn id="20" name="xHTGoalsA" totalsRowFunction="sum"/>
    <tableColumn id="21" name="ShotsF" totalsRowFunction="sum"/>
    <tableColumn id="22" name="xShotsF" totalsRowFunction="sum"/>
    <tableColumn id="23" name="ShotsA" totalsRowFunction="sum"/>
    <tableColumn id="24" name="xShotsA" totalsRowFunction="sum"/>
    <tableColumn id="25" name="ShotsTF" totalsRowFunction="sum"/>
    <tableColumn id="26" name="xShotsTF" totalsRowFunction="sum"/>
    <tableColumn id="27" name="ShotsTA" totalsRowFunction="sum"/>
    <tableColumn id="28" name="xShotsTA" totalsRowFunction="sum"/>
    <tableColumn id="29" name="Fouls" totalsRowFunction="sum"/>
    <tableColumn id="30" name="xFouls" totalsRowFunction="sum"/>
    <tableColumn id="31" name="FoulsA" totalsRowFunction="sum"/>
    <tableColumn id="32" name="xFoulsA" totalsRowFunction="sum"/>
    <tableColumn id="33" name="YCard" totalsRowFunction="sum"/>
    <tableColumn id="34" name="xYCard" totalsRowFunction="sum"/>
    <tableColumn id="35" name="YCardA" totalsRowFunction="sum"/>
    <tableColumn id="36" name="xYCardA" totalsRowFunction="sum"/>
    <tableColumn id="37" name="RCard" totalsRowFunction="sum"/>
    <tableColumn id="38" name="xRCard" totalsRowFunction="sum"/>
    <tableColumn id="39" name="RCardA" totalsRowFunction="sum"/>
    <tableColumn id="40" name="xRCardA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pane xSplit="2" topLeftCell="O1" activePane="topRight" state="frozen"/>
      <selection pane="topRight" activeCell="Y14" sqref="Y14"/>
    </sheetView>
  </sheetViews>
  <sheetFormatPr defaultRowHeight="14.25" x14ac:dyDescent="0.45"/>
  <cols>
    <col min="1" max="1" width="9.59765625" customWidth="1"/>
    <col min="11" max="11" width="11.3984375" bestFit="1" customWidth="1"/>
    <col min="13" max="13" width="9.9296875" customWidth="1"/>
    <col min="14" max="14" width="12.33203125" bestFit="1" customWidth="1"/>
    <col min="15" max="15" width="10.19921875" bestFit="1" customWidth="1"/>
    <col min="18" max="18" width="12.3984375" bestFit="1" customWidth="1"/>
    <col min="21" max="21" width="10.46484375" bestFit="1" customWidth="1"/>
    <col min="22" max="22" width="11.33203125" bestFit="1" customWidth="1"/>
    <col min="23" max="23" width="10.796875" bestFit="1" customWidth="1"/>
    <col min="24" max="24" width="11.6640625" bestFit="1" customWidth="1"/>
    <col min="25" max="25" width="9.9296875" customWidth="1"/>
    <col min="26" max="26" width="10.796875" customWidth="1"/>
    <col min="27" max="27" width="10.19921875" customWidth="1"/>
    <col min="28" max="28" width="11.06640625" customWidth="1"/>
    <col min="34" max="34" width="9.53125" customWidth="1"/>
    <col min="36" max="36" width="9.796875" customWidth="1"/>
    <col min="44" max="44" width="9.1328125" customWidth="1"/>
    <col min="48" max="48" width="9.265625" customWidth="1"/>
  </cols>
  <sheetData>
    <row r="1" spans="1:48" x14ac:dyDescent="0.4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54</v>
      </c>
      <c r="L1" t="s">
        <v>8</v>
      </c>
      <c r="M1" t="s">
        <v>9</v>
      </c>
      <c r="N1" t="s">
        <v>48</v>
      </c>
      <c r="O1" t="s">
        <v>55</v>
      </c>
      <c r="P1" t="s">
        <v>10</v>
      </c>
      <c r="Q1" t="s">
        <v>11</v>
      </c>
      <c r="R1" t="s">
        <v>49</v>
      </c>
      <c r="S1" t="s">
        <v>12</v>
      </c>
      <c r="T1" t="s">
        <v>13</v>
      </c>
      <c r="U1" t="s">
        <v>53</v>
      </c>
      <c r="V1" t="s">
        <v>52</v>
      </c>
      <c r="W1" t="s">
        <v>51</v>
      </c>
      <c r="X1" t="s">
        <v>50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</row>
    <row r="2" spans="1:48" x14ac:dyDescent="0.45">
      <c r="A2">
        <v>3</v>
      </c>
      <c r="B2" t="s">
        <v>41</v>
      </c>
      <c r="C2">
        <v>14</v>
      </c>
      <c r="D2">
        <v>14.0204069703887</v>
      </c>
      <c r="E2">
        <v>4</v>
      </c>
      <c r="F2">
        <v>2</v>
      </c>
      <c r="G2">
        <v>1</v>
      </c>
      <c r="H2">
        <v>4.1083066718386601</v>
      </c>
      <c r="I2">
        <v>1.69548695487276</v>
      </c>
      <c r="J2">
        <v>1.1962063732885699</v>
      </c>
      <c r="K2">
        <f>Table1[[#This Row],[GoalDiff]]-Table1[[#This Row],[xGoalDiff]]</f>
        <v>0.23820928687432019</v>
      </c>
      <c r="L2">
        <v>7</v>
      </c>
      <c r="M2">
        <v>6.7617907131256798</v>
      </c>
      <c r="N2" s="1">
        <f>Table1[[#This Row],[GoalsF]]-Table1[[#This Row],[xGoalsF]]</f>
        <v>-2.1275377788617007</v>
      </c>
      <c r="O2" s="2">
        <f>Table1[[#This Row],[GoalsF]]/Table1[[#This Row],[xGoalsF]]</f>
        <v>0.83793321986949321</v>
      </c>
      <c r="P2">
        <v>11</v>
      </c>
      <c r="Q2">
        <v>13.127537778861701</v>
      </c>
      <c r="R2" s="1">
        <f>Table1[[#This Row],[xGoalsA]]-Table1[[#This Row],[GoalsA]]</f>
        <v>2.3657470657360502</v>
      </c>
      <c r="S2">
        <v>4</v>
      </c>
      <c r="T2">
        <v>6.3657470657360502</v>
      </c>
      <c r="U2">
        <f>Table1[[#This Row],[GoalsF]]-Table1[[#This Row],[HTGoalsF]]</f>
        <v>10</v>
      </c>
      <c r="V2">
        <f>Table1[[#This Row],[xGoalsF]]-Table1[[#This Row],[xHTGoalsF]]</f>
        <v>7.4137949639489706</v>
      </c>
      <c r="W2">
        <f>Table1[[#This Row],[GoalsA]]-Table1[[#This Row],[HTGoalsA]]</f>
        <v>2</v>
      </c>
      <c r="X2">
        <f>Table1[[#This Row],[xGoalsA]]-Table1[[#This Row],[xHTGoalsA]]</f>
        <v>3.6136626316523501</v>
      </c>
      <c r="Y2">
        <v>1</v>
      </c>
      <c r="Z2">
        <v>5.7137428149127301</v>
      </c>
      <c r="AA2">
        <v>2</v>
      </c>
      <c r="AB2">
        <v>2.7520844340837001</v>
      </c>
      <c r="AC2">
        <v>88</v>
      </c>
      <c r="AD2">
        <v>99.159223572472001</v>
      </c>
      <c r="AE2">
        <v>56</v>
      </c>
      <c r="AF2">
        <v>65.288783026233702</v>
      </c>
      <c r="AG2">
        <v>29</v>
      </c>
      <c r="AH2">
        <v>43.244148614786397</v>
      </c>
      <c r="AI2">
        <v>18</v>
      </c>
      <c r="AJ2">
        <v>26.0771562318136</v>
      </c>
      <c r="AK2">
        <v>89</v>
      </c>
      <c r="AL2">
        <v>86.963217448537705</v>
      </c>
      <c r="AM2">
        <v>78</v>
      </c>
      <c r="AN2">
        <v>94.357326233441896</v>
      </c>
      <c r="AO2">
        <v>7</v>
      </c>
      <c r="AP2">
        <v>11.000836677166101</v>
      </c>
      <c r="AQ2">
        <v>8</v>
      </c>
      <c r="AR2">
        <v>13.850075545078701</v>
      </c>
      <c r="AS2">
        <v>1</v>
      </c>
      <c r="AT2">
        <v>0.59530780877202605</v>
      </c>
      <c r="AU2">
        <v>0</v>
      </c>
      <c r="AV2">
        <v>0.79882358809795595</v>
      </c>
    </row>
    <row r="3" spans="1:48" x14ac:dyDescent="0.45">
      <c r="A3">
        <v>4</v>
      </c>
      <c r="B3" t="s">
        <v>42</v>
      </c>
      <c r="C3">
        <v>14</v>
      </c>
      <c r="D3">
        <v>15.047298998979601</v>
      </c>
      <c r="E3">
        <v>4</v>
      </c>
      <c r="F3">
        <v>2</v>
      </c>
      <c r="G3">
        <v>1</v>
      </c>
      <c r="H3">
        <v>4.4975248832460704</v>
      </c>
      <c r="I3">
        <v>1.55472434924138</v>
      </c>
      <c r="J3">
        <v>0.94775076751253795</v>
      </c>
      <c r="K3">
        <f>Table1[[#This Row],[GoalDiff]]-Table1[[#This Row],[xGoalDiff]]</f>
        <v>-4.3741150113290903</v>
      </c>
      <c r="L3">
        <v>5</v>
      </c>
      <c r="M3">
        <v>9.3741150113290903</v>
      </c>
      <c r="N3" s="1">
        <f>Table1[[#This Row],[GoalsF]]-Table1[[#This Row],[xGoalsF]]</f>
        <v>-5.0634524717019005</v>
      </c>
      <c r="O3" s="2">
        <f>Table1[[#This Row],[GoalsF]]/Table1[[#This Row],[xGoalsF]]</f>
        <v>0.66385843609132311</v>
      </c>
      <c r="P3">
        <v>10</v>
      </c>
      <c r="Q3">
        <v>15.0634524717019</v>
      </c>
      <c r="R3" s="1">
        <f>Table1[[#This Row],[xGoalsA]]-Table1[[#This Row],[GoalsA]]</f>
        <v>0.68933746037281018</v>
      </c>
      <c r="S3">
        <v>5</v>
      </c>
      <c r="T3">
        <v>5.6893374603728102</v>
      </c>
      <c r="U3">
        <f>Table1[[#This Row],[GoalsF]]-Table1[[#This Row],[HTGoalsF]]</f>
        <v>6</v>
      </c>
      <c r="V3">
        <f>Table1[[#This Row],[xGoalsF]]-Table1[[#This Row],[xHTGoalsF]]</f>
        <v>8.3664709157393204</v>
      </c>
      <c r="W3">
        <f>Table1[[#This Row],[GoalsA]]-Table1[[#This Row],[HTGoalsA]]</f>
        <v>3</v>
      </c>
      <c r="X3">
        <f>Table1[[#This Row],[xGoalsA]]-Table1[[#This Row],[xHTGoalsA]]</f>
        <v>3.1711764181944901</v>
      </c>
      <c r="Y3">
        <v>4</v>
      </c>
      <c r="Z3">
        <v>6.69698155596258</v>
      </c>
      <c r="AA3">
        <v>2</v>
      </c>
      <c r="AB3">
        <v>2.51816104217832</v>
      </c>
      <c r="AC3">
        <v>107</v>
      </c>
      <c r="AD3">
        <v>104.250903527727</v>
      </c>
      <c r="AE3">
        <v>57</v>
      </c>
      <c r="AF3">
        <v>62.186692845144897</v>
      </c>
      <c r="AG3">
        <v>38</v>
      </c>
      <c r="AH3">
        <v>46.448326893092499</v>
      </c>
      <c r="AI3">
        <v>15</v>
      </c>
      <c r="AJ3">
        <v>24.649232973914401</v>
      </c>
      <c r="AK3">
        <v>94</v>
      </c>
      <c r="AL3">
        <v>83.245269568681195</v>
      </c>
      <c r="AM3">
        <v>76</v>
      </c>
      <c r="AN3">
        <v>92.066536546274307</v>
      </c>
      <c r="AO3">
        <v>12</v>
      </c>
      <c r="AP3">
        <v>10.554702747094201</v>
      </c>
      <c r="AQ3">
        <v>14</v>
      </c>
      <c r="AR3">
        <v>13.6355992603364</v>
      </c>
      <c r="AS3">
        <v>1</v>
      </c>
      <c r="AT3">
        <v>0.50541705929209901</v>
      </c>
      <c r="AU3">
        <v>3</v>
      </c>
      <c r="AV3">
        <v>0.82816847429039198</v>
      </c>
    </row>
    <row r="4" spans="1:48" x14ac:dyDescent="0.45">
      <c r="A4">
        <v>7</v>
      </c>
      <c r="B4" t="s">
        <v>45</v>
      </c>
      <c r="C4">
        <v>13</v>
      </c>
      <c r="D4">
        <v>12.0789782447004</v>
      </c>
      <c r="E4">
        <v>3</v>
      </c>
      <c r="F4">
        <v>4</v>
      </c>
      <c r="G4">
        <v>0</v>
      </c>
      <c r="H4">
        <v>3.4576182672763598</v>
      </c>
      <c r="I4">
        <v>1.7061234428713199</v>
      </c>
      <c r="J4">
        <v>1.8362582898523101</v>
      </c>
      <c r="K4">
        <f>Table1[[#This Row],[GoalDiff]]-Table1[[#This Row],[xGoalDiff]]</f>
        <v>3.26203284200826</v>
      </c>
      <c r="L4">
        <v>7</v>
      </c>
      <c r="M4">
        <v>3.73796715799174</v>
      </c>
      <c r="N4" s="1">
        <f>Table1[[#This Row],[GoalsF]]-Table1[[#This Row],[xGoalsF]]</f>
        <v>-0.62931924192509925</v>
      </c>
      <c r="O4" s="2">
        <f>Table1[[#This Row],[GoalsF]]/Table1[[#This Row],[xGoalsF]]</f>
        <v>0.94588511770694816</v>
      </c>
      <c r="P4">
        <v>11</v>
      </c>
      <c r="Q4">
        <v>11.629319241925099</v>
      </c>
      <c r="R4" s="1">
        <f>Table1[[#This Row],[xGoalsA]]-Table1[[#This Row],[GoalsA]]</f>
        <v>3.8913520839333504</v>
      </c>
      <c r="S4">
        <v>4</v>
      </c>
      <c r="T4">
        <v>7.8913520839333504</v>
      </c>
      <c r="U4">
        <f>Table1[[#This Row],[GoalsF]]-Table1[[#This Row],[HTGoalsF]]</f>
        <v>7</v>
      </c>
      <c r="V4">
        <f>Table1[[#This Row],[xGoalsF]]-Table1[[#This Row],[xHTGoalsF]]</f>
        <v>6.5334708105029495</v>
      </c>
      <c r="W4">
        <f>Table1[[#This Row],[GoalsA]]-Table1[[#This Row],[HTGoalsA]]</f>
        <v>1</v>
      </c>
      <c r="X4">
        <f>Table1[[#This Row],[xGoalsA]]-Table1[[#This Row],[xHTGoalsA]]</f>
        <v>4.3915663204592104</v>
      </c>
      <c r="Y4">
        <v>4</v>
      </c>
      <c r="Z4">
        <v>5.0958484314221497</v>
      </c>
      <c r="AA4">
        <v>3</v>
      </c>
      <c r="AB4">
        <v>3.4997857634741401</v>
      </c>
      <c r="AC4">
        <v>83</v>
      </c>
      <c r="AD4">
        <v>91.793380816555597</v>
      </c>
      <c r="AE4">
        <v>67</v>
      </c>
      <c r="AF4">
        <v>73.040821358580203</v>
      </c>
      <c r="AG4">
        <v>26</v>
      </c>
      <c r="AH4">
        <v>39.913115222158602</v>
      </c>
      <c r="AI4">
        <v>16</v>
      </c>
      <c r="AJ4">
        <v>30.294403443822301</v>
      </c>
      <c r="AK4">
        <v>114</v>
      </c>
      <c r="AL4">
        <v>88.312099753294206</v>
      </c>
      <c r="AM4">
        <v>128</v>
      </c>
      <c r="AN4">
        <v>92.127142688969499</v>
      </c>
      <c r="AO4">
        <v>13</v>
      </c>
      <c r="AP4">
        <v>11.042152343447301</v>
      </c>
      <c r="AQ4">
        <v>17</v>
      </c>
      <c r="AR4">
        <v>12.7141352707088</v>
      </c>
      <c r="AS4">
        <v>0</v>
      </c>
      <c r="AT4">
        <v>0.58778375248372206</v>
      </c>
      <c r="AU4">
        <v>0</v>
      </c>
      <c r="AV4">
        <v>0.77315378491918196</v>
      </c>
    </row>
    <row r="5" spans="1:48" x14ac:dyDescent="0.45">
      <c r="A5">
        <v>2</v>
      </c>
      <c r="B5" t="s">
        <v>40</v>
      </c>
      <c r="C5">
        <v>11</v>
      </c>
      <c r="D5">
        <v>7.3978882144919202</v>
      </c>
      <c r="E5">
        <v>3</v>
      </c>
      <c r="F5">
        <v>2</v>
      </c>
      <c r="G5">
        <v>2</v>
      </c>
      <c r="H5">
        <v>1.7899732411929199</v>
      </c>
      <c r="I5">
        <v>2.0279684909131399</v>
      </c>
      <c r="J5">
        <v>3.18205826789392</v>
      </c>
      <c r="K5">
        <f>Table1[[#This Row],[GoalDiff]]-Table1[[#This Row],[xGoalDiff]]</f>
        <v>3.9633170106030402</v>
      </c>
      <c r="L5">
        <v>1</v>
      </c>
      <c r="M5">
        <v>-2.9633170106030402</v>
      </c>
      <c r="N5" s="1">
        <f>Table1[[#This Row],[GoalsF]]-Table1[[#This Row],[xGoalsF]]</f>
        <v>1.2918215649840201</v>
      </c>
      <c r="O5" s="2">
        <f>Table1[[#This Row],[GoalsF]]/Table1[[#This Row],[xGoalsF]]</f>
        <v>1.1675910302122297</v>
      </c>
      <c r="P5">
        <v>9</v>
      </c>
      <c r="Q5">
        <v>7.7081784350159799</v>
      </c>
      <c r="R5" s="1">
        <f>Table1[[#This Row],[xGoalsA]]-Table1[[#This Row],[GoalsA]]</f>
        <v>2.6714954456189997</v>
      </c>
      <c r="S5">
        <v>8</v>
      </c>
      <c r="T5">
        <v>10.671495445619</v>
      </c>
      <c r="U5">
        <f>Table1[[#This Row],[GoalsF]]-Table1[[#This Row],[HTGoalsF]]</f>
        <v>5</v>
      </c>
      <c r="V5">
        <f>Table1[[#This Row],[xGoalsF]]-Table1[[#This Row],[xHTGoalsF]]</f>
        <v>4.2771187886798305</v>
      </c>
      <c r="W5">
        <f>Table1[[#This Row],[GoalsA]]-Table1[[#This Row],[HTGoalsA]]</f>
        <v>5</v>
      </c>
      <c r="X5">
        <f>Table1[[#This Row],[xGoalsA]]-Table1[[#This Row],[xHTGoalsA]]</f>
        <v>5.9882527681677997</v>
      </c>
      <c r="Y5">
        <v>4</v>
      </c>
      <c r="Z5">
        <v>3.4310596463361498</v>
      </c>
      <c r="AA5">
        <v>3</v>
      </c>
      <c r="AB5">
        <v>4.6832426774511999</v>
      </c>
      <c r="AC5">
        <v>61</v>
      </c>
      <c r="AD5">
        <v>71.786973438965703</v>
      </c>
      <c r="AE5">
        <v>62</v>
      </c>
      <c r="AF5">
        <v>86.884608769667494</v>
      </c>
      <c r="AG5">
        <v>20</v>
      </c>
      <c r="AH5">
        <v>29.937916771738799</v>
      </c>
      <c r="AI5">
        <v>24</v>
      </c>
      <c r="AJ5">
        <v>37.522887381289401</v>
      </c>
      <c r="AK5">
        <v>106</v>
      </c>
      <c r="AL5">
        <v>92.961613763467696</v>
      </c>
      <c r="AM5">
        <v>115</v>
      </c>
      <c r="AN5">
        <v>89.614098899771605</v>
      </c>
      <c r="AO5">
        <v>8</v>
      </c>
      <c r="AP5">
        <v>13.033880114539199</v>
      </c>
      <c r="AQ5">
        <v>9</v>
      </c>
      <c r="AR5">
        <v>11.499175329653299</v>
      </c>
      <c r="AS5">
        <v>0</v>
      </c>
      <c r="AT5">
        <v>0.85471830120857495</v>
      </c>
      <c r="AU5">
        <v>0</v>
      </c>
      <c r="AV5">
        <v>0.67035558881089596</v>
      </c>
    </row>
    <row r="6" spans="1:48" x14ac:dyDescent="0.45">
      <c r="A6">
        <v>0</v>
      </c>
      <c r="B6" t="s">
        <v>38</v>
      </c>
      <c r="C6">
        <v>6</v>
      </c>
      <c r="D6">
        <v>6.3554013704554198</v>
      </c>
      <c r="E6">
        <v>1</v>
      </c>
      <c r="F6">
        <v>3</v>
      </c>
      <c r="G6">
        <v>3</v>
      </c>
      <c r="H6">
        <v>1.5414185926175401</v>
      </c>
      <c r="I6">
        <v>1.7311455926027901</v>
      </c>
      <c r="J6">
        <v>3.72743581477966</v>
      </c>
      <c r="K6">
        <f>Table1[[#This Row],[GoalDiff]]-Table1[[#This Row],[xGoalDiff]]</f>
        <v>1.49229293483004</v>
      </c>
      <c r="L6">
        <v>-4</v>
      </c>
      <c r="M6">
        <v>-5.49229293483004</v>
      </c>
      <c r="N6" s="1">
        <f>Table1[[#This Row],[GoalsF]]-Table1[[#This Row],[xGoalsF]]</f>
        <v>-2.0286291581206202</v>
      </c>
      <c r="O6" s="2">
        <f>Table1[[#This Row],[GoalsF]]/Table1[[#This Row],[xGoalsF]]</f>
        <v>0.7113762708939031</v>
      </c>
      <c r="P6">
        <v>5</v>
      </c>
      <c r="Q6">
        <v>7.0286291581206202</v>
      </c>
      <c r="R6" s="1">
        <f>Table1[[#This Row],[xGoalsA]]-Table1[[#This Row],[GoalsA]]</f>
        <v>3.5209220929506007</v>
      </c>
      <c r="S6">
        <v>9</v>
      </c>
      <c r="T6">
        <v>12.520922092950601</v>
      </c>
      <c r="U6">
        <f>Table1[[#This Row],[GoalsF]]-Table1[[#This Row],[HTGoalsF]]</f>
        <v>4</v>
      </c>
      <c r="V6">
        <f>Table1[[#This Row],[xGoalsF]]-Table1[[#This Row],[xHTGoalsF]]</f>
        <v>3.9464305366925103</v>
      </c>
      <c r="W6">
        <f>Table1[[#This Row],[GoalsA]]-Table1[[#This Row],[HTGoalsA]]</f>
        <v>6</v>
      </c>
      <c r="X6">
        <f>Table1[[#This Row],[xGoalsA]]-Table1[[#This Row],[xHTGoalsA]]</f>
        <v>6.9512833379771406</v>
      </c>
      <c r="Y6">
        <v>1</v>
      </c>
      <c r="Z6">
        <v>3.0821986214281099</v>
      </c>
      <c r="AA6">
        <v>3</v>
      </c>
      <c r="AB6">
        <v>5.5696387549734601</v>
      </c>
      <c r="AC6">
        <v>57</v>
      </c>
      <c r="AD6">
        <v>67.619338641487701</v>
      </c>
      <c r="AE6">
        <v>114</v>
      </c>
      <c r="AF6">
        <v>96.826384518626597</v>
      </c>
      <c r="AG6">
        <v>16</v>
      </c>
      <c r="AH6">
        <v>27.635146788076</v>
      </c>
      <c r="AI6">
        <v>38</v>
      </c>
      <c r="AJ6">
        <v>42.530106511292097</v>
      </c>
      <c r="AK6">
        <v>106</v>
      </c>
      <c r="AL6">
        <v>92.632927415278601</v>
      </c>
      <c r="AM6">
        <v>88</v>
      </c>
      <c r="AN6">
        <v>86.447043442750697</v>
      </c>
      <c r="AO6">
        <v>14</v>
      </c>
      <c r="AP6">
        <v>13.2289553927812</v>
      </c>
      <c r="AQ6">
        <v>5</v>
      </c>
      <c r="AR6">
        <v>10.7760091805002</v>
      </c>
      <c r="AS6">
        <v>0</v>
      </c>
      <c r="AT6">
        <v>0.83943372346967404</v>
      </c>
      <c r="AU6">
        <v>0</v>
      </c>
      <c r="AV6">
        <v>0.55341717635335397</v>
      </c>
    </row>
    <row r="7" spans="1:48" x14ac:dyDescent="0.45">
      <c r="A7">
        <v>1</v>
      </c>
      <c r="B7" t="s">
        <v>39</v>
      </c>
      <c r="C7">
        <v>6</v>
      </c>
      <c r="D7">
        <v>8.0878067648076897</v>
      </c>
      <c r="E7">
        <v>1</v>
      </c>
      <c r="F7">
        <v>3</v>
      </c>
      <c r="G7">
        <v>3</v>
      </c>
      <c r="H7">
        <v>2.0932534615869201</v>
      </c>
      <c r="I7">
        <v>1.80804638004692</v>
      </c>
      <c r="J7">
        <v>3.09870015836615</v>
      </c>
      <c r="K7">
        <f>Table1[[#This Row],[GoalDiff]]-Table1[[#This Row],[xGoalDiff]]</f>
        <v>0.87879201529421991</v>
      </c>
      <c r="L7">
        <v>-2</v>
      </c>
      <c r="M7">
        <v>-2.8787920152942199</v>
      </c>
      <c r="N7" s="1">
        <f>Table1[[#This Row],[GoalsF]]-Table1[[#This Row],[xGoalsF]]</f>
        <v>-4.1864549868758605</v>
      </c>
      <c r="O7" s="2">
        <f>Table1[[#This Row],[GoalsF]]/Table1[[#This Row],[xGoalsF]]</f>
        <v>0.48861198240418008</v>
      </c>
      <c r="P7">
        <v>4</v>
      </c>
      <c r="Q7">
        <v>8.1864549868758605</v>
      </c>
      <c r="R7" s="1">
        <f>Table1[[#This Row],[xGoalsA]]-Table1[[#This Row],[GoalsA]]</f>
        <v>5.0652470021700005</v>
      </c>
      <c r="S7">
        <v>6</v>
      </c>
      <c r="T7">
        <v>11.06524700217</v>
      </c>
      <c r="U7">
        <f>Table1[[#This Row],[GoalsF]]-Table1[[#This Row],[HTGoalsF]]</f>
        <v>2</v>
      </c>
      <c r="V7">
        <f>Table1[[#This Row],[xGoalsF]]-Table1[[#This Row],[xHTGoalsF]]</f>
        <v>4.5903750733816704</v>
      </c>
      <c r="W7">
        <f>Table1[[#This Row],[GoalsA]]-Table1[[#This Row],[HTGoalsA]]</f>
        <v>3</v>
      </c>
      <c r="X7">
        <f>Table1[[#This Row],[xGoalsA]]-Table1[[#This Row],[xHTGoalsA]]</f>
        <v>6.2252014515784202</v>
      </c>
      <c r="Y7">
        <v>2</v>
      </c>
      <c r="Z7">
        <v>3.5960799134941901</v>
      </c>
      <c r="AA7">
        <v>3</v>
      </c>
      <c r="AB7">
        <v>4.8400455505915803</v>
      </c>
      <c r="AC7">
        <v>57</v>
      </c>
      <c r="AD7">
        <v>74.610853091022506</v>
      </c>
      <c r="AE7">
        <v>94</v>
      </c>
      <c r="AF7">
        <v>88.113220901393106</v>
      </c>
      <c r="AG7">
        <v>26</v>
      </c>
      <c r="AH7">
        <v>31.501792976073101</v>
      </c>
      <c r="AI7">
        <v>25</v>
      </c>
      <c r="AJ7">
        <v>38.3291936330955</v>
      </c>
      <c r="AK7">
        <v>114</v>
      </c>
      <c r="AL7">
        <v>92.766119221571003</v>
      </c>
      <c r="AM7">
        <v>107</v>
      </c>
      <c r="AN7">
        <v>89.100048769010897</v>
      </c>
      <c r="AO7">
        <v>11</v>
      </c>
      <c r="AP7">
        <v>12.672006218959901</v>
      </c>
      <c r="AQ7">
        <v>11</v>
      </c>
      <c r="AR7">
        <v>11.589514957041001</v>
      </c>
      <c r="AS7">
        <v>0</v>
      </c>
      <c r="AT7">
        <v>0.72296098496573602</v>
      </c>
      <c r="AU7">
        <v>1</v>
      </c>
      <c r="AV7">
        <v>0.63170079543093605</v>
      </c>
    </row>
    <row r="8" spans="1:48" x14ac:dyDescent="0.45">
      <c r="A8">
        <v>5</v>
      </c>
      <c r="B8" t="s">
        <v>43</v>
      </c>
      <c r="C8">
        <v>6</v>
      </c>
      <c r="D8">
        <v>5.93078634715165</v>
      </c>
      <c r="E8">
        <v>1</v>
      </c>
      <c r="F8">
        <v>3</v>
      </c>
      <c r="G8">
        <v>3</v>
      </c>
      <c r="H8">
        <v>1.3430001033067001</v>
      </c>
      <c r="I8">
        <v>1.90178603723154</v>
      </c>
      <c r="J8">
        <v>3.7552138594617501</v>
      </c>
      <c r="K8">
        <f>Table1[[#This Row],[GoalDiff]]-Table1[[#This Row],[xGoalDiff]]</f>
        <v>0.57290376476946037</v>
      </c>
      <c r="L8">
        <v>-5</v>
      </c>
      <c r="M8">
        <v>-5.5729037647694604</v>
      </c>
      <c r="N8" s="1">
        <f>Table1[[#This Row],[GoalsF]]-Table1[[#This Row],[xGoalsF]]</f>
        <v>-3.7196537260776497</v>
      </c>
      <c r="O8" s="2">
        <f>Table1[[#This Row],[GoalsF]]/Table1[[#This Row],[xGoalsF]]</f>
        <v>0.44645157656823775</v>
      </c>
      <c r="P8">
        <v>3</v>
      </c>
      <c r="Q8">
        <v>6.7196537260776497</v>
      </c>
      <c r="R8" s="1">
        <f>Table1[[#This Row],[xGoalsA]]-Table1[[#This Row],[GoalsA]]</f>
        <v>4.2925574908471003</v>
      </c>
      <c r="S8">
        <v>8</v>
      </c>
      <c r="T8">
        <v>12.2925574908471</v>
      </c>
      <c r="U8">
        <f>Table1[[#This Row],[GoalsF]]-Table1[[#This Row],[HTGoalsF]]</f>
        <v>1</v>
      </c>
      <c r="V8">
        <f>Table1[[#This Row],[xGoalsF]]-Table1[[#This Row],[xHTGoalsF]]</f>
        <v>3.7613587367922996</v>
      </c>
      <c r="W8">
        <f>Table1[[#This Row],[GoalsA]]-Table1[[#This Row],[HTGoalsA]]</f>
        <v>5</v>
      </c>
      <c r="X8">
        <f>Table1[[#This Row],[xGoalsA]]-Table1[[#This Row],[xHTGoalsA]]</f>
        <v>6.9311982648762802</v>
      </c>
      <c r="Y8">
        <v>2</v>
      </c>
      <c r="Z8">
        <v>2.9582949892853501</v>
      </c>
      <c r="AA8">
        <v>3</v>
      </c>
      <c r="AB8">
        <v>5.36135922597082</v>
      </c>
      <c r="AC8">
        <v>62</v>
      </c>
      <c r="AD8">
        <v>68.878005336440594</v>
      </c>
      <c r="AE8">
        <v>80</v>
      </c>
      <c r="AF8">
        <v>91.910245578458799</v>
      </c>
      <c r="AG8">
        <v>17</v>
      </c>
      <c r="AH8">
        <v>28.1362538302498</v>
      </c>
      <c r="AI8">
        <v>29</v>
      </c>
      <c r="AJ8">
        <v>40.184127327793597</v>
      </c>
      <c r="AK8">
        <v>115</v>
      </c>
      <c r="AL8">
        <v>92.660641635507702</v>
      </c>
      <c r="AM8">
        <v>123</v>
      </c>
      <c r="AN8">
        <v>87.549086664518597</v>
      </c>
      <c r="AO8">
        <v>10</v>
      </c>
      <c r="AP8">
        <v>13.441240446410401</v>
      </c>
      <c r="AQ8">
        <v>12</v>
      </c>
      <c r="AR8">
        <v>11.559484706508201</v>
      </c>
      <c r="AS8">
        <v>2</v>
      </c>
      <c r="AT8">
        <v>0.75928870714922203</v>
      </c>
      <c r="AU8">
        <v>1</v>
      </c>
      <c r="AV8">
        <v>0.63679713579553499</v>
      </c>
    </row>
    <row r="9" spans="1:48" x14ac:dyDescent="0.45">
      <c r="A9">
        <v>6</v>
      </c>
      <c r="B9" t="s">
        <v>44</v>
      </c>
      <c r="C9">
        <v>3</v>
      </c>
      <c r="D9">
        <v>7.9320719780943003</v>
      </c>
      <c r="E9">
        <v>0</v>
      </c>
      <c r="F9">
        <v>3</v>
      </c>
      <c r="G9">
        <v>4</v>
      </c>
      <c r="H9">
        <v>2.01954366800457</v>
      </c>
      <c r="I9">
        <v>1.87344097408057</v>
      </c>
      <c r="J9">
        <v>3.1070153579148401</v>
      </c>
      <c r="K9">
        <f>Table1[[#This Row],[GoalDiff]]-Table1[[#This Row],[xGoalDiff]]</f>
        <v>-6.0334328430502495</v>
      </c>
      <c r="L9">
        <v>-9</v>
      </c>
      <c r="M9">
        <v>-2.96656715694975</v>
      </c>
      <c r="N9" s="1">
        <f>Table1[[#This Row],[GoalsF]]-Table1[[#This Row],[xGoalsF]]</f>
        <v>-4.0217058264144701</v>
      </c>
      <c r="O9" s="2">
        <f>Table1[[#This Row],[GoalsF]]/Table1[[#This Row],[xGoalsF]]</f>
        <v>0.49864705669316645</v>
      </c>
      <c r="P9">
        <v>4</v>
      </c>
      <c r="Q9">
        <v>8.0217058264144701</v>
      </c>
      <c r="R9" s="1">
        <f>Table1[[#This Row],[xGoalsA]]-Table1[[#This Row],[GoalsA]]</f>
        <v>-2.0117270166358008</v>
      </c>
      <c r="S9">
        <v>13</v>
      </c>
      <c r="T9">
        <v>10.988272983364199</v>
      </c>
      <c r="U9">
        <f>Table1[[#This Row],[GoalsF]]-Table1[[#This Row],[HTGoalsF]]</f>
        <v>1</v>
      </c>
      <c r="V9">
        <f>Table1[[#This Row],[xGoalsF]]-Table1[[#This Row],[xHTGoalsF]]</f>
        <v>4.5466313020081</v>
      </c>
      <c r="W9">
        <f>Table1[[#This Row],[GoalsA]]-Table1[[#This Row],[HTGoalsA]]</f>
        <v>11</v>
      </c>
      <c r="X9">
        <f>Table1[[#This Row],[xGoalsA]]-Table1[[#This Row],[xHTGoalsA]]</f>
        <v>6.1633099348397691</v>
      </c>
      <c r="Y9">
        <v>3</v>
      </c>
      <c r="Z9">
        <v>3.4750745244063701</v>
      </c>
      <c r="AA9">
        <v>2</v>
      </c>
      <c r="AB9">
        <v>4.8249630485244301</v>
      </c>
      <c r="AC9">
        <v>100</v>
      </c>
      <c r="AD9">
        <v>73.838704100350995</v>
      </c>
      <c r="AE9">
        <v>85</v>
      </c>
      <c r="AF9">
        <v>87.686625526917197</v>
      </c>
      <c r="AG9">
        <v>25</v>
      </c>
      <c r="AH9">
        <v>30.682741760553299</v>
      </c>
      <c r="AI9">
        <v>32</v>
      </c>
      <c r="AJ9">
        <v>37.912335353707597</v>
      </c>
      <c r="AK9">
        <v>95</v>
      </c>
      <c r="AL9">
        <v>91.435153152814905</v>
      </c>
      <c r="AM9">
        <v>118</v>
      </c>
      <c r="AN9">
        <v>89.7157587144156</v>
      </c>
      <c r="AO9">
        <v>10</v>
      </c>
      <c r="AP9">
        <v>12.4268106197084</v>
      </c>
      <c r="AQ9">
        <v>9</v>
      </c>
      <c r="AR9">
        <v>11.7765903102802</v>
      </c>
      <c r="AS9">
        <v>1</v>
      </c>
      <c r="AT9">
        <v>0.74451311750175497</v>
      </c>
      <c r="AU9">
        <v>0</v>
      </c>
      <c r="AV9">
        <v>0.71700691114455795</v>
      </c>
    </row>
    <row r="10" spans="1:48" x14ac:dyDescent="0.45">
      <c r="C10">
        <f>SUM(Table1[Points])</f>
        <v>73</v>
      </c>
      <c r="D10">
        <f>SUBTOTAL(109,Table1[xPoints])</f>
        <v>76.850638889069671</v>
      </c>
      <c r="E10">
        <f>SUBTOTAL(109,Table1[Wins])</f>
        <v>17</v>
      </c>
      <c r="F10">
        <f>SUBTOTAL(109,Table1[Draws])</f>
        <v>22</v>
      </c>
      <c r="H10">
        <f>SUBTOTAL(109,Table1[xWins])</f>
        <v>20.850638889069739</v>
      </c>
      <c r="I10">
        <f>SUBTOTAL(109,Table1[xDraws])</f>
        <v>14.29872222186042</v>
      </c>
      <c r="N10" s="1"/>
      <c r="O10" s="1"/>
      <c r="P10">
        <f>SUBTOTAL(109,Table1[GoalsF])</f>
        <v>57</v>
      </c>
      <c r="Q10">
        <f>SUBTOTAL(109,Table1[xGoalsF])</f>
        <v>77.484931624993294</v>
      </c>
      <c r="R10" s="1"/>
      <c r="S10">
        <f>SUBTOTAL(109,Table1[GoalsA])</f>
        <v>57</v>
      </c>
      <c r="T10">
        <f>SUBTOTAL(109,Table1[xGoalsA])</f>
        <v>77.484931624993109</v>
      </c>
      <c r="U10">
        <f>SUBTOTAL(109,Table1[2HGoalsF])</f>
        <v>36</v>
      </c>
      <c r="V10">
        <f>SUBTOTAL(109,Table1[x2HGoalsF])</f>
        <v>43.435651127745651</v>
      </c>
      <c r="W10">
        <f>SUBTOTAL(109,Table1[2HGoalsA])</f>
        <v>36</v>
      </c>
      <c r="X10">
        <f>SUBTOTAL(109,Table1[x2HGoalsA])</f>
        <v>43.435651127745459</v>
      </c>
      <c r="Y10">
        <f>SUBTOTAL(109,Table1[HTGoalsF])</f>
        <v>21</v>
      </c>
      <c r="Z10">
        <f>SUBTOTAL(109,Table1[xHTGoalsF])</f>
        <v>34.049280497247629</v>
      </c>
      <c r="AA10">
        <f>SUBTOTAL(109,Table1[HTGoalsA])</f>
        <v>21</v>
      </c>
      <c r="AB10">
        <f>SUBTOTAL(109,Table1[xHTGoalsA])</f>
        <v>34.049280497247651</v>
      </c>
      <c r="AC10">
        <f>SUBTOTAL(109,Table1[ShotsF])</f>
        <v>615</v>
      </c>
      <c r="AD10">
        <f>SUBTOTAL(109,Table1[xShotsF])</f>
        <v>651.93738252502214</v>
      </c>
      <c r="AE10">
        <f>SUBTOTAL(109,Table1[ShotsA])</f>
        <v>615</v>
      </c>
      <c r="AF10">
        <f>SUBTOTAL(109,Table1[xShotsA])</f>
        <v>651.93738252502192</v>
      </c>
      <c r="AG10">
        <f>SUBTOTAL(109,Table1[ShotsTF])</f>
        <v>197</v>
      </c>
      <c r="AH10">
        <f>SUBTOTAL(109,Table1[xShotsTF])</f>
        <v>277.49944285672854</v>
      </c>
      <c r="AI10">
        <f>SUBTOTAL(109,Table1[ShotsTA])</f>
        <v>197</v>
      </c>
      <c r="AJ10">
        <f>SUBTOTAL(109,Table1[xShotsTA])</f>
        <v>277.49944285672848</v>
      </c>
      <c r="AK10">
        <f>SUBTOTAL(109,Table1[Fouls])</f>
        <v>833</v>
      </c>
      <c r="AL10">
        <f>SUBTOTAL(109,Table1[xFouls])</f>
        <v>720.97704195915298</v>
      </c>
      <c r="AM10">
        <f>SUBTOTAL(109,Table1[FoulsA])</f>
        <v>833</v>
      </c>
      <c r="AN10">
        <f>SUBTOTAL(109,Table1[xFoulsA])</f>
        <v>720.97704195915321</v>
      </c>
      <c r="AO10">
        <f>SUBTOTAL(109,Table1[YCard])</f>
        <v>85</v>
      </c>
      <c r="AP10">
        <f>SUBTOTAL(109,Table1[xYCard])</f>
        <v>97.400584560106708</v>
      </c>
      <c r="AQ10">
        <f>SUBTOTAL(109,Table1[YCardA])</f>
        <v>85</v>
      </c>
      <c r="AR10">
        <f>SUBTOTAL(109,Table1[xYCardA])</f>
        <v>97.400584560106807</v>
      </c>
      <c r="AS10">
        <f>SUBTOTAL(109,Table1[RCard])</f>
        <v>5</v>
      </c>
      <c r="AT10">
        <f>SUBTOTAL(109,Table1[xRCard])</f>
        <v>5.6094234548428101</v>
      </c>
      <c r="AU10">
        <f>SUBTOTAL(109,Table1[RCardA])</f>
        <v>5</v>
      </c>
      <c r="AV10">
        <f>SUBTOTAL(109,Table1[xRCardA])</f>
        <v>5.6094234548428084</v>
      </c>
    </row>
    <row r="12" spans="1:48" x14ac:dyDescent="0.45">
      <c r="C12">
        <v>73</v>
      </c>
      <c r="D12">
        <v>76.850638889069685</v>
      </c>
      <c r="E12">
        <v>17</v>
      </c>
      <c r="F12">
        <v>22</v>
      </c>
      <c r="H12">
        <v>20.850638889069742</v>
      </c>
      <c r="I12">
        <v>14.29872222186042</v>
      </c>
      <c r="P12">
        <v>57</v>
      </c>
      <c r="Q12">
        <v>77.484931624993294</v>
      </c>
      <c r="S12">
        <v>57</v>
      </c>
      <c r="T12">
        <v>77.484931624993123</v>
      </c>
      <c r="U12">
        <v>36</v>
      </c>
      <c r="V12">
        <v>43.435651127745651</v>
      </c>
      <c r="W12">
        <v>36</v>
      </c>
      <c r="X12">
        <v>43.435651127745459</v>
      </c>
      <c r="Y12">
        <v>21</v>
      </c>
      <c r="Z12">
        <v>34.049280497247629</v>
      </c>
      <c r="AA12">
        <v>21</v>
      </c>
      <c r="AB12">
        <v>34.049280497247651</v>
      </c>
      <c r="AC12">
        <v>615</v>
      </c>
      <c r="AD12">
        <v>651.93738252502203</v>
      </c>
      <c r="AE12">
        <v>615</v>
      </c>
      <c r="AF12">
        <v>651.93738252502192</v>
      </c>
      <c r="AG12">
        <v>197</v>
      </c>
      <c r="AH12">
        <v>277.49944285672848</v>
      </c>
      <c r="AI12">
        <v>197</v>
      </c>
      <c r="AJ12">
        <v>277.49944285672848</v>
      </c>
      <c r="AK12">
        <v>833</v>
      </c>
      <c r="AL12">
        <v>720.97704195915298</v>
      </c>
      <c r="AM12">
        <v>833</v>
      </c>
      <c r="AN12">
        <v>720.9770419591531</v>
      </c>
      <c r="AO12">
        <v>85</v>
      </c>
      <c r="AP12">
        <v>97.400584560106708</v>
      </c>
      <c r="AQ12">
        <v>85</v>
      </c>
      <c r="AR12">
        <v>97.400584560106793</v>
      </c>
      <c r="AS12">
        <v>5</v>
      </c>
      <c r="AT12">
        <v>5.6094234548428092</v>
      </c>
      <c r="AU12">
        <v>5</v>
      </c>
      <c r="AV12">
        <v>5.6094234548428084</v>
      </c>
    </row>
    <row r="14" spans="1:48" x14ac:dyDescent="0.45">
      <c r="C14" s="2">
        <f>C12/D12</f>
        <v>0.94989451038100148</v>
      </c>
      <c r="D14" s="2"/>
      <c r="E14" s="2">
        <f>E12/H12</f>
        <v>0.81532273857141557</v>
      </c>
      <c r="F14" s="2">
        <f>F12/I12</f>
        <v>1.5385990201533939</v>
      </c>
      <c r="G14" s="2"/>
      <c r="H14" s="2"/>
      <c r="I14" s="2"/>
      <c r="J14" s="2"/>
      <c r="K14" s="2"/>
      <c r="L14" s="2"/>
      <c r="M14" s="2"/>
      <c r="N14" s="2"/>
      <c r="O14" s="2"/>
      <c r="P14" s="2">
        <f>P12/Q12</f>
        <v>0.73562689938045012</v>
      </c>
      <c r="Q14" s="2"/>
      <c r="R14" s="2"/>
      <c r="S14" s="2"/>
      <c r="T14" s="2"/>
      <c r="U14" s="2">
        <f>U12/V12</f>
        <v>0.82881225595359076</v>
      </c>
      <c r="V14" s="2"/>
      <c r="W14" s="2"/>
      <c r="X14" s="2"/>
      <c r="Y14" s="2">
        <f>Y12/Z12</f>
        <v>0.61675312057467802</v>
      </c>
      <c r="Z14" s="2"/>
      <c r="AA14" s="2"/>
      <c r="AB14" s="2"/>
      <c r="AC14" s="2">
        <f>AC12/AD12</f>
        <v>0.94334213144526291</v>
      </c>
      <c r="AD14" s="2"/>
      <c r="AE14" s="2"/>
      <c r="AF14" s="2"/>
      <c r="AG14" s="2">
        <f>AG12/AH12</f>
        <v>0.70991133521558125</v>
      </c>
      <c r="AH14" s="2"/>
      <c r="AI14" s="2"/>
      <c r="AJ14" s="2"/>
      <c r="AK14" s="2">
        <f>AK12/AL12</f>
        <v>1.1553765952608428</v>
      </c>
      <c r="AL14" s="2"/>
      <c r="AM14" s="2"/>
      <c r="AN14" s="2"/>
      <c r="AO14" s="2">
        <f>AO12/AP12</f>
        <v>0.87268470085562777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3" sqref="C33"/>
    </sheetView>
  </sheetViews>
  <sheetFormatPr defaultRowHeight="14.25" x14ac:dyDescent="0.45"/>
  <sheetData>
    <row r="1" spans="1:3" x14ac:dyDescent="0.45">
      <c r="A1" t="s">
        <v>47</v>
      </c>
      <c r="B1" t="s">
        <v>0</v>
      </c>
      <c r="C1" t="s">
        <v>61</v>
      </c>
    </row>
    <row r="2" spans="1:3" x14ac:dyDescent="0.45">
      <c r="A2" t="s">
        <v>41</v>
      </c>
      <c r="B2">
        <v>14</v>
      </c>
      <c r="C2" s="1">
        <v>14.0204069703887</v>
      </c>
    </row>
    <row r="3" spans="1:3" x14ac:dyDescent="0.45">
      <c r="A3" t="s">
        <v>42</v>
      </c>
      <c r="B3">
        <v>14</v>
      </c>
      <c r="C3" s="1">
        <v>15.047298998979601</v>
      </c>
    </row>
    <row r="4" spans="1:3" x14ac:dyDescent="0.45">
      <c r="A4" t="s">
        <v>45</v>
      </c>
      <c r="B4">
        <v>13</v>
      </c>
      <c r="C4" s="1">
        <v>12.0789782447004</v>
      </c>
    </row>
    <row r="5" spans="1:3" x14ac:dyDescent="0.45">
      <c r="A5" t="s">
        <v>40</v>
      </c>
      <c r="B5">
        <v>11</v>
      </c>
      <c r="C5" s="1">
        <v>7.3978882144919202</v>
      </c>
    </row>
    <row r="6" spans="1:3" x14ac:dyDescent="0.45">
      <c r="A6" t="s">
        <v>38</v>
      </c>
      <c r="B6">
        <v>6</v>
      </c>
      <c r="C6" s="1">
        <v>6.3554013704554198</v>
      </c>
    </row>
    <row r="7" spans="1:3" x14ac:dyDescent="0.45">
      <c r="A7" t="s">
        <v>39</v>
      </c>
      <c r="B7">
        <v>6</v>
      </c>
      <c r="C7" s="1">
        <v>8.0878067648076897</v>
      </c>
    </row>
    <row r="8" spans="1:3" x14ac:dyDescent="0.45">
      <c r="A8" t="s">
        <v>43</v>
      </c>
      <c r="B8">
        <v>6</v>
      </c>
      <c r="C8" s="1">
        <v>5.93078634715165</v>
      </c>
    </row>
    <row r="9" spans="1:3" x14ac:dyDescent="0.45">
      <c r="A9" t="s">
        <v>44</v>
      </c>
      <c r="B9">
        <v>3</v>
      </c>
      <c r="C9" s="1">
        <v>7.9320719780943003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9" sqref="B19"/>
    </sheetView>
  </sheetViews>
  <sheetFormatPr defaultRowHeight="14.25" x14ac:dyDescent="0.45"/>
  <sheetData>
    <row r="1" spans="1:3" x14ac:dyDescent="0.45">
      <c r="A1" t="s">
        <v>47</v>
      </c>
      <c r="B1" t="s">
        <v>62</v>
      </c>
      <c r="C1" t="s">
        <v>63</v>
      </c>
    </row>
    <row r="2" spans="1:3" x14ac:dyDescent="0.45">
      <c r="A2" t="s">
        <v>41</v>
      </c>
      <c r="B2">
        <v>11</v>
      </c>
      <c r="C2" s="1">
        <v>13.127537778861701</v>
      </c>
    </row>
    <row r="3" spans="1:3" x14ac:dyDescent="0.45">
      <c r="A3" t="s">
        <v>42</v>
      </c>
      <c r="B3">
        <v>10</v>
      </c>
      <c r="C3" s="1">
        <v>15.0634524717019</v>
      </c>
    </row>
    <row r="4" spans="1:3" x14ac:dyDescent="0.45">
      <c r="A4" t="s">
        <v>45</v>
      </c>
      <c r="B4">
        <v>11</v>
      </c>
      <c r="C4" s="1">
        <v>11.629319241925099</v>
      </c>
    </row>
    <row r="5" spans="1:3" x14ac:dyDescent="0.45">
      <c r="A5" t="s">
        <v>40</v>
      </c>
      <c r="B5">
        <v>9</v>
      </c>
      <c r="C5" s="1">
        <v>7.7081784350159799</v>
      </c>
    </row>
    <row r="6" spans="1:3" x14ac:dyDescent="0.45">
      <c r="A6" t="s">
        <v>38</v>
      </c>
      <c r="B6">
        <v>5</v>
      </c>
      <c r="C6" s="1">
        <v>7.0286291581206202</v>
      </c>
    </row>
    <row r="7" spans="1:3" x14ac:dyDescent="0.45">
      <c r="A7" t="s">
        <v>39</v>
      </c>
      <c r="B7">
        <v>4</v>
      </c>
      <c r="C7" s="1">
        <v>8.1864549868758605</v>
      </c>
    </row>
    <row r="8" spans="1:3" x14ac:dyDescent="0.45">
      <c r="A8" t="s">
        <v>43</v>
      </c>
      <c r="B8">
        <v>3</v>
      </c>
      <c r="C8" s="1">
        <v>6.7196537260776497</v>
      </c>
    </row>
    <row r="9" spans="1:3" x14ac:dyDescent="0.45">
      <c r="A9" t="s">
        <v>44</v>
      </c>
      <c r="B9">
        <v>4</v>
      </c>
      <c r="C9" s="1">
        <v>8.0217058264144701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6" sqref="B6"/>
    </sheetView>
  </sheetViews>
  <sheetFormatPr defaultRowHeight="14.25" x14ac:dyDescent="0.45"/>
  <sheetData>
    <row r="1" spans="1:13" x14ac:dyDescent="0.45">
      <c r="A1" t="s">
        <v>47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60</v>
      </c>
    </row>
    <row r="2" spans="1:13" x14ac:dyDescent="0.45">
      <c r="A2" t="s">
        <v>41</v>
      </c>
      <c r="B2">
        <v>26</v>
      </c>
      <c r="C2">
        <v>28</v>
      </c>
      <c r="D2">
        <v>24</v>
      </c>
      <c r="E2">
        <v>28</v>
      </c>
      <c r="F2">
        <v>24</v>
      </c>
      <c r="G2">
        <v>18</v>
      </c>
      <c r="H2">
        <v>22</v>
      </c>
      <c r="I2">
        <v>23</v>
      </c>
      <c r="J2">
        <v>21</v>
      </c>
      <c r="K2">
        <v>18</v>
      </c>
      <c r="L2">
        <v>21</v>
      </c>
      <c r="M2" s="1">
        <f>AVERAGE(B2:L2)</f>
        <v>23</v>
      </c>
    </row>
    <row r="3" spans="1:13" x14ac:dyDescent="0.45">
      <c r="A3" t="s">
        <v>42</v>
      </c>
      <c r="B3">
        <v>36</v>
      </c>
      <c r="C3">
        <v>30</v>
      </c>
      <c r="D3">
        <v>34</v>
      </c>
      <c r="E3">
        <v>23</v>
      </c>
      <c r="F3">
        <v>27</v>
      </c>
      <c r="G3">
        <v>26</v>
      </c>
      <c r="H3">
        <v>24</v>
      </c>
      <c r="I3">
        <v>31</v>
      </c>
      <c r="J3">
        <v>28</v>
      </c>
      <c r="K3">
        <v>30</v>
      </c>
      <c r="L3">
        <v>26</v>
      </c>
      <c r="M3" s="1">
        <f t="shared" ref="M3:M9" si="0">AVERAGE(B3:L3)</f>
        <v>28.636363636363637</v>
      </c>
    </row>
    <row r="4" spans="1:13" x14ac:dyDescent="0.45">
      <c r="A4" t="s">
        <v>45</v>
      </c>
      <c r="B4">
        <v>34</v>
      </c>
      <c r="C4">
        <v>26</v>
      </c>
      <c r="D4">
        <v>34</v>
      </c>
      <c r="E4">
        <v>24</v>
      </c>
      <c r="F4">
        <v>26</v>
      </c>
      <c r="G4">
        <v>22</v>
      </c>
      <c r="H4">
        <v>24</v>
      </c>
      <c r="I4">
        <v>26</v>
      </c>
      <c r="J4">
        <v>22</v>
      </c>
      <c r="K4">
        <v>21</v>
      </c>
      <c r="L4">
        <v>21</v>
      </c>
      <c r="M4" s="1">
        <f t="shared" si="0"/>
        <v>25.454545454545453</v>
      </c>
    </row>
    <row r="5" spans="1:13" x14ac:dyDescent="0.45">
      <c r="A5" t="s">
        <v>40</v>
      </c>
      <c r="B5">
        <v>30</v>
      </c>
      <c r="C5">
        <v>25</v>
      </c>
      <c r="D5">
        <v>26</v>
      </c>
      <c r="E5">
        <v>23</v>
      </c>
      <c r="F5">
        <v>30</v>
      </c>
      <c r="G5">
        <v>24</v>
      </c>
      <c r="H5">
        <v>33</v>
      </c>
      <c r="I5">
        <v>22</v>
      </c>
      <c r="J5">
        <v>26</v>
      </c>
      <c r="K5">
        <v>31</v>
      </c>
      <c r="L5">
        <v>26</v>
      </c>
      <c r="M5" s="1">
        <f t="shared" si="0"/>
        <v>26.90909090909091</v>
      </c>
    </row>
    <row r="6" spans="1:13" x14ac:dyDescent="0.45">
      <c r="A6" t="s">
        <v>38</v>
      </c>
      <c r="B6">
        <v>30</v>
      </c>
      <c r="C6">
        <v>29</v>
      </c>
      <c r="D6">
        <v>28</v>
      </c>
      <c r="E6">
        <v>35</v>
      </c>
      <c r="F6">
        <v>29</v>
      </c>
      <c r="G6">
        <v>38</v>
      </c>
      <c r="H6">
        <v>34</v>
      </c>
      <c r="I6">
        <v>24</v>
      </c>
      <c r="J6">
        <v>28</v>
      </c>
      <c r="K6">
        <v>28</v>
      </c>
      <c r="L6">
        <v>24</v>
      </c>
      <c r="M6" s="1">
        <f t="shared" si="0"/>
        <v>29.727272727272727</v>
      </c>
    </row>
    <row r="7" spans="1:13" x14ac:dyDescent="0.45">
      <c r="A7" t="s">
        <v>39</v>
      </c>
      <c r="B7">
        <v>31</v>
      </c>
      <c r="C7">
        <v>32</v>
      </c>
      <c r="D7">
        <v>32</v>
      </c>
      <c r="E7">
        <v>29</v>
      </c>
      <c r="F7">
        <v>31</v>
      </c>
      <c r="G7">
        <v>29</v>
      </c>
      <c r="H7">
        <v>25</v>
      </c>
      <c r="I7">
        <v>29</v>
      </c>
      <c r="J7">
        <v>21</v>
      </c>
      <c r="K7">
        <v>17</v>
      </c>
      <c r="L7">
        <v>29</v>
      </c>
      <c r="M7" s="1">
        <f t="shared" si="0"/>
        <v>27.727272727272727</v>
      </c>
    </row>
    <row r="8" spans="1:13" x14ac:dyDescent="0.45">
      <c r="A8" t="s">
        <v>43</v>
      </c>
      <c r="B8">
        <v>24</v>
      </c>
      <c r="C8">
        <v>26</v>
      </c>
      <c r="D8">
        <v>29</v>
      </c>
      <c r="E8">
        <v>23</v>
      </c>
      <c r="F8">
        <v>29</v>
      </c>
      <c r="G8">
        <v>27</v>
      </c>
      <c r="H8">
        <v>26</v>
      </c>
      <c r="I8">
        <v>20</v>
      </c>
      <c r="J8">
        <v>25</v>
      </c>
      <c r="K8">
        <v>29</v>
      </c>
      <c r="L8">
        <v>28</v>
      </c>
      <c r="M8" s="1">
        <f t="shared" si="0"/>
        <v>26</v>
      </c>
    </row>
    <row r="9" spans="1:13" x14ac:dyDescent="0.45">
      <c r="A9" t="s">
        <v>44</v>
      </c>
      <c r="B9">
        <v>28</v>
      </c>
      <c r="C9">
        <v>25</v>
      </c>
      <c r="D9">
        <v>23</v>
      </c>
      <c r="E9">
        <v>38</v>
      </c>
      <c r="F9">
        <v>32</v>
      </c>
      <c r="G9">
        <v>25</v>
      </c>
      <c r="H9">
        <v>31</v>
      </c>
      <c r="I9">
        <v>25</v>
      </c>
      <c r="J9">
        <v>28</v>
      </c>
      <c r="K9">
        <v>28</v>
      </c>
      <c r="L9">
        <v>29</v>
      </c>
      <c r="M9" s="1">
        <f t="shared" si="0"/>
        <v>28.363636363636363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T22" sqref="T22"/>
    </sheetView>
  </sheetViews>
  <sheetFormatPr defaultRowHeight="14.25" x14ac:dyDescent="0.45"/>
  <sheetData>
    <row r="1" spans="1:7" x14ac:dyDescent="0.45">
      <c r="A1" t="s">
        <v>47</v>
      </c>
      <c r="B1" t="s">
        <v>10</v>
      </c>
      <c r="C1" t="s">
        <v>11</v>
      </c>
      <c r="D1" t="s">
        <v>56</v>
      </c>
      <c r="E1" t="s">
        <v>57</v>
      </c>
      <c r="F1" t="s">
        <v>58</v>
      </c>
      <c r="G1" t="s">
        <v>59</v>
      </c>
    </row>
    <row r="2" spans="1:7" x14ac:dyDescent="0.45">
      <c r="A2" t="s">
        <v>41</v>
      </c>
      <c r="B2">
        <v>11</v>
      </c>
      <c r="C2" s="1">
        <v>13.127537778861701</v>
      </c>
      <c r="D2">
        <v>10</v>
      </c>
      <c r="E2" s="1">
        <v>7.4137949639489706</v>
      </c>
      <c r="F2">
        <v>1</v>
      </c>
      <c r="G2" s="1">
        <v>5.7137428149127301</v>
      </c>
    </row>
    <row r="3" spans="1:7" x14ac:dyDescent="0.45">
      <c r="A3" t="s">
        <v>42</v>
      </c>
      <c r="B3">
        <v>10</v>
      </c>
      <c r="C3" s="1">
        <v>15.0634524717019</v>
      </c>
      <c r="D3">
        <v>6</v>
      </c>
      <c r="E3" s="1">
        <v>8.3664709157393204</v>
      </c>
      <c r="F3">
        <v>4</v>
      </c>
      <c r="G3" s="1">
        <v>6.69698155596258</v>
      </c>
    </row>
    <row r="4" spans="1:7" x14ac:dyDescent="0.45">
      <c r="A4" t="s">
        <v>45</v>
      </c>
      <c r="B4">
        <v>11</v>
      </c>
      <c r="C4" s="1">
        <v>11.629319241925099</v>
      </c>
      <c r="D4">
        <v>7</v>
      </c>
      <c r="E4" s="1">
        <v>6.5334708105029495</v>
      </c>
      <c r="F4">
        <v>4</v>
      </c>
      <c r="G4" s="1">
        <v>5.0958484314221497</v>
      </c>
    </row>
    <row r="5" spans="1:7" x14ac:dyDescent="0.45">
      <c r="A5" t="s">
        <v>40</v>
      </c>
      <c r="B5">
        <v>9</v>
      </c>
      <c r="C5" s="1">
        <v>7.7081784350159799</v>
      </c>
      <c r="D5">
        <v>5</v>
      </c>
      <c r="E5" s="1">
        <v>4.2771187886798305</v>
      </c>
      <c r="F5">
        <v>4</v>
      </c>
      <c r="G5" s="1">
        <v>3.4310596463361498</v>
      </c>
    </row>
    <row r="6" spans="1:7" x14ac:dyDescent="0.45">
      <c r="A6" t="s">
        <v>38</v>
      </c>
      <c r="B6">
        <v>5</v>
      </c>
      <c r="C6" s="1">
        <v>7.0286291581206202</v>
      </c>
      <c r="D6">
        <v>4</v>
      </c>
      <c r="E6" s="1">
        <v>3.9464305366925103</v>
      </c>
      <c r="F6">
        <v>1</v>
      </c>
      <c r="G6" s="1">
        <v>3.0821986214281099</v>
      </c>
    </row>
    <row r="7" spans="1:7" x14ac:dyDescent="0.45">
      <c r="A7" t="s">
        <v>39</v>
      </c>
      <c r="B7">
        <v>4</v>
      </c>
      <c r="C7" s="1">
        <v>8.1864549868758605</v>
      </c>
      <c r="D7">
        <v>2</v>
      </c>
      <c r="E7" s="1">
        <v>4.5903750733816704</v>
      </c>
      <c r="F7">
        <v>2</v>
      </c>
      <c r="G7" s="1">
        <v>3.5960799134941901</v>
      </c>
    </row>
    <row r="8" spans="1:7" x14ac:dyDescent="0.45">
      <c r="A8" t="s">
        <v>43</v>
      </c>
      <c r="B8">
        <v>3</v>
      </c>
      <c r="C8" s="1">
        <v>6.7196537260776497</v>
      </c>
      <c r="D8">
        <v>1</v>
      </c>
      <c r="E8" s="1">
        <v>3.7613587367922996</v>
      </c>
      <c r="F8">
        <v>2</v>
      </c>
      <c r="G8" s="1">
        <v>2.9582949892853501</v>
      </c>
    </row>
    <row r="9" spans="1:7" x14ac:dyDescent="0.45">
      <c r="A9" t="s">
        <v>44</v>
      </c>
      <c r="B9">
        <v>4</v>
      </c>
      <c r="C9" s="1">
        <v>8.0217058264144701</v>
      </c>
      <c r="D9">
        <v>1</v>
      </c>
      <c r="E9" s="1">
        <v>4.5466313020081</v>
      </c>
      <c r="F9">
        <v>3</v>
      </c>
      <c r="G9" s="1">
        <v>3.4750745244063701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10" zoomScaleNormal="110" workbookViewId="0">
      <selection activeCell="C21" sqref="C21"/>
    </sheetView>
  </sheetViews>
  <sheetFormatPr defaultRowHeight="14.25" x14ac:dyDescent="0.45"/>
  <sheetData>
    <row r="1" spans="1:3" x14ac:dyDescent="0.45">
      <c r="A1" t="s">
        <v>47</v>
      </c>
      <c r="B1" t="s">
        <v>48</v>
      </c>
      <c r="C1" t="s">
        <v>49</v>
      </c>
    </row>
    <row r="2" spans="1:3" x14ac:dyDescent="0.45">
      <c r="A2" t="s">
        <v>41</v>
      </c>
      <c r="B2" s="3">
        <v>-2.1275377788617007</v>
      </c>
      <c r="C2" s="3">
        <v>2.3657470657360502</v>
      </c>
    </row>
    <row r="3" spans="1:3" x14ac:dyDescent="0.45">
      <c r="A3" t="s">
        <v>42</v>
      </c>
      <c r="B3" s="3">
        <v>-5.0634524717019005</v>
      </c>
      <c r="C3" s="3">
        <v>0.68933746037281018</v>
      </c>
    </row>
    <row r="4" spans="1:3" x14ac:dyDescent="0.45">
      <c r="A4" t="s">
        <v>45</v>
      </c>
      <c r="B4" s="3">
        <v>-0.62931924192509925</v>
      </c>
      <c r="C4" s="3">
        <v>3.8913520839333504</v>
      </c>
    </row>
    <row r="5" spans="1:3" x14ac:dyDescent="0.45">
      <c r="A5" t="s">
        <v>40</v>
      </c>
      <c r="B5" s="3">
        <v>1.2918215649840201</v>
      </c>
      <c r="C5" s="3">
        <v>2.6714954456189997</v>
      </c>
    </row>
    <row r="6" spans="1:3" x14ac:dyDescent="0.45">
      <c r="A6" t="s">
        <v>38</v>
      </c>
      <c r="B6" s="3">
        <v>-2.0286291581206202</v>
      </c>
      <c r="C6" s="3">
        <v>3.5209220929506007</v>
      </c>
    </row>
    <row r="7" spans="1:3" x14ac:dyDescent="0.45">
      <c r="A7" t="s">
        <v>39</v>
      </c>
      <c r="B7" s="3">
        <v>-4.1864549868758605</v>
      </c>
      <c r="C7" s="3">
        <v>5.0652470021700005</v>
      </c>
    </row>
    <row r="8" spans="1:3" x14ac:dyDescent="0.45">
      <c r="A8" t="s">
        <v>43</v>
      </c>
      <c r="B8" s="3">
        <v>-3.7196537260776497</v>
      </c>
      <c r="C8" s="3">
        <v>4.2925574908471003</v>
      </c>
    </row>
    <row r="9" spans="1:3" x14ac:dyDescent="0.45">
      <c r="A9" t="s">
        <v>44</v>
      </c>
      <c r="B9" s="3">
        <v>-4.0217058264144701</v>
      </c>
      <c r="C9" s="3">
        <v>-2.0117270166358008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WCQ2022_CONCACAF_14-11-2021</vt:lpstr>
      <vt:lpstr>PtsvsxPts</vt:lpstr>
      <vt:lpstr>GvsxG</vt:lpstr>
      <vt:lpstr>Ages</vt:lpstr>
      <vt:lpstr>Goals</vt:lpstr>
      <vt:lpstr>Scatter GDiff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2021-11-14T18:30:05Z</dcterms:created>
  <dcterms:modified xsi:type="dcterms:W3CDTF">2021-11-18T00:55:07Z</dcterms:modified>
</cp:coreProperties>
</file>