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WCQ 2022 07 11 2021\"/>
    </mc:Choice>
  </mc:AlternateContent>
  <xr:revisionPtr revIDLastSave="0" documentId="13_ncr:1_{521FF05B-A91D-4E2A-B8C9-F88E10D5A91E}" xr6:coauthVersionLast="47" xr6:coauthVersionMax="47" xr10:uidLastSave="{00000000-0000-0000-0000-000000000000}"/>
  <bookViews>
    <workbookView xWindow="-98" yWindow="-98" windowWidth="22695" windowHeight="14595" activeTab="5" xr2:uid="{00000000-000D-0000-FFFF-FFFF00000000}"/>
  </bookViews>
  <sheets>
    <sheet name="WCQ2022_CONCACAF_18-11-2021" sheetId="1" r:id="rId1"/>
    <sheet name="PtsvsxPts" sheetId="2" r:id="rId2"/>
    <sheet name="GvsxG" sheetId="3" r:id="rId3"/>
    <sheet name="GCvsxGC" sheetId="4" r:id="rId4"/>
    <sheet name="Scatter GDiff" sheetId="9" r:id="rId5"/>
    <sheet name="Shots" sheetId="6" r:id="rId6"/>
    <sheet name="ShotsT" sheetId="7" r:id="rId7"/>
    <sheet name="Foul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9" l="1"/>
  <c r="C8" i="9"/>
  <c r="C7" i="9"/>
  <c r="C6" i="9"/>
  <c r="C5" i="9"/>
  <c r="C4" i="9"/>
  <c r="C3" i="9"/>
  <c r="C2" i="9"/>
  <c r="P2" i="1"/>
  <c r="P3" i="1"/>
  <c r="P4" i="1"/>
  <c r="P5" i="1"/>
  <c r="P6" i="1"/>
  <c r="P7" i="1"/>
  <c r="P8" i="1"/>
  <c r="P9" i="1"/>
  <c r="B9" i="9"/>
  <c r="B8" i="9"/>
  <c r="B7" i="9"/>
  <c r="B6" i="9"/>
  <c r="B5" i="9"/>
  <c r="B4" i="9"/>
  <c r="B3" i="9"/>
  <c r="B2" i="9"/>
  <c r="M2" i="1"/>
  <c r="M3" i="1"/>
  <c r="M4" i="1"/>
  <c r="M5" i="1"/>
  <c r="M6" i="1"/>
  <c r="M7" i="1"/>
  <c r="M8" i="1"/>
  <c r="M9" i="1"/>
  <c r="C9" i="8"/>
  <c r="C8" i="8"/>
  <c r="C7" i="8"/>
  <c r="C6" i="8"/>
  <c r="C5" i="8"/>
  <c r="C4" i="8"/>
  <c r="C3" i="8"/>
  <c r="C2" i="8"/>
  <c r="B9" i="8"/>
  <c r="B8" i="8"/>
  <c r="B7" i="8"/>
  <c r="B6" i="8"/>
  <c r="B5" i="8"/>
  <c r="B4" i="8"/>
  <c r="B3" i="8"/>
  <c r="B2" i="8"/>
  <c r="B9" i="7"/>
  <c r="B8" i="7"/>
  <c r="B7" i="7"/>
  <c r="B6" i="7"/>
  <c r="B5" i="7"/>
  <c r="B4" i="7"/>
  <c r="B3" i="7"/>
  <c r="B2" i="7"/>
  <c r="C9" i="7"/>
  <c r="C8" i="7"/>
  <c r="C7" i="7"/>
  <c r="C6" i="7"/>
  <c r="C5" i="7"/>
  <c r="C4" i="7"/>
  <c r="C3" i="7"/>
  <c r="C2" i="7"/>
  <c r="C9" i="6"/>
  <c r="C8" i="6"/>
  <c r="C7" i="6"/>
  <c r="C6" i="6"/>
  <c r="C5" i="6"/>
  <c r="C4" i="6"/>
  <c r="C3" i="6"/>
  <c r="C2" i="6"/>
  <c r="B9" i="6"/>
  <c r="B8" i="6"/>
  <c r="B7" i="6"/>
  <c r="B6" i="6"/>
  <c r="B5" i="6"/>
  <c r="B4" i="6"/>
  <c r="B3" i="6"/>
  <c r="B2" i="6"/>
  <c r="AS4" i="1" l="1"/>
  <c r="AS9" i="1"/>
  <c r="AS5" i="1"/>
  <c r="AS2" i="1"/>
  <c r="AS8" i="1"/>
  <c r="AS7" i="1"/>
  <c r="AS6" i="1"/>
  <c r="AS3" i="1"/>
  <c r="AP4" i="1"/>
  <c r="AP9" i="1"/>
  <c r="AP5" i="1"/>
  <c r="AP2" i="1"/>
  <c r="AP8" i="1"/>
  <c r="AP7" i="1"/>
  <c r="AP6" i="1"/>
  <c r="AP3" i="1"/>
  <c r="AM4" i="1"/>
  <c r="AM9" i="1"/>
  <c r="AM5" i="1"/>
  <c r="AM2" i="1"/>
  <c r="AM8" i="1"/>
  <c r="AM7" i="1"/>
  <c r="AM6" i="1"/>
  <c r="AM3" i="1"/>
  <c r="AJ4" i="1"/>
  <c r="AJ9" i="1"/>
  <c r="AJ5" i="1"/>
  <c r="AJ2" i="1"/>
  <c r="AJ8" i="1"/>
  <c r="AJ7" i="1"/>
  <c r="AJ6" i="1"/>
  <c r="AJ3" i="1"/>
  <c r="AG4" i="1"/>
  <c r="AG9" i="1"/>
  <c r="AG5" i="1"/>
  <c r="AG2" i="1"/>
  <c r="AG8" i="1"/>
  <c r="AG7" i="1"/>
  <c r="AG6" i="1"/>
  <c r="AG3" i="1"/>
  <c r="AD4" i="1"/>
  <c r="AD9" i="1"/>
  <c r="AD5" i="1"/>
  <c r="AD2" i="1"/>
  <c r="AD8" i="1"/>
  <c r="AD7" i="1"/>
  <c r="AD6" i="1"/>
  <c r="AD3" i="1"/>
  <c r="AA4" i="1"/>
  <c r="AA9" i="1"/>
  <c r="AA5" i="1"/>
  <c r="AA2" i="1"/>
  <c r="AA8" i="1"/>
  <c r="AA7" i="1"/>
  <c r="AA6" i="1"/>
  <c r="AA3" i="1"/>
  <c r="AT17" i="1"/>
  <c r="AN17" i="1"/>
  <c r="AH17" i="1"/>
  <c r="AB17" i="1"/>
  <c r="W17" i="1"/>
  <c r="S17" i="1"/>
  <c r="N17" i="1"/>
  <c r="F17" i="1"/>
  <c r="E17" i="1"/>
  <c r="C17" i="1"/>
  <c r="BA10" i="1"/>
  <c r="AZ10" i="1"/>
  <c r="AY10" i="1"/>
  <c r="AX10" i="1"/>
  <c r="AW10" i="1"/>
  <c r="AV10" i="1"/>
  <c r="AU10" i="1"/>
  <c r="AT10" i="1"/>
  <c r="AR10" i="1"/>
  <c r="AQ10" i="1"/>
  <c r="AO10" i="1"/>
  <c r="AN10" i="1"/>
  <c r="AL10" i="1"/>
  <c r="AK10" i="1"/>
  <c r="AI10" i="1"/>
  <c r="AH10" i="1"/>
  <c r="AF10" i="1"/>
  <c r="AE10" i="1"/>
  <c r="AC10" i="1"/>
  <c r="AB10" i="1"/>
  <c r="V4" i="1"/>
  <c r="V9" i="1"/>
  <c r="V5" i="1"/>
  <c r="V2" i="1"/>
  <c r="V8" i="1"/>
  <c r="V7" i="1"/>
  <c r="V6" i="1"/>
  <c r="V3" i="1"/>
  <c r="U4" i="1"/>
  <c r="U9" i="1"/>
  <c r="U5" i="1"/>
  <c r="U2" i="1"/>
  <c r="U8" i="1"/>
  <c r="U7" i="1"/>
  <c r="U6" i="1"/>
  <c r="U3" i="1"/>
  <c r="S4" i="1"/>
  <c r="S9" i="1"/>
  <c r="S5" i="1"/>
  <c r="S2" i="1"/>
  <c r="S8" i="1"/>
  <c r="S7" i="1"/>
  <c r="S6" i="1"/>
  <c r="S3" i="1"/>
  <c r="T4" i="1"/>
  <c r="T9" i="1"/>
  <c r="T5" i="1"/>
  <c r="T2" i="1"/>
  <c r="T8" i="1"/>
  <c r="T7" i="1"/>
  <c r="T6" i="1"/>
  <c r="T3" i="1"/>
  <c r="Z10" i="1"/>
  <c r="Y10" i="1"/>
  <c r="X10" i="1"/>
  <c r="W10" i="1"/>
  <c r="R10" i="1"/>
  <c r="Q10" i="1"/>
  <c r="O10" i="1"/>
  <c r="N10" i="1"/>
  <c r="L10" i="1"/>
  <c r="K10" i="1"/>
  <c r="J10" i="1"/>
  <c r="I10" i="1"/>
  <c r="H10" i="1"/>
  <c r="G10" i="1"/>
  <c r="F10" i="1"/>
  <c r="E10" i="1"/>
  <c r="D10" i="1"/>
  <c r="C10" i="1"/>
  <c r="AA10" i="1" l="1"/>
  <c r="AG10" i="1"/>
  <c r="AJ10" i="1"/>
  <c r="AP10" i="1"/>
  <c r="S10" i="1"/>
  <c r="V10" i="1"/>
  <c r="T10" i="1"/>
  <c r="U10" i="1"/>
</calcChain>
</file>

<file path=xl/sharedStrings.xml><?xml version="1.0" encoding="utf-8"?>
<sst xmlns="http://schemas.openxmlformats.org/spreadsheetml/2006/main" count="148" uniqueCount="82">
  <si>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</si>
  <si>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</si>
  <si>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</si>
  <si>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</si>
  <si>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</si>
  <si>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</si>
  <si>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</si>
  <si>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</si>
  <si>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</si>
  <si>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</si>
  <si>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</si>
  <si>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</si>
  <si>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</si>
  <si>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</si>
  <si>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</si>
  <si>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</si>
  <si>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</si>
  <si>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</si>
  <si>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</si>
  <si>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</t>
  </si>
  <si>
    <t>xShotsF</t>
  </si>
  <si>
    <t>ShotsA</t>
  </si>
  <si>
    <t>xShotsA</t>
  </si>
  <si>
    <t>ShotsTF</t>
  </si>
  <si>
    <t>xShotsTF</t>
  </si>
  <si>
    <t>ShotsTA</t>
  </si>
  <si>
    <t>xShotsTA</t>
  </si>
  <si>
    <t>Fouls</t>
  </si>
  <si>
    <t>xFouls</t>
  </si>
  <si>
    <t>FoulsA</t>
  </si>
  <si>
    <t>xFoulsA</t>
  </si>
  <si>
    <t>YCard</t>
  </si>
  <si>
    <t>xYCard</t>
  </si>
  <si>
    <t>YCardA</t>
  </si>
  <si>
    <t>xYCardA</t>
  </si>
  <si>
    <t>RCard</t>
  </si>
  <si>
    <t>xRCard</t>
  </si>
  <si>
    <t>RCardA</t>
  </si>
  <si>
    <t>xRCardA</t>
  </si>
  <si>
    <t>Mexico</t>
  </si>
  <si>
    <t>Honduras</t>
  </si>
  <si>
    <t>Panama</t>
  </si>
  <si>
    <t>Canada</t>
  </si>
  <si>
    <t>El Salvador</t>
  </si>
  <si>
    <t>Jamaica</t>
  </si>
  <si>
    <t>Costa Rica</t>
  </si>
  <si>
    <t>USA</t>
  </si>
  <si>
    <t>Rank</t>
  </si>
  <si>
    <t>2HTGoalsF</t>
  </si>
  <si>
    <t>x2HTGoalsF</t>
  </si>
  <si>
    <t>2HTGoalsA</t>
  </si>
  <si>
    <t>x2HTGoalsA</t>
  </si>
  <si>
    <t>%Wins</t>
  </si>
  <si>
    <t>%Points</t>
  </si>
  <si>
    <t>%Draws</t>
  </si>
  <si>
    <t>%Goals</t>
  </si>
  <si>
    <t>%2HTGoals</t>
  </si>
  <si>
    <t>%HTGoals</t>
  </si>
  <si>
    <t>%Fouls</t>
  </si>
  <si>
    <t>%ShotsT</t>
  </si>
  <si>
    <t>%Shots</t>
  </si>
  <si>
    <t>%Ycard</t>
  </si>
  <si>
    <t>%ShotsF</t>
  </si>
  <si>
    <t>%ShotsA</t>
  </si>
  <si>
    <t>%ShotsTF</t>
  </si>
  <si>
    <t>%ShotsTA</t>
  </si>
  <si>
    <t>%FoulsA</t>
  </si>
  <si>
    <t>Points Obtained</t>
  </si>
  <si>
    <t>Expected Points</t>
  </si>
  <si>
    <t>Goals Scored</t>
  </si>
  <si>
    <t>Expected Goals</t>
  </si>
  <si>
    <t>Goals Against</t>
  </si>
  <si>
    <t>Expected Goals Against</t>
  </si>
  <si>
    <t>GoalsF_Diff</t>
  </si>
  <si>
    <t>GoalsA_Diff</t>
  </si>
  <si>
    <t>Shots in Favor</t>
  </si>
  <si>
    <t>Shots Against</t>
  </si>
  <si>
    <t>Shots on Target in Favor</t>
  </si>
  <si>
    <t>Shots on Target Against</t>
  </si>
  <si>
    <t>Fouls Committed</t>
  </si>
  <si>
    <t>Fouls Received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</si>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</sst>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Font="1" applyBorder="1"/>
    <xf numFmtId="0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33" borderId="0" xfId="0" applyFill="1"/>
    <xf numFmtId="0" fontId="0" fillId="0" borderId="10" xfId="0" applyBorder="1"/>
    <xf numFmtId="1" fontId="0" fillId="0" borderId="10" xfId="0" applyNumberFormat="1" applyFont="1" applyBorder="1"/>
    <xf numFmtId="9" fontId="0" fillId="0" borderId="10" xfId="1" applyNumberFormat="1" applyFont="1" applyBorder="1"/>
    <xf numFmtId="0" fontId="0" fillId="34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Qatar 2022 World Cup </a:t>
            </a:r>
            <a:r>
              <a:rPr lang="es-MX" sz="2000" b="0" i="0" u="none" strike="noStrike" baseline="0">
                <a:effectLst/>
              </a:rPr>
              <a:t>CONCACAF </a:t>
            </a:r>
            <a:r>
              <a:rPr lang="es-MX" sz="2000"/>
              <a:t>Qualifiers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PtsvsxPts!$B$1</c:f>
              <c:strCache>
                <c:ptCount val="1"/>
                <c:pt idx="0">
                  <c:v>Points Obtained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PtsvsxPts!$A$2:$A$9</c:f>
              <c:strCache>
                <c:ptCount val="8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Panama</c:v>
                </c:pt>
                <c:pt idx="4">
                  <c:v>Costa Rica</c:v>
                </c:pt>
                <c:pt idx="5">
                  <c:v>Jamaica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PtsvsxPts!$B$2:$B$9</c:f>
              <c:numCache>
                <c:formatCode>General</c:formatCode>
                <c:ptCount val="8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9</c:v>
                </c:pt>
                <c:pt idx="5">
                  <c:v>7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3-48B7-80D5-F6DD970DFAD4}"/>
            </c:ext>
          </c:extLst>
        </c:ser>
        <c:ser>
          <c:idx val="1"/>
          <c:order val="1"/>
          <c:tx>
            <c:strRef>
              <c:f>PtsvsxPts!$C$1</c:f>
              <c:strCache>
                <c:ptCount val="1"/>
                <c:pt idx="0">
                  <c:v>Expected Points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PtsvsxPts!$A$2:$A$9</c:f>
              <c:strCache>
                <c:ptCount val="8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Panama</c:v>
                </c:pt>
                <c:pt idx="4">
                  <c:v>Costa Rica</c:v>
                </c:pt>
                <c:pt idx="5">
                  <c:v>Jamaica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PtsvsxPts!$C$2:$C$9</c:f>
              <c:numCache>
                <c:formatCode>0</c:formatCode>
                <c:ptCount val="8"/>
                <c:pt idx="0">
                  <c:v>13.5406123607124</c:v>
                </c:pt>
                <c:pt idx="1">
                  <c:v>15.7495736370554</c:v>
                </c:pt>
                <c:pt idx="2">
                  <c:v>16.284443319073201</c:v>
                </c:pt>
                <c:pt idx="3">
                  <c:v>9.4725219141256201</c:v>
                </c:pt>
                <c:pt idx="4">
                  <c:v>9.7897037837778793</c:v>
                </c:pt>
                <c:pt idx="5">
                  <c:v>7.3345680371220903</c:v>
                </c:pt>
                <c:pt idx="6">
                  <c:v>6.5919585083238097</c:v>
                </c:pt>
                <c:pt idx="7">
                  <c:v>8.9205543629181392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3-48B7-80D5-F6DD970DFA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3262496"/>
        <c:axId val="589097320"/>
      </c:barChart>
      <c:catAx>
        <c:axId val="4632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9097320"/>
        <c:crosses val="autoZero"/>
        <c:auto val="1"/>
        <c:lblAlgn val="ctr"/>
        <c:lblOffset val="100"/>
        <c:noMultiLvlLbl val="0"/>
      </c:catAx>
      <c:valAx>
        <c:axId val="5890973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32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effectLst/>
              </a:rPr>
              <a:t>Qatar 2022 World Cup </a:t>
            </a:r>
            <a:r>
              <a:rPr lang="es-MX" sz="2000" b="0" i="0" u="none" strike="noStrike" baseline="0">
                <a:effectLst/>
              </a:rPr>
              <a:t>CONCACAF</a:t>
            </a:r>
            <a:r>
              <a:rPr lang="es-MX" sz="2000" b="0" i="0" baseline="0">
                <a:effectLst/>
              </a:rPr>
              <a:t> Qualifiers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GvsxG!$B$1</c:f>
              <c:strCache>
                <c:ptCount val="1"/>
                <c:pt idx="0">
                  <c:v>Goals Scored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GvsxG!$A$2:$A$9</c:f>
              <c:strCache>
                <c:ptCount val="8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Panama</c:v>
                </c:pt>
                <c:pt idx="4">
                  <c:v>Costa Rica</c:v>
                </c:pt>
                <c:pt idx="5">
                  <c:v>Jamaica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GvsxG!$B$2:$B$9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5-43A3-82D0-3D583200E824}"/>
            </c:ext>
          </c:extLst>
        </c:ser>
        <c:ser>
          <c:idx val="1"/>
          <c:order val="1"/>
          <c:tx>
            <c:strRef>
              <c:f>GvsxG!$C$1</c:f>
              <c:strCache>
                <c:ptCount val="1"/>
                <c:pt idx="0">
                  <c:v>Expected Goals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GvsxG!$A$2:$A$9</c:f>
              <c:strCache>
                <c:ptCount val="8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Panama</c:v>
                </c:pt>
                <c:pt idx="4">
                  <c:v>Costa Rica</c:v>
                </c:pt>
                <c:pt idx="5">
                  <c:v>Jamaica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GvsxG!$C$2:$C$9</c:f>
              <c:numCache>
                <c:formatCode>0</c:formatCode>
                <c:ptCount val="8"/>
                <c:pt idx="0">
                  <c:v>12.898645336578699</c:v>
                </c:pt>
                <c:pt idx="1">
                  <c:v>14.775661970323499</c:v>
                </c:pt>
                <c:pt idx="2">
                  <c:v>16.305161429567999</c:v>
                </c:pt>
                <c:pt idx="3">
                  <c:v>9.5500151697098605</c:v>
                </c:pt>
                <c:pt idx="4">
                  <c:v>9.6753386197992199</c:v>
                </c:pt>
                <c:pt idx="5">
                  <c:v>8.0920185500999207</c:v>
                </c:pt>
                <c:pt idx="6">
                  <c:v>7.6088260616785499</c:v>
                </c:pt>
                <c:pt idx="7">
                  <c:v>9.07338510739838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5-43A3-82D0-3D583200E8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0772224"/>
        <c:axId val="630772552"/>
      </c:barChart>
      <c:catAx>
        <c:axId val="6307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772552"/>
        <c:crosses val="autoZero"/>
        <c:auto val="1"/>
        <c:lblAlgn val="ctr"/>
        <c:lblOffset val="100"/>
        <c:noMultiLvlLbl val="0"/>
      </c:catAx>
      <c:valAx>
        <c:axId val="630772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07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Qatar 2022 World Cup </a:t>
            </a:r>
            <a:r>
              <a:rPr lang="es-MX" sz="1800" b="0" i="0" u="none" strike="noStrike" baseline="0">
                <a:effectLst/>
              </a:rPr>
              <a:t>CONCACAF</a:t>
            </a:r>
            <a:r>
              <a:rPr lang="es-MX" sz="1800" b="0" i="0" baseline="0">
                <a:effectLst/>
              </a:rPr>
              <a:t> Qualifiers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GCvsxGC!$B$1</c:f>
              <c:strCache>
                <c:ptCount val="1"/>
                <c:pt idx="0">
                  <c:v>Goals Against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GCvsxGC!$A$2:$A$9</c:f>
              <c:strCache>
                <c:ptCount val="8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Panama</c:v>
                </c:pt>
                <c:pt idx="4">
                  <c:v>Costa Rica</c:v>
                </c:pt>
                <c:pt idx="5">
                  <c:v>Jamaica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GCvsxGC!$B$2:$B$9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7-48AB-B3FA-5D5595D5C700}"/>
            </c:ext>
          </c:extLst>
        </c:ser>
        <c:ser>
          <c:idx val="1"/>
          <c:order val="1"/>
          <c:tx>
            <c:strRef>
              <c:f>GCvsxGC!$C$1</c:f>
              <c:strCache>
                <c:ptCount val="1"/>
                <c:pt idx="0">
                  <c:v>Expected Goals Against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GCvsxGC!$A$2:$A$9</c:f>
              <c:strCache>
                <c:ptCount val="8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Panama</c:v>
                </c:pt>
                <c:pt idx="4">
                  <c:v>Costa Rica</c:v>
                </c:pt>
                <c:pt idx="5">
                  <c:v>Jamaica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GCvsxGC!$C$2:$C$9</c:f>
              <c:numCache>
                <c:formatCode>0</c:formatCode>
                <c:ptCount val="8"/>
                <c:pt idx="0">
                  <c:v>9.1330610417995093</c:v>
                </c:pt>
                <c:pt idx="1">
                  <c:v>7.4291364577153498</c:v>
                </c:pt>
                <c:pt idx="2">
                  <c:v>6.9586635550264102</c:v>
                </c:pt>
                <c:pt idx="3">
                  <c:v>11.5606677812199</c:v>
                </c:pt>
                <c:pt idx="4">
                  <c:v>12.116926283153999</c:v>
                </c:pt>
                <c:pt idx="5">
                  <c:v>14.169046284412399</c:v>
                </c:pt>
                <c:pt idx="6">
                  <c:v>14.1343942255409</c:v>
                </c:pt>
                <c:pt idx="7">
                  <c:v>12.4771566162875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7-48AB-B3FA-5D5595D5C7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6063928"/>
        <c:axId val="686058024"/>
      </c:barChart>
      <c:catAx>
        <c:axId val="68606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6058024"/>
        <c:crosses val="autoZero"/>
        <c:auto val="1"/>
        <c:lblAlgn val="ctr"/>
        <c:lblOffset val="100"/>
        <c:noMultiLvlLbl val="0"/>
      </c:catAx>
      <c:valAx>
        <c:axId val="686058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8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Qatar 2022 World Cup CONCACAF Qualifiers </a:t>
            </a:r>
            <a:br>
              <a:rPr lang="en-US" sz="2000" b="0" i="0" baseline="0">
                <a:effectLst/>
              </a:rPr>
            </a:br>
            <a:r>
              <a:rPr lang="en-US" sz="2000" b="0" i="0" baseline="0">
                <a:effectLst/>
              </a:rPr>
              <a:t>Goals vs Expected Goals for Betting Houses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GDiff'!$C$1</c:f>
              <c:strCache>
                <c:ptCount val="1"/>
                <c:pt idx="0">
                  <c:v>GoalsA_Diff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GDiff'!$B$2:$B$9</c:f>
              <c:numCache>
                <c:formatCode>0</c:formatCode>
                <c:ptCount val="8"/>
                <c:pt idx="0">
                  <c:v>0.10135466342130073</c:v>
                </c:pt>
                <c:pt idx="1">
                  <c:v>-2.7756619703234993</c:v>
                </c:pt>
                <c:pt idx="2">
                  <c:v>-5.305161429567999</c:v>
                </c:pt>
                <c:pt idx="3">
                  <c:v>1.4499848302901395</c:v>
                </c:pt>
                <c:pt idx="4">
                  <c:v>-3.6753386197992199</c:v>
                </c:pt>
                <c:pt idx="5">
                  <c:v>-2.0920185500999207</c:v>
                </c:pt>
                <c:pt idx="6">
                  <c:v>-3.6088260616785499</c:v>
                </c:pt>
                <c:pt idx="7">
                  <c:v>-4.07338510739838</c:v>
                </c:pt>
              </c:numCache>
            </c:numRef>
          </c:xVal>
          <c:yVal>
            <c:numRef>
              <c:f>'Scatter GDiff'!$C$2:$C$9</c:f>
              <c:numCache>
                <c:formatCode>0</c:formatCode>
                <c:ptCount val="8"/>
                <c:pt idx="0">
                  <c:v>4.1330610417995093</c:v>
                </c:pt>
                <c:pt idx="1">
                  <c:v>2.4291364577153498</c:v>
                </c:pt>
                <c:pt idx="2">
                  <c:v>-4.1336444973589792E-2</c:v>
                </c:pt>
                <c:pt idx="3">
                  <c:v>2.5606677812198999</c:v>
                </c:pt>
                <c:pt idx="4">
                  <c:v>5.1169262831539992</c:v>
                </c:pt>
                <c:pt idx="5">
                  <c:v>4.1690462844123992</c:v>
                </c:pt>
                <c:pt idx="6">
                  <c:v>4.1343942255409001</c:v>
                </c:pt>
                <c:pt idx="7">
                  <c:v>-2.5228433837124999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9-499E-9D81-92A0F012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31184"/>
        <c:axId val="697337088"/>
      </c:scatterChart>
      <c:valAx>
        <c:axId val="697331184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8100" cap="flat" cmpd="sng" algn="ctr">
            <a:gradFill flip="none" rotWithShape="1">
              <a:gsLst>
                <a:gs pos="100000">
                  <a:srgbClr val="FF0000"/>
                </a:gs>
                <a:gs pos="3000">
                  <a:srgbClr val="0070C0"/>
                </a:gs>
                <a:gs pos="77000">
                  <a:srgbClr val="FF0000"/>
                </a:gs>
                <a:gs pos="38000">
                  <a:srgbClr val="0070C0"/>
                </a:gs>
              </a:gsLst>
              <a:lin ang="10800000" scaled="1"/>
              <a:tileRect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7337088"/>
        <c:crosses val="autoZero"/>
        <c:crossBetween val="midCat"/>
        <c:majorUnit val="1"/>
      </c:valAx>
      <c:valAx>
        <c:axId val="697337088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8100" cap="flat" cmpd="sng" algn="ctr">
            <a:gradFill>
              <a:gsLst>
                <a:gs pos="33350">
                  <a:srgbClr val="D21422"/>
                </a:gs>
                <a:gs pos="0">
                  <a:srgbClr val="FF0000"/>
                </a:gs>
                <a:gs pos="26000">
                  <a:srgbClr val="FF0000"/>
                </a:gs>
                <a:gs pos="68000">
                  <a:srgbClr val="0070C0"/>
                </a:gs>
                <a:gs pos="100000">
                  <a:srgbClr val="0070C0"/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7331184"/>
        <c:crosses val="autoZero"/>
        <c:crossBetween val="midCat"/>
        <c:majorUnit val="1"/>
      </c:valAx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effectLst/>
              </a:rPr>
              <a:t>Qatar 2022 World Cup Qualifiers</a:t>
            </a:r>
            <a:br>
              <a:rPr lang="es-MX" sz="2000" b="0" i="0" baseline="0">
                <a:effectLst/>
              </a:rPr>
            </a:br>
            <a:r>
              <a:rPr lang="es-MX" sz="2000" b="0" i="0" baseline="0">
                <a:effectLst/>
              </a:rPr>
              <a:t>Shots in Favor vs Shots Against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Shots!$B$1</c:f>
              <c:strCache>
                <c:ptCount val="1"/>
                <c:pt idx="0">
                  <c:v>Shots in Favor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Shots!$A$2:$A$9</c:f>
              <c:strCache>
                <c:ptCount val="8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Panama</c:v>
                </c:pt>
                <c:pt idx="4">
                  <c:v>Costa Rica</c:v>
                </c:pt>
                <c:pt idx="5">
                  <c:v>Jamaica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Shots!$B$2:$B$9</c:f>
              <c:numCache>
                <c:formatCode>0%</c:formatCode>
                <c:ptCount val="8"/>
                <c:pt idx="0">
                  <c:v>0.8810368894950007</c:v>
                </c:pt>
                <c:pt idx="1">
                  <c:v>0.86988734251837685</c:v>
                </c:pt>
                <c:pt idx="2">
                  <c:v>1.0369635239349542</c:v>
                </c:pt>
                <c:pt idx="3">
                  <c:v>1.0227952981023634</c:v>
                </c:pt>
                <c:pt idx="4">
                  <c:v>0.79039842080330003</c:v>
                </c:pt>
                <c:pt idx="5">
                  <c:v>0.80764854472865166</c:v>
                </c:pt>
                <c:pt idx="6">
                  <c:v>0.86218352024165013</c:v>
                </c:pt>
                <c:pt idx="7">
                  <c:v>1.3987748971504741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3-43AD-981A-9A786376FE49}"/>
            </c:ext>
          </c:extLst>
        </c:ser>
        <c:ser>
          <c:idx val="1"/>
          <c:order val="1"/>
          <c:tx>
            <c:strRef>
              <c:f>Shots!$C$1</c:f>
              <c:strCache>
                <c:ptCount val="1"/>
                <c:pt idx="0">
                  <c:v>Shots Against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Shots!$A$2:$A$9</c:f>
              <c:strCache>
                <c:ptCount val="8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Panama</c:v>
                </c:pt>
                <c:pt idx="4">
                  <c:v>Costa Rica</c:v>
                </c:pt>
                <c:pt idx="5">
                  <c:v>Jamaica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Shots!$C$2:$C$9</c:f>
              <c:numCache>
                <c:formatCode>0%</c:formatCode>
                <c:ptCount val="8"/>
                <c:pt idx="0">
                  <c:v>0.94556362939527761</c:v>
                </c:pt>
                <c:pt idx="1">
                  <c:v>0.81930741948623076</c:v>
                </c:pt>
                <c:pt idx="2">
                  <c:v>0.88218487366597864</c:v>
                </c:pt>
                <c:pt idx="3">
                  <c:v>0.69998543642756195</c:v>
                </c:pt>
                <c:pt idx="4">
                  <c:v>1.1335883807971148</c:v>
                </c:pt>
                <c:pt idx="5">
                  <c:v>1.1266227499859935</c:v>
                </c:pt>
                <c:pt idx="6">
                  <c:v>1.0078936551543416</c:v>
                </c:pt>
                <c:pt idx="7">
                  <c:v>0.96639036090736197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3-43AD-981A-9A786376FE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0736832"/>
        <c:axId val="640737160"/>
      </c:barChart>
      <c:catAx>
        <c:axId val="6407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737160"/>
        <c:crosses val="autoZero"/>
        <c:auto val="1"/>
        <c:lblAlgn val="ctr"/>
        <c:lblOffset val="100"/>
        <c:noMultiLvlLbl val="0"/>
      </c:catAx>
      <c:valAx>
        <c:axId val="64073716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6407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effectLst/>
              </a:rPr>
              <a:t>Qatar 2022 World Cup Qualifiers</a:t>
            </a:r>
            <a:endParaRPr lang="es-MX" sz="2000">
              <a:effectLst/>
            </a:endParaRPr>
          </a:p>
          <a:p>
            <a:pPr>
              <a:defRPr sz="2000"/>
            </a:pPr>
            <a:r>
              <a:rPr lang="es-MX" sz="2000" b="0" i="0" baseline="0">
                <a:effectLst/>
              </a:rPr>
              <a:t>Shots on Target in Favor vs Shots in Target Against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ShotsT!$B$1</c:f>
              <c:strCache>
                <c:ptCount val="1"/>
                <c:pt idx="0">
                  <c:v>Shots on Target in Favor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ShotsT!$A$2:$A$9</c:f>
              <c:strCache>
                <c:ptCount val="8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Panama</c:v>
                </c:pt>
                <c:pt idx="4">
                  <c:v>Costa Rica</c:v>
                </c:pt>
                <c:pt idx="5">
                  <c:v>Jamaica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ShotsT!$B$2:$B$9</c:f>
              <c:numCache>
                <c:formatCode>0%</c:formatCode>
                <c:ptCount val="8"/>
                <c:pt idx="0">
                  <c:v>0.66909034589039862</c:v>
                </c:pt>
                <c:pt idx="1">
                  <c:v>0.63896150222408499</c:v>
                </c:pt>
                <c:pt idx="2">
                  <c:v>0.86142861427786277</c:v>
                </c:pt>
                <c:pt idx="3">
                  <c:v>0.77288192813468903</c:v>
                </c:pt>
                <c:pt idx="4">
                  <c:v>0.86905499939385933</c:v>
                </c:pt>
                <c:pt idx="5">
                  <c:v>0.56721154028170373</c:v>
                </c:pt>
                <c:pt idx="6">
                  <c:v>0.62987252929512261</c:v>
                </c:pt>
                <c:pt idx="7">
                  <c:v>0.89136367185923471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5-433B-AA4B-B50F5ED952D4}"/>
            </c:ext>
          </c:extLst>
        </c:ser>
        <c:ser>
          <c:idx val="1"/>
          <c:order val="1"/>
          <c:tx>
            <c:strRef>
              <c:f>ShotsT!$C$1</c:f>
              <c:strCache>
                <c:ptCount val="1"/>
                <c:pt idx="0">
                  <c:v>Shots on Target Against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ShotsT!$A$2:$A$9</c:f>
              <c:strCache>
                <c:ptCount val="8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Panama</c:v>
                </c:pt>
                <c:pt idx="4">
                  <c:v>Costa Rica</c:v>
                </c:pt>
                <c:pt idx="5">
                  <c:v>Jamaica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ShotsT!$C$2:$C$9</c:f>
              <c:numCache>
                <c:formatCode>0%</c:formatCode>
                <c:ptCount val="8"/>
                <c:pt idx="0">
                  <c:v>0.62993897884437333</c:v>
                </c:pt>
                <c:pt idx="1">
                  <c:v>0.66277393953596453</c:v>
                </c:pt>
                <c:pt idx="2">
                  <c:v>0.64247550243043583</c:v>
                </c:pt>
                <c:pt idx="3">
                  <c:v>0.65631009478191438</c:v>
                </c:pt>
                <c:pt idx="4">
                  <c:v>0.73070769821826376</c:v>
                </c:pt>
                <c:pt idx="5">
                  <c:v>0.83678187034670326</c:v>
                </c:pt>
                <c:pt idx="6">
                  <c:v>0.79613973086249379</c:v>
                </c:pt>
                <c:pt idx="7">
                  <c:v>0.87897553591330957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5-433B-AA4B-B50F5ED95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915896"/>
        <c:axId val="689907696"/>
      </c:barChart>
      <c:catAx>
        <c:axId val="68991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907696"/>
        <c:crosses val="autoZero"/>
        <c:auto val="1"/>
        <c:lblAlgn val="ctr"/>
        <c:lblOffset val="100"/>
        <c:noMultiLvlLbl val="0"/>
      </c:catAx>
      <c:valAx>
        <c:axId val="68990769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6899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effectLst/>
              </a:rPr>
              <a:t>Qatar 2022 World Cup Qualifiers</a:t>
            </a:r>
            <a:endParaRPr lang="es-MX" sz="2000">
              <a:effectLst/>
            </a:endParaRPr>
          </a:p>
          <a:p>
            <a:pPr>
              <a:defRPr sz="2000"/>
            </a:pPr>
            <a:r>
              <a:rPr lang="es-MX" sz="2000" b="0" i="0" baseline="0">
                <a:effectLst/>
              </a:rPr>
              <a:t>Fouls Committed vs Fouls Received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Fouls!$B$1</c:f>
              <c:strCache>
                <c:ptCount val="1"/>
                <c:pt idx="0">
                  <c:v>Fouls Committed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Fouls!$A$2:$A$9</c:f>
              <c:strCache>
                <c:ptCount val="8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Panama</c:v>
                </c:pt>
                <c:pt idx="4">
                  <c:v>Costa Rica</c:v>
                </c:pt>
                <c:pt idx="5">
                  <c:v>Jamaica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Fouls!$B$2:$B$9</c:f>
              <c:numCache>
                <c:formatCode>0%</c:formatCode>
                <c:ptCount val="8"/>
                <c:pt idx="0">
                  <c:v>1.2857177426817514</c:v>
                </c:pt>
                <c:pt idx="1">
                  <c:v>0.9698590785283181</c:v>
                </c:pt>
                <c:pt idx="2">
                  <c:v>1.2053987530678623</c:v>
                </c:pt>
                <c:pt idx="3">
                  <c:v>1.1479366919758336</c:v>
                </c:pt>
                <c:pt idx="4">
                  <c:v>1.1813068861454534</c:v>
                </c:pt>
                <c:pt idx="5">
                  <c:v>1.1145954188042553</c:v>
                </c:pt>
                <c:pt idx="6">
                  <c:v>1.2231695266319205</c:v>
                </c:pt>
                <c:pt idx="7">
                  <c:v>1.0841655531955707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3-40CE-9602-A36C70C2C98A}"/>
            </c:ext>
          </c:extLst>
        </c:ser>
        <c:ser>
          <c:idx val="1"/>
          <c:order val="1"/>
          <c:tx>
            <c:strRef>
              <c:f>Fouls!$C$1</c:f>
              <c:strCache>
                <c:ptCount val="1"/>
                <c:pt idx="0">
                  <c:v>Fouls Received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Fouls!$A$2:$A$9</c:f>
              <c:strCache>
                <c:ptCount val="8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Panama</c:v>
                </c:pt>
                <c:pt idx="4">
                  <c:v>Costa Rica</c:v>
                </c:pt>
                <c:pt idx="5">
                  <c:v>Jamaica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Fouls!$C$2:$C$9</c:f>
              <c:numCache>
                <c:formatCode>0%</c:formatCode>
                <c:ptCount val="8"/>
                <c:pt idx="0">
                  <c:v>1.4270005311126617</c:v>
                </c:pt>
                <c:pt idx="1">
                  <c:v>0.83649023380015641</c:v>
                </c:pt>
                <c:pt idx="2">
                  <c:v>0.87731614765491639</c:v>
                </c:pt>
                <c:pt idx="3">
                  <c:v>1.2592662806110873</c:v>
                </c:pt>
                <c:pt idx="4">
                  <c:v>1.22550344671038</c:v>
                </c:pt>
                <c:pt idx="5">
                  <c:v>0.96484006139072731</c:v>
                </c:pt>
                <c:pt idx="6">
                  <c:v>1.3800830457968167</c:v>
                </c:pt>
                <c:pt idx="7">
                  <c:v>1.2552954795772171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3-40CE-9602-A36C70C2C9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2456600"/>
        <c:axId val="642462832"/>
      </c:barChart>
      <c:catAx>
        <c:axId val="64245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2462832"/>
        <c:crosses val="autoZero"/>
        <c:auto val="1"/>
        <c:lblAlgn val="ctr"/>
        <c:lblOffset val="100"/>
        <c:noMultiLvlLbl val="0"/>
      </c:catAx>
      <c:valAx>
        <c:axId val="642462832"/>
        <c:scaling>
          <c:orientation val="minMax"/>
          <c:max val="1.6"/>
        </c:scaling>
        <c:delete val="1"/>
        <c:axPos val="l"/>
        <c:numFmt formatCode="0%" sourceLinked="1"/>
        <c:majorTickMark val="none"/>
        <c:minorTickMark val="none"/>
        <c:tickLblPos val="nextTo"/>
        <c:crossAx val="64245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hyperlink" Target="http://www.all-flags-world.com/country-flag/USA/national-american-flag.php" TargetMode="External"/><Relationship Id="rId7" Type="http://schemas.openxmlformats.org/officeDocument/2006/relationships/hyperlink" Target="https://www.wikidata.org/wiki/Q168941" TargetMode="External"/><Relationship Id="rId2" Type="http://schemas.openxmlformats.org/officeDocument/2006/relationships/image" Target="../media/image4.jpeg"/><Relationship Id="rId1" Type="http://schemas.openxmlformats.org/officeDocument/2006/relationships/chart" Target="../charts/chart4.xml"/><Relationship Id="rId6" Type="http://schemas.openxmlformats.org/officeDocument/2006/relationships/image" Target="../media/image6.png"/><Relationship Id="rId11" Type="http://schemas.openxmlformats.org/officeDocument/2006/relationships/hyperlink" Target="https://en.wikipedia.org/wiki/File:Flag_of_Honduras.svg" TargetMode="External"/><Relationship Id="rId5" Type="http://schemas.openxmlformats.org/officeDocument/2006/relationships/hyperlink" Target="https://www.publicdomainpictures.net/en/view-image.php?image=49118&amp;picture=canadian-flag" TargetMode="External"/><Relationship Id="rId10" Type="http://schemas.openxmlformats.org/officeDocument/2006/relationships/image" Target="../media/image8.png"/><Relationship Id="rId4" Type="http://schemas.openxmlformats.org/officeDocument/2006/relationships/image" Target="../media/image5.jpeg"/><Relationship Id="rId9" Type="http://schemas.openxmlformats.org/officeDocument/2006/relationships/hyperlink" Target="https://en.wikipedia.org/wiki/Flag_of_El_Salvador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pixabay.com/en/mexico-flag-mexican-national-26989/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nl.wikipedia.org/wiki/Costa_Rica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s://en.wikipedia.org/wiki/Flag_of_Jamaica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</xdr:colOff>
      <xdr:row>1</xdr:row>
      <xdr:rowOff>2380</xdr:rowOff>
    </xdr:from>
    <xdr:to>
      <xdr:col>16</xdr:col>
      <xdr:colOff>628650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0D5B2-FF8E-4024-BC9E-B46B8E633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7142</xdr:colOff>
      <xdr:row>1</xdr:row>
      <xdr:rowOff>11906</xdr:rowOff>
    </xdr:from>
    <xdr:to>
      <xdr:col>16</xdr:col>
      <xdr:colOff>647699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C23A1-158D-46FA-94DD-B959B7EF4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645317</xdr:colOff>
      <xdr:row>0</xdr:row>
      <xdr:rowOff>178593</xdr:rowOff>
    </xdr:from>
    <xdr:to>
      <xdr:col>17</xdr:col>
      <xdr:colOff>4762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7FC4D-B6D2-42FD-9C40-8BC551F3B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640554</xdr:colOff>
      <xdr:row>1</xdr:row>
      <xdr:rowOff>169068</xdr:rowOff>
    </xdr:from>
    <xdr:to>
      <xdr:col>16</xdr:col>
      <xdr:colOff>647699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E3E5D-9064-4265-AD94-8833FFB26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75767</xdr:colOff>
      <xdr:row>13</xdr:row>
      <xdr:rowOff>79013</xdr:rowOff>
    </xdr:from>
    <xdr:ext cx="343834" cy="169934"/>
    <xdr:pic>
      <xdr:nvPicPr>
        <xdr:cNvPr id="3" name="Picture 2">
          <a:extLst>
            <a:ext uri="{FF2B5EF4-FFF2-40B4-BE49-F238E27FC236}">
              <a16:creationId xmlns:a16="http://schemas.microsoft.com/office/drawing/2014/main" id="{ABBFDFDA-AA27-4E5E-A088-F924A79C0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5271222" y="2442945"/>
          <a:ext cx="343834" cy="16993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10</xdr:col>
      <xdr:colOff>235597</xdr:colOff>
      <xdr:row>10</xdr:row>
      <xdr:rowOff>106435</xdr:rowOff>
    </xdr:from>
    <xdr:ext cx="331933" cy="191385"/>
    <xdr:pic>
      <xdr:nvPicPr>
        <xdr:cNvPr id="4" name="Picture 3">
          <a:extLst>
            <a:ext uri="{FF2B5EF4-FFF2-40B4-BE49-F238E27FC236}">
              <a16:creationId xmlns:a16="http://schemas.microsoft.com/office/drawing/2014/main" id="{D595377B-2B23-47D4-AA89-9DEA416763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rcRect l="2259" t="5118" r="2372" b="4120"/>
        <a:stretch/>
      </xdr:blipFill>
      <xdr:spPr>
        <a:xfrm>
          <a:off x="6729915" y="1924844"/>
          <a:ext cx="331933" cy="19138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11</xdr:col>
      <xdr:colOff>254361</xdr:colOff>
      <xdr:row>13</xdr:row>
      <xdr:rowOff>14431</xdr:rowOff>
    </xdr:from>
    <xdr:ext cx="313533" cy="181841"/>
    <xdr:pic>
      <xdr:nvPicPr>
        <xdr:cNvPr id="5" name="Picture 4">
          <a:extLst>
            <a:ext uri="{FF2B5EF4-FFF2-40B4-BE49-F238E27FC236}">
              <a16:creationId xmlns:a16="http://schemas.microsoft.com/office/drawing/2014/main" id="{31E56239-1960-4F97-8BD5-223542839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7398111" y="2378363"/>
          <a:ext cx="313533" cy="18184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7</xdr:col>
      <xdr:colOff>321111</xdr:colOff>
      <xdr:row>10</xdr:row>
      <xdr:rowOff>129887</xdr:rowOff>
    </xdr:from>
    <xdr:ext cx="343314" cy="198437"/>
    <xdr:pic>
      <xdr:nvPicPr>
        <xdr:cNvPr id="6" name="Picture 5">
          <a:extLst>
            <a:ext uri="{FF2B5EF4-FFF2-40B4-BE49-F238E27FC236}">
              <a16:creationId xmlns:a16="http://schemas.microsoft.com/office/drawing/2014/main" id="{8BC842EA-16FE-4F92-920D-75F8586B1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4867134" y="1948296"/>
          <a:ext cx="343314" cy="19843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7</xdr:col>
      <xdr:colOff>68553</xdr:colOff>
      <xdr:row>20</xdr:row>
      <xdr:rowOff>144679</xdr:rowOff>
    </xdr:from>
    <xdr:ext cx="329406" cy="193047"/>
    <xdr:pic>
      <xdr:nvPicPr>
        <xdr:cNvPr id="7" name="Picture 6">
          <a:extLst>
            <a:ext uri="{FF2B5EF4-FFF2-40B4-BE49-F238E27FC236}">
              <a16:creationId xmlns:a16="http://schemas.microsoft.com/office/drawing/2014/main" id="{34998B00-F3BB-4A17-8DBD-2BB3D3DFE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4614576" y="3781497"/>
          <a:ext cx="329406" cy="19304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>
    <xdr:from>
      <xdr:col>0</xdr:col>
      <xdr:colOff>519546</xdr:colOff>
      <xdr:row>29</xdr:row>
      <xdr:rowOff>77932</xdr:rowOff>
    </xdr:from>
    <xdr:to>
      <xdr:col>6</xdr:col>
      <xdr:colOff>632114</xdr:colOff>
      <xdr:row>40</xdr:row>
      <xdr:rowOff>38966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A4C271F-C74B-4B7E-97D5-DE87BAF15185}"/>
            </a:ext>
          </a:extLst>
        </xdr:cNvPr>
        <xdr:cNvSpPr/>
      </xdr:nvSpPr>
      <xdr:spPr>
        <a:xfrm>
          <a:off x="519546" y="5351318"/>
          <a:ext cx="4009159" cy="1961284"/>
        </a:xfrm>
        <a:prstGeom prst="rect">
          <a:avLst/>
        </a:prstGeom>
        <a:solidFill>
          <a:srgbClr val="FFCCCC">
            <a:alpha val="4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235527</xdr:colOff>
      <xdr:row>29</xdr:row>
      <xdr:rowOff>131620</xdr:rowOff>
    </xdr:from>
    <xdr:to>
      <xdr:col>13</xdr:col>
      <xdr:colOff>348095</xdr:colOff>
      <xdr:row>40</xdr:row>
      <xdr:rowOff>92654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02AE7D1-9597-48BB-9D35-D9D211B7532B}"/>
            </a:ext>
          </a:extLst>
        </xdr:cNvPr>
        <xdr:cNvSpPr/>
      </xdr:nvSpPr>
      <xdr:spPr>
        <a:xfrm>
          <a:off x="4781550" y="5405006"/>
          <a:ext cx="4009159" cy="1961284"/>
        </a:xfrm>
        <a:prstGeom prst="rect">
          <a:avLst/>
        </a:prstGeom>
        <a:solidFill>
          <a:schemeClr val="accent4">
            <a:lumMod val="40000"/>
            <a:lumOff val="60000"/>
            <a:alpha val="49804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595745</xdr:colOff>
      <xdr:row>29</xdr:row>
      <xdr:rowOff>119498</xdr:rowOff>
    </xdr:from>
    <xdr:to>
      <xdr:col>20</xdr:col>
      <xdr:colOff>58882</xdr:colOff>
      <xdr:row>40</xdr:row>
      <xdr:rowOff>80532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9FF85DC-F282-48D5-B23E-3159E6DE13C8}"/>
            </a:ext>
          </a:extLst>
        </xdr:cNvPr>
        <xdr:cNvSpPr/>
      </xdr:nvSpPr>
      <xdr:spPr>
        <a:xfrm>
          <a:off x="9038359" y="5392884"/>
          <a:ext cx="4009159" cy="1961284"/>
        </a:xfrm>
        <a:prstGeom prst="rect">
          <a:avLst/>
        </a:prstGeom>
        <a:solidFill>
          <a:schemeClr val="accent6">
            <a:lumMod val="40000"/>
            <a:lumOff val="60000"/>
            <a:alpha val="49804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290080</xdr:colOff>
      <xdr:row>6</xdr:row>
      <xdr:rowOff>25978</xdr:rowOff>
    </xdr:from>
    <xdr:to>
      <xdr:col>11</xdr:col>
      <xdr:colOff>350695</xdr:colOff>
      <xdr:row>8</xdr:row>
      <xdr:rowOff>129887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098BA002-C68E-4693-AD09-5ED599F19AE9}"/>
            </a:ext>
          </a:extLst>
        </xdr:cNvPr>
        <xdr:cNvSpPr/>
      </xdr:nvSpPr>
      <xdr:spPr>
        <a:xfrm>
          <a:off x="6134966" y="1117023"/>
          <a:ext cx="1359479" cy="467591"/>
        </a:xfrm>
        <a:prstGeom prst="roundRect">
          <a:avLst/>
        </a:prstGeom>
        <a:ln>
          <a:solidFill>
            <a:srgbClr val="0070C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eaLnBrk="1" fontAlgn="auto" latinLnBrk="0" hangingPunct="1"/>
          <a:r>
            <a:rPr lang="es-MX" sz="1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↑ Less goals</a:t>
          </a:r>
          <a:r>
            <a:rPr lang="es-MX" sz="10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received than expected</a:t>
          </a:r>
          <a:endParaRPr lang="es-MX" sz="1000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15</xdr:col>
      <xdr:colOff>225136</xdr:colOff>
      <xdr:row>14</xdr:row>
      <xdr:rowOff>173181</xdr:rowOff>
    </xdr:from>
    <xdr:to>
      <xdr:col>16</xdr:col>
      <xdr:colOff>571500</xdr:colOff>
      <xdr:row>18</xdr:row>
      <xdr:rowOff>160193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78B14BA-0E74-4486-B10A-6AFC19DF07F7}"/>
            </a:ext>
          </a:extLst>
        </xdr:cNvPr>
        <xdr:cNvSpPr/>
      </xdr:nvSpPr>
      <xdr:spPr>
        <a:xfrm>
          <a:off x="9966613" y="2718954"/>
          <a:ext cx="995796" cy="714375"/>
        </a:xfrm>
        <a:prstGeom prst="roundRect">
          <a:avLst/>
        </a:prstGeom>
        <a:ln>
          <a:solidFill>
            <a:srgbClr val="0070C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es-MX" sz="1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→ More goals scored than expected</a:t>
          </a:r>
          <a:endParaRPr lang="es-MX" sz="1050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9</xdr:col>
      <xdr:colOff>247648</xdr:colOff>
      <xdr:row>26</xdr:row>
      <xdr:rowOff>26843</xdr:rowOff>
    </xdr:from>
    <xdr:to>
      <xdr:col>11</xdr:col>
      <xdr:colOff>419966</xdr:colOff>
      <xdr:row>28</xdr:row>
      <xdr:rowOff>134217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9867CEFE-1D3D-4AB5-8E4C-92B74080E911}"/>
            </a:ext>
          </a:extLst>
        </xdr:cNvPr>
        <xdr:cNvSpPr/>
      </xdr:nvSpPr>
      <xdr:spPr>
        <a:xfrm>
          <a:off x="6092534" y="4754707"/>
          <a:ext cx="1471182" cy="471055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 eaLnBrk="1" fontAlgn="auto" latinLnBrk="0" hangingPunct="1"/>
          <a:r>
            <a:rPr lang="es-MX" sz="1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↓ More</a:t>
          </a:r>
          <a:r>
            <a:rPr lang="es-MX" sz="10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goals received than expected</a:t>
          </a:r>
          <a:endParaRPr lang="es-MX" sz="10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</xdr:col>
      <xdr:colOff>122956</xdr:colOff>
      <xdr:row>14</xdr:row>
      <xdr:rowOff>164522</xdr:rowOff>
    </xdr:from>
    <xdr:to>
      <xdr:col>5</xdr:col>
      <xdr:colOff>471921</xdr:colOff>
      <xdr:row>18</xdr:row>
      <xdr:rowOff>155864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79225EED-C1ED-4D44-9F95-2267B5190A78}"/>
            </a:ext>
          </a:extLst>
        </xdr:cNvPr>
        <xdr:cNvSpPr/>
      </xdr:nvSpPr>
      <xdr:spPr>
        <a:xfrm>
          <a:off x="2720683" y="2710295"/>
          <a:ext cx="998397" cy="718705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es-MX" sz="1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← Less goals Scored</a:t>
          </a:r>
          <a:r>
            <a:rPr lang="es-MX" sz="10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than expected</a:t>
          </a:r>
          <a:endParaRPr lang="es-MX" sz="1000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0.16345</cdr:x>
      <cdr:y>0.55637</cdr:y>
    </cdr:from>
    <cdr:to>
      <cdr:x>0.20095</cdr:x>
      <cdr:y>0.59272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5A8DC06A-EEAE-463D-96E2-52DD2B44EA8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381120" y="2746682"/>
          <a:ext cx="316866" cy="17945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0.35813</cdr:x>
      <cdr:y>0.31784</cdr:y>
    </cdr:from>
    <cdr:to>
      <cdr:x>0.3952</cdr:x>
      <cdr:y>0.3566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70617B4A-FF4E-4071-BF15-4303296C03A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026102" y="1569106"/>
          <a:ext cx="313232" cy="191349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0.26709</cdr:x>
      <cdr:y>0.27005</cdr:y>
    </cdr:from>
    <cdr:to>
      <cdr:x>0.30698</cdr:x>
      <cdr:y>0.31069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8091E3C0-E3FB-47F0-9CA7-2903DE4AA38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256887" y="1333154"/>
          <a:ext cx="337061" cy="20063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192882</xdr:colOff>
      <xdr:row>0</xdr:row>
      <xdr:rowOff>169067</xdr:rowOff>
    </xdr:from>
    <xdr:to>
      <xdr:col>17</xdr:col>
      <xdr:colOff>185738</xdr:colOff>
      <xdr:row>25</xdr:row>
      <xdr:rowOff>180973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68296-C9FF-4862-88F1-76DF050C9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440531</xdr:colOff>
      <xdr:row>1</xdr:row>
      <xdr:rowOff>169068</xdr:rowOff>
    </xdr:from>
    <xdr:to>
      <xdr:col>17</xdr:col>
      <xdr:colOff>438151</xdr:colOff>
      <xdr:row>27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3EC25-68E3-4B5A-BAA6-B8F1B955E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2380</xdr:colOff>
      <xdr:row>1</xdr:row>
      <xdr:rowOff>16668</xdr:rowOff>
    </xdr:from>
    <xdr:to>
      <xdr:col>17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40083-9463-4F3B-94F9-C95B3F7CD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A10" totalsRowCount="1">
  <autoFilter ref="A1:BA9" xr:uid="{00000000-0009-0000-0100-000001000000}"/>
  <sortState xmlns:xlrd2="http://schemas.microsoft.com/office/spreadsheetml/2017/richdata2" ref="A2:BA9">
    <sortCondition descending="1" ref="C1:C9"/>
  </sortState>
  <tableColumns count="53">
    <tableColumn id="1" xr3:uid="{00000000-0010-0000-0000-000001000000}" name="Rank"/>
    <tableColumn id="2" xr3:uid="{00000000-0010-0000-0000-000002000000}" name="team"/>
    <tableColumn id="3" xr3:uid="{00000000-0010-0000-0000-000003000000}" name="Points" totalsRowFunction="custom">
      <totalsRowFormula>SUM(Table1[Points])</totalsRowFormula>
    </tableColumn>
    <tableColumn id="4" xr3:uid="{00000000-0010-0000-0000-000004000000}" name="xPoints" totalsRowFunction="sum"/>
    <tableColumn id="5" xr3:uid="{00000000-0010-0000-0000-000005000000}" name="Wins" totalsRowFunction="sum"/>
    <tableColumn id="6" xr3:uid="{00000000-0010-0000-0000-000006000000}" name="Draws" totalsRowFunction="sum"/>
    <tableColumn id="7" xr3:uid="{00000000-0010-0000-0000-000007000000}" name="Losses" totalsRowFunction="sum"/>
    <tableColumn id="8" xr3:uid="{00000000-0010-0000-0000-000008000000}" name="xWins" totalsRowFunction="sum"/>
    <tableColumn id="9" xr3:uid="{00000000-0010-0000-0000-000009000000}" name="xDraws" totalsRowFunction="sum"/>
    <tableColumn id="10" xr3:uid="{00000000-0010-0000-0000-00000A000000}" name="xLosses" totalsRowFunction="sum"/>
    <tableColumn id="11" xr3:uid="{00000000-0010-0000-0000-00000B000000}" name="GoalDiff" totalsRowFunction="stdDev"/>
    <tableColumn id="12" xr3:uid="{00000000-0010-0000-0000-00000C000000}" name="xGoalDiff" totalsRowFunction="stdDev"/>
    <tableColumn id="53" xr3:uid="{00000000-0010-0000-0000-000035000000}" name="GoalsF_Diff" dataDxfId="4">
      <calculatedColumnFormula>Table1[[#This Row],[GoalsF]]-Table1[[#This Row],[xGoalsF]]</calculatedColumnFormula>
    </tableColumn>
    <tableColumn id="13" xr3:uid="{00000000-0010-0000-0000-00000D000000}" name="GoalsF" totalsRowFunction="sum"/>
    <tableColumn id="14" xr3:uid="{00000000-0010-0000-0000-00000E000000}" name="xGoalsF" totalsRowFunction="sum"/>
    <tableColumn id="54" xr3:uid="{00000000-0010-0000-0000-000036000000}" name="GoalsA_Diff" dataDxfId="3">
      <calculatedColumnFormula>Table1[[#This Row],[xGoalsA]]-Table1[[#This Row],[GoalsA]]</calculatedColumnFormula>
    </tableColumn>
    <tableColumn id="15" xr3:uid="{00000000-0010-0000-0000-00000F000000}" name="GoalsA" totalsRowFunction="sum"/>
    <tableColumn id="16" xr3:uid="{00000000-0010-0000-0000-000010000000}" name="xGoalsA" totalsRowFunction="sum"/>
    <tableColumn id="41" xr3:uid="{00000000-0010-0000-0000-000029000000}" name="2HTGoalsF" totalsRowFunction="sum" dataDxfId="2">
      <calculatedColumnFormula>Table1[[#This Row],[GoalsF]]-Table1[[#This Row],[HTGoalsF]]</calculatedColumnFormula>
    </tableColumn>
    <tableColumn id="42" xr3:uid="{00000000-0010-0000-0000-00002A000000}" name="x2HTGoalsF" totalsRowFunction="sum">
      <calculatedColumnFormula>Table1[[#This Row],[xGoalsF]]-Table1[[#This Row],[xHTGoalsF]]</calculatedColumnFormula>
    </tableColumn>
    <tableColumn id="43" xr3:uid="{00000000-0010-0000-0000-00002B000000}" name="2HTGoalsA" totalsRowFunction="sum" dataDxfId="1">
      <calculatedColumnFormula>Table1[[#This Row],[GoalsA]]-Table1[[#This Row],[HTGoalsA]]</calculatedColumnFormula>
    </tableColumn>
    <tableColumn id="44" xr3:uid="{00000000-0010-0000-0000-00002C000000}" name="x2HTGoalsA" totalsRowFunction="sum" dataDxfId="0">
      <calculatedColumnFormula>Table1[[#This Row],[xGoalsA]]-Table1[[#This Row],[xHTGoalsA]]</calculatedColumnFormula>
    </tableColumn>
    <tableColumn id="17" xr3:uid="{00000000-0010-0000-0000-000011000000}" name="HTGoalsF" totalsRowFunction="sum"/>
    <tableColumn id="18" xr3:uid="{00000000-0010-0000-0000-000012000000}" name="xHTGoalsF" totalsRowFunction="sum"/>
    <tableColumn id="19" xr3:uid="{00000000-0010-0000-0000-000013000000}" name="HTGoalsA" totalsRowFunction="sum"/>
    <tableColumn id="20" xr3:uid="{00000000-0010-0000-0000-000014000000}" name="xHTGoalsA" totalsRowFunction="sum"/>
    <tableColumn id="46" xr3:uid="{00000000-0010-0000-0000-00002E000000}" name="%ShotsF" totalsRowFunction="average" dataCellStyle="Percent">
      <calculatedColumnFormula>Table1[[#This Row],[ShotsF]]/Table1[[#This Row],[xShotsF]]</calculatedColumnFormula>
    </tableColumn>
    <tableColumn id="21" xr3:uid="{00000000-0010-0000-0000-000015000000}" name="ShotsF" totalsRowFunction="sum"/>
    <tableColumn id="22" xr3:uid="{00000000-0010-0000-0000-000016000000}" name="xShotsF" totalsRowFunction="sum"/>
    <tableColumn id="47" xr3:uid="{00000000-0010-0000-0000-00002F000000}" name="%ShotsA" dataCellStyle="Percent">
      <calculatedColumnFormula>Table1[[#This Row],[ShotsA]]/Table1[[#This Row],[xShotsA]]</calculatedColumnFormula>
    </tableColumn>
    <tableColumn id="23" xr3:uid="{00000000-0010-0000-0000-000017000000}" name="ShotsA" totalsRowFunction="sum"/>
    <tableColumn id="24" xr3:uid="{00000000-0010-0000-0000-000018000000}" name="xShotsA" totalsRowFunction="sum"/>
    <tableColumn id="48" xr3:uid="{00000000-0010-0000-0000-000030000000}" name="%ShotsTF" totalsRowFunction="average" dataCellStyle="Percent">
      <calculatedColumnFormula>Table1[[#This Row],[ShotsTF]]/Table1[[#This Row],[xShotsTF]]</calculatedColumnFormula>
    </tableColumn>
    <tableColumn id="25" xr3:uid="{00000000-0010-0000-0000-000019000000}" name="ShotsTF" totalsRowFunction="sum"/>
    <tableColumn id="26" xr3:uid="{00000000-0010-0000-0000-00001A000000}" name="xShotsTF" totalsRowFunction="sum"/>
    <tableColumn id="49" xr3:uid="{00000000-0010-0000-0000-000031000000}" name="%ShotsTA" totalsRowFunction="average" dataCellStyle="Percent">
      <calculatedColumnFormula>Table1[[#This Row],[ShotsTA]]/Table1[[#This Row],[xShotsTA]]</calculatedColumnFormula>
    </tableColumn>
    <tableColumn id="27" xr3:uid="{00000000-0010-0000-0000-00001B000000}" name="ShotsTA" totalsRowFunction="sum"/>
    <tableColumn id="28" xr3:uid="{00000000-0010-0000-0000-00001C000000}" name="xShotsTA" totalsRowFunction="sum"/>
    <tableColumn id="50" xr3:uid="{00000000-0010-0000-0000-000032000000}" name="%Fouls" dataCellStyle="Percent">
      <calculatedColumnFormula>Table1[[#This Row],[Fouls]]/Table1[[#This Row],[xFouls]]</calculatedColumnFormula>
    </tableColumn>
    <tableColumn id="29" xr3:uid="{00000000-0010-0000-0000-00001D000000}" name="Fouls" totalsRowFunction="sum"/>
    <tableColumn id="30" xr3:uid="{00000000-0010-0000-0000-00001E000000}" name="xFouls" totalsRowFunction="sum"/>
    <tableColumn id="51" xr3:uid="{00000000-0010-0000-0000-000033000000}" name="%FoulsA" totalsRowFunction="average" dataCellStyle="Percent">
      <calculatedColumnFormula>Table1[[#This Row],[FoulsA]]/Table1[[#This Row],[xFoulsA]]</calculatedColumnFormula>
    </tableColumn>
    <tableColumn id="31" xr3:uid="{00000000-0010-0000-0000-00001F000000}" name="FoulsA" totalsRowFunction="sum"/>
    <tableColumn id="32" xr3:uid="{00000000-0010-0000-0000-000020000000}" name="xFoulsA" totalsRowFunction="sum"/>
    <tableColumn id="52" xr3:uid="{00000000-0010-0000-0000-000034000000}" name="%Ycard" dataCellStyle="Percent">
      <calculatedColumnFormula>Table1[[#This Row],[YCard]]/Table1[[#This Row],[xYCard]]</calculatedColumnFormula>
    </tableColumn>
    <tableColumn id="33" xr3:uid="{00000000-0010-0000-0000-000021000000}" name="YCard" totalsRowFunction="sum"/>
    <tableColumn id="34" xr3:uid="{00000000-0010-0000-0000-000022000000}" name="xYCard" totalsRowFunction="sum"/>
    <tableColumn id="35" xr3:uid="{00000000-0010-0000-0000-000023000000}" name="YCardA" totalsRowFunction="sum"/>
    <tableColumn id="36" xr3:uid="{00000000-0010-0000-0000-000024000000}" name="xYCardA" totalsRowFunction="sum"/>
    <tableColumn id="37" xr3:uid="{00000000-0010-0000-0000-000025000000}" name="RCard" totalsRowFunction="sum"/>
    <tableColumn id="38" xr3:uid="{00000000-0010-0000-0000-000026000000}" name="xRCard" totalsRowFunction="sum"/>
    <tableColumn id="39" xr3:uid="{00000000-0010-0000-0000-000027000000}" name="RCardA" totalsRowFunction="sum"/>
    <tableColumn id="40" xr3:uid="{00000000-0010-0000-0000-000028000000}" name="xRCardA" totalsRowFunction="su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7"/>
  <sheetViews>
    <sheetView workbookViewId="0">
      <pane xSplit="2" topLeftCell="AI1" activePane="topRight" state="frozen"/>
      <selection pane="topRight" activeCell="AS2" sqref="AS2"/>
    </sheetView>
  </sheetViews>
  <sheetFormatPr defaultRowHeight="14.25" x14ac:dyDescent="0.45"/>
  <cols>
    <col min="12" max="12" width="9.9296875" customWidth="1"/>
    <col min="13" max="13" width="12.06640625" bestFit="1" customWidth="1"/>
    <col min="16" max="16" width="12.3984375" bestFit="1" customWidth="1"/>
    <col min="19" max="19" width="11.3984375" bestFit="1" customWidth="1"/>
    <col min="20" max="20" width="12.265625" bestFit="1" customWidth="1"/>
    <col min="21" max="21" width="11.73046875" bestFit="1" customWidth="1"/>
    <col min="22" max="22" width="12.59765625" bestFit="1" customWidth="1"/>
    <col min="23" max="23" width="9.9296875" customWidth="1"/>
    <col min="24" max="24" width="10.796875" customWidth="1"/>
    <col min="25" max="25" width="10.19921875" customWidth="1"/>
    <col min="26" max="26" width="11.06640625" customWidth="1"/>
    <col min="27" max="27" width="9.73046875" bestFit="1" customWidth="1"/>
    <col min="30" max="30" width="10.06640625" bestFit="1" customWidth="1"/>
    <col min="33" max="33" width="10.6640625" bestFit="1" customWidth="1"/>
    <col min="35" max="35" width="9.53125" customWidth="1"/>
    <col min="36" max="36" width="11" bestFit="1" customWidth="1"/>
    <col min="38" max="39" width="9.796875" customWidth="1"/>
    <col min="42" max="42" width="9.796875" bestFit="1" customWidth="1"/>
    <col min="49" max="49" width="9.1328125" customWidth="1"/>
    <col min="53" max="53" width="9.265625" customWidth="1"/>
  </cols>
  <sheetData>
    <row r="1" spans="1:53" x14ac:dyDescent="0.45">
      <c r="A1" t="s">
        <v>47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9" t="s">
        <v>73</v>
      </c>
      <c r="N1" t="s">
        <v>11</v>
      </c>
      <c r="O1" t="s">
        <v>12</v>
      </c>
      <c r="P1" s="9" t="s">
        <v>74</v>
      </c>
      <c r="Q1" t="s">
        <v>13</v>
      </c>
      <c r="R1" t="s">
        <v>14</v>
      </c>
      <c r="S1" t="s">
        <v>48</v>
      </c>
      <c r="T1" t="s">
        <v>49</v>
      </c>
      <c r="U1" t="s">
        <v>50</v>
      </c>
      <c r="V1" t="s">
        <v>51</v>
      </c>
      <c r="W1" t="s">
        <v>15</v>
      </c>
      <c r="X1" t="s">
        <v>16</v>
      </c>
      <c r="Y1" t="s">
        <v>17</v>
      </c>
      <c r="Z1" t="s">
        <v>18</v>
      </c>
      <c r="AA1" s="5" t="s">
        <v>62</v>
      </c>
      <c r="AB1" t="s">
        <v>19</v>
      </c>
      <c r="AC1" t="s">
        <v>20</v>
      </c>
      <c r="AD1" s="5" t="s">
        <v>63</v>
      </c>
      <c r="AE1" t="s">
        <v>21</v>
      </c>
      <c r="AF1" t="s">
        <v>22</v>
      </c>
      <c r="AG1" s="5" t="s">
        <v>64</v>
      </c>
      <c r="AH1" t="s">
        <v>23</v>
      </c>
      <c r="AI1" t="s">
        <v>24</v>
      </c>
      <c r="AJ1" s="5" t="s">
        <v>65</v>
      </c>
      <c r="AK1" t="s">
        <v>25</v>
      </c>
      <c r="AL1" t="s">
        <v>26</v>
      </c>
      <c r="AM1" s="5" t="s">
        <v>58</v>
      </c>
      <c r="AN1" t="s">
        <v>27</v>
      </c>
      <c r="AO1" t="s">
        <v>28</v>
      </c>
      <c r="AP1" s="5" t="s">
        <v>66</v>
      </c>
      <c r="AQ1" t="s">
        <v>29</v>
      </c>
      <c r="AR1" t="s">
        <v>30</v>
      </c>
      <c r="AS1" s="5" t="s">
        <v>61</v>
      </c>
      <c r="AT1" t="s">
        <v>31</v>
      </c>
      <c r="AU1" t="s">
        <v>32</v>
      </c>
      <c r="AV1" t="s">
        <v>33</v>
      </c>
      <c r="AW1" t="s">
        <v>34</v>
      </c>
      <c r="AX1" t="s">
        <v>35</v>
      </c>
      <c r="AY1" t="s">
        <v>36</v>
      </c>
      <c r="AZ1" t="s">
        <v>37</v>
      </c>
      <c r="BA1" t="s">
        <v>38</v>
      </c>
    </row>
    <row r="2" spans="1:53" x14ac:dyDescent="0.45">
      <c r="A2">
        <v>3</v>
      </c>
      <c r="B2" t="s">
        <v>42</v>
      </c>
      <c r="C2">
        <v>16</v>
      </c>
      <c r="D2">
        <v>13.5406123607124</v>
      </c>
      <c r="E2">
        <v>4</v>
      </c>
      <c r="F2">
        <v>4</v>
      </c>
      <c r="G2">
        <v>0</v>
      </c>
      <c r="H2">
        <v>3.84442245131557</v>
      </c>
      <c r="I2">
        <v>2.0073450067656902</v>
      </c>
      <c r="J2">
        <v>2.14823254191873</v>
      </c>
      <c r="K2">
        <v>8</v>
      </c>
      <c r="L2">
        <v>3.76558429477919</v>
      </c>
      <c r="M2">
        <f>Table1[[#This Row],[GoalsF]]-Table1[[#This Row],[xGoalsF]]</f>
        <v>0.10135466342130073</v>
      </c>
      <c r="N2">
        <v>13</v>
      </c>
      <c r="O2">
        <v>12.898645336578699</v>
      </c>
      <c r="P2">
        <f>Table1[[#This Row],[xGoalsA]]-Table1[[#This Row],[GoalsA]]</f>
        <v>4.1330610417995093</v>
      </c>
      <c r="Q2">
        <v>5</v>
      </c>
      <c r="R2">
        <v>9.1330610417995093</v>
      </c>
      <c r="S2" s="2">
        <f>Table1[[#This Row],[GoalsF]]-Table1[[#This Row],[HTGoalsF]]</f>
        <v>8</v>
      </c>
      <c r="T2">
        <f>Table1[[#This Row],[xGoalsF]]-Table1[[#This Row],[xHTGoalsF]]</f>
        <v>7.236932882493659</v>
      </c>
      <c r="U2">
        <f>Table1[[#This Row],[GoalsA]]-Table1[[#This Row],[HTGoalsA]]</f>
        <v>2</v>
      </c>
      <c r="V2">
        <f>Table1[[#This Row],[xGoalsA]]-Table1[[#This Row],[xHTGoalsA]]</f>
        <v>5.0816935974943993</v>
      </c>
      <c r="W2">
        <v>5</v>
      </c>
      <c r="X2">
        <v>5.6617124540850403</v>
      </c>
      <c r="Y2">
        <v>3</v>
      </c>
      <c r="Z2">
        <v>4.05136744430511</v>
      </c>
      <c r="AA2" s="3">
        <f>Table1[[#This Row],[ShotsF]]/Table1[[#This Row],[xShotsF]]</f>
        <v>0.8810368894950007</v>
      </c>
      <c r="AB2">
        <v>91</v>
      </c>
      <c r="AC2">
        <v>103.28738908101801</v>
      </c>
      <c r="AD2" s="3">
        <f>Table1[[#This Row],[ShotsA]]/Table1[[#This Row],[xShotsA]]</f>
        <v>0.94556362939527761</v>
      </c>
      <c r="AE2">
        <v>79</v>
      </c>
      <c r="AF2">
        <v>83.548052763538905</v>
      </c>
      <c r="AG2" s="3">
        <f>Table1[[#This Row],[ShotsTF]]/Table1[[#This Row],[xShotsTF]]</f>
        <v>0.66909034589039862</v>
      </c>
      <c r="AH2">
        <v>30</v>
      </c>
      <c r="AI2">
        <v>44.836994262825897</v>
      </c>
      <c r="AJ2" s="3">
        <f>Table1[[#This Row],[ShotsTA]]/Table1[[#This Row],[xShotsTA]]</f>
        <v>0.62993897884437333</v>
      </c>
      <c r="AK2">
        <v>22</v>
      </c>
      <c r="AL2">
        <v>34.9240176252613</v>
      </c>
      <c r="AM2" s="3">
        <f>Table1[[#This Row],[Fouls]]/Table1[[#This Row],[xFouls]]</f>
        <v>1.2857177426817514</v>
      </c>
      <c r="AN2">
        <v>130</v>
      </c>
      <c r="AO2">
        <v>101.110839249092</v>
      </c>
      <c r="AP2" s="3">
        <f>Table1[[#This Row],[FoulsA]]/Table1[[#This Row],[xFoulsA]]</f>
        <v>1.4270005311126617</v>
      </c>
      <c r="AQ2">
        <v>150</v>
      </c>
      <c r="AR2">
        <v>105.11558806712</v>
      </c>
      <c r="AS2" s="3">
        <f>Table1[[#This Row],[YCard]]/Table1[[#This Row],[xYCard]]</f>
        <v>1.1069748345621042</v>
      </c>
      <c r="AT2">
        <v>14</v>
      </c>
      <c r="AU2">
        <v>12.647080640761001</v>
      </c>
      <c r="AV2">
        <v>19</v>
      </c>
      <c r="AW2">
        <v>14.506096490664399</v>
      </c>
      <c r="AX2">
        <v>0</v>
      </c>
      <c r="AY2">
        <v>0.67665468764833503</v>
      </c>
      <c r="AZ2">
        <v>0</v>
      </c>
      <c r="BA2">
        <v>0.89009985641988898</v>
      </c>
    </row>
    <row r="3" spans="1:53" x14ac:dyDescent="0.45">
      <c r="A3">
        <v>7</v>
      </c>
      <c r="B3" t="s">
        <v>46</v>
      </c>
      <c r="C3">
        <v>15</v>
      </c>
      <c r="D3">
        <v>15.7495736370554</v>
      </c>
      <c r="E3">
        <v>4</v>
      </c>
      <c r="F3">
        <v>3</v>
      </c>
      <c r="G3">
        <v>1</v>
      </c>
      <c r="H3">
        <v>4.5874733385053199</v>
      </c>
      <c r="I3">
        <v>1.9871536215394301</v>
      </c>
      <c r="J3">
        <v>1.42537303995524</v>
      </c>
      <c r="K3">
        <v>7</v>
      </c>
      <c r="L3">
        <v>7.3465255126082196</v>
      </c>
      <c r="M3">
        <f>Table1[[#This Row],[GoalsF]]-Table1[[#This Row],[xGoalsF]]</f>
        <v>-2.7756619703234993</v>
      </c>
      <c r="N3">
        <v>12</v>
      </c>
      <c r="O3">
        <v>14.775661970323499</v>
      </c>
      <c r="P3">
        <f>Table1[[#This Row],[xGoalsA]]-Table1[[#This Row],[GoalsA]]</f>
        <v>2.4291364577153498</v>
      </c>
      <c r="Q3">
        <v>5</v>
      </c>
      <c r="R3">
        <v>7.4291364577153498</v>
      </c>
      <c r="S3" s="2">
        <f>Table1[[#This Row],[GoalsF]]-Table1[[#This Row],[HTGoalsF]]</f>
        <v>10</v>
      </c>
      <c r="T3">
        <f>Table1[[#This Row],[xGoalsF]]-Table1[[#This Row],[xHTGoalsF]]</f>
        <v>8.3601080299256481</v>
      </c>
      <c r="U3">
        <f>Table1[[#This Row],[GoalsA]]-Table1[[#This Row],[HTGoalsA]]</f>
        <v>2</v>
      </c>
      <c r="V3">
        <f>Table1[[#This Row],[xGoalsA]]-Table1[[#This Row],[xHTGoalsA]]</f>
        <v>4.2048657364388999</v>
      </c>
      <c r="W3">
        <v>2</v>
      </c>
      <c r="X3">
        <v>6.4155539403978503</v>
      </c>
      <c r="Y3">
        <v>3</v>
      </c>
      <c r="Z3">
        <v>3.2242707212764499</v>
      </c>
      <c r="AA3" s="3">
        <f>Table1[[#This Row],[ShotsF]]/Table1[[#This Row],[xShotsF]]</f>
        <v>0.86988734251837685</v>
      </c>
      <c r="AB3">
        <v>97</v>
      </c>
      <c r="AC3">
        <v>111.508692285577</v>
      </c>
      <c r="AD3" s="3">
        <f>Table1[[#This Row],[ShotsA]]/Table1[[#This Row],[xShotsA]]</f>
        <v>0.81930741948623076</v>
      </c>
      <c r="AE3">
        <v>62</v>
      </c>
      <c r="AF3">
        <v>75.673670865667006</v>
      </c>
      <c r="AG3" s="3">
        <f>Table1[[#This Row],[ShotsTF]]/Table1[[#This Row],[xShotsTF]]</f>
        <v>0.63896150222408499</v>
      </c>
      <c r="AH3">
        <v>31</v>
      </c>
      <c r="AI3">
        <v>48.516224987101403</v>
      </c>
      <c r="AJ3" s="3">
        <f>Table1[[#This Row],[ShotsTA]]/Table1[[#This Row],[xShotsTA]]</f>
        <v>0.66277393953596453</v>
      </c>
      <c r="AK3">
        <v>20</v>
      </c>
      <c r="AL3">
        <v>30.176201577875599</v>
      </c>
      <c r="AM3" s="3">
        <f>Table1[[#This Row],[Fouls]]/Table1[[#This Row],[xFouls]]</f>
        <v>0.9698590785283181</v>
      </c>
      <c r="AN3">
        <v>97</v>
      </c>
      <c r="AO3">
        <v>100.01453009770201</v>
      </c>
      <c r="AP3" s="3">
        <f>Table1[[#This Row],[FoulsA]]/Table1[[#This Row],[xFoulsA]]</f>
        <v>0.83649023380015641</v>
      </c>
      <c r="AQ3">
        <v>90</v>
      </c>
      <c r="AR3">
        <v>107.592409765661</v>
      </c>
      <c r="AS3" s="3">
        <f>Table1[[#This Row],[YCard]]/Table1[[#This Row],[xYCard]]</f>
        <v>0.5465542829934763</v>
      </c>
      <c r="AT3">
        <v>7</v>
      </c>
      <c r="AU3">
        <v>12.807511015486</v>
      </c>
      <c r="AV3">
        <v>10</v>
      </c>
      <c r="AW3">
        <v>15.684367835067199</v>
      </c>
      <c r="AX3">
        <v>1</v>
      </c>
      <c r="AY3">
        <v>0.71383485134970204</v>
      </c>
      <c r="AZ3">
        <v>0</v>
      </c>
      <c r="BA3">
        <v>0.91850137866182202</v>
      </c>
    </row>
    <row r="4" spans="1:53" x14ac:dyDescent="0.45">
      <c r="A4">
        <v>0</v>
      </c>
      <c r="B4" t="s">
        <v>39</v>
      </c>
      <c r="C4">
        <v>14</v>
      </c>
      <c r="D4">
        <v>16.284443319073201</v>
      </c>
      <c r="E4">
        <v>4</v>
      </c>
      <c r="F4">
        <v>2</v>
      </c>
      <c r="G4">
        <v>2</v>
      </c>
      <c r="H4">
        <v>4.8094991353124898</v>
      </c>
      <c r="I4">
        <v>1.8559459131357601</v>
      </c>
      <c r="J4">
        <v>1.3345549515517401</v>
      </c>
      <c r="K4">
        <v>4</v>
      </c>
      <c r="L4">
        <v>9.3464978745416403</v>
      </c>
      <c r="M4">
        <f>Table1[[#This Row],[GoalsF]]-Table1[[#This Row],[xGoalsF]]</f>
        <v>-5.305161429567999</v>
      </c>
      <c r="N4">
        <v>11</v>
      </c>
      <c r="O4">
        <v>16.305161429567999</v>
      </c>
      <c r="P4">
        <f>Table1[[#This Row],[xGoalsA]]-Table1[[#This Row],[GoalsA]]</f>
        <v>-4.1336444973589792E-2</v>
      </c>
      <c r="Q4">
        <v>7</v>
      </c>
      <c r="R4">
        <v>6.9586635550264102</v>
      </c>
      <c r="S4" s="2">
        <f>Table1[[#This Row],[GoalsF]]-Table1[[#This Row],[HTGoalsF]]</f>
        <v>7</v>
      </c>
      <c r="T4">
        <f>Table1[[#This Row],[xGoalsF]]-Table1[[#This Row],[xHTGoalsF]]</f>
        <v>9.0565981927744481</v>
      </c>
      <c r="U4">
        <f>Table1[[#This Row],[GoalsA]]-Table1[[#This Row],[HTGoalsA]]</f>
        <v>4</v>
      </c>
      <c r="V4">
        <f>Table1[[#This Row],[xGoalsA]]-Table1[[#This Row],[xHTGoalsA]]</f>
        <v>3.8746384901852</v>
      </c>
      <c r="W4">
        <v>4</v>
      </c>
      <c r="X4">
        <v>7.24856323679355</v>
      </c>
      <c r="Y4">
        <v>3</v>
      </c>
      <c r="Z4">
        <v>3.0840250648412102</v>
      </c>
      <c r="AA4" s="3">
        <f>Table1[[#This Row],[ShotsF]]/Table1[[#This Row],[xShotsF]]</f>
        <v>1.0369635239349542</v>
      </c>
      <c r="AB4">
        <v>119</v>
      </c>
      <c r="AC4">
        <v>114.758134932685</v>
      </c>
      <c r="AD4" s="3">
        <f>Table1[[#This Row],[ShotsA]]/Table1[[#This Row],[xShotsA]]</f>
        <v>0.88218487366597864</v>
      </c>
      <c r="AE4">
        <v>65</v>
      </c>
      <c r="AF4">
        <v>73.680701109607696</v>
      </c>
      <c r="AG4" s="3">
        <f>Table1[[#This Row],[ShotsTF]]/Table1[[#This Row],[xShotsTF]]</f>
        <v>0.86142861427786277</v>
      </c>
      <c r="AH4">
        <v>44</v>
      </c>
      <c r="AI4">
        <v>51.077941074531502</v>
      </c>
      <c r="AJ4" s="3">
        <f>Table1[[#This Row],[ShotsTA]]/Table1[[#This Row],[xShotsTA]]</f>
        <v>0.64247550243043583</v>
      </c>
      <c r="AK4">
        <v>19</v>
      </c>
      <c r="AL4">
        <v>29.573112014581799</v>
      </c>
      <c r="AM4" s="3">
        <f>Table1[[#This Row],[Fouls]]/Table1[[#This Row],[xFouls]]</f>
        <v>1.2053987530678623</v>
      </c>
      <c r="AN4">
        <v>116</v>
      </c>
      <c r="AO4">
        <v>96.233714946832507</v>
      </c>
      <c r="AP4" s="3">
        <f>Table1[[#This Row],[FoulsA]]/Table1[[#This Row],[xFoulsA]]</f>
        <v>0.87731614765491639</v>
      </c>
      <c r="AQ4">
        <v>92</v>
      </c>
      <c r="AR4">
        <v>104.865276042072</v>
      </c>
      <c r="AS4" s="3">
        <f>Table1[[#This Row],[YCard]]/Table1[[#This Row],[xYCard]]</f>
        <v>1.1339095351880109</v>
      </c>
      <c r="AT4">
        <v>14</v>
      </c>
      <c r="AU4">
        <v>12.3466639670498</v>
      </c>
      <c r="AV4">
        <v>15</v>
      </c>
      <c r="AW4">
        <v>15.2405275576501</v>
      </c>
      <c r="AX4">
        <v>1</v>
      </c>
      <c r="AY4">
        <v>0.62236313079280503</v>
      </c>
      <c r="AZ4">
        <v>3</v>
      </c>
      <c r="BA4">
        <v>0.91703940945500595</v>
      </c>
    </row>
    <row r="5" spans="1:53" x14ac:dyDescent="0.45">
      <c r="A5">
        <v>2</v>
      </c>
      <c r="B5" t="s">
        <v>41</v>
      </c>
      <c r="C5">
        <v>14</v>
      </c>
      <c r="D5">
        <v>9.4725219141256201</v>
      </c>
      <c r="E5">
        <v>4</v>
      </c>
      <c r="F5">
        <v>2</v>
      </c>
      <c r="G5">
        <v>2</v>
      </c>
      <c r="H5">
        <v>2.3934530946727701</v>
      </c>
      <c r="I5">
        <v>2.2921626301072799</v>
      </c>
      <c r="J5">
        <v>3.31438427521993</v>
      </c>
      <c r="K5">
        <v>2</v>
      </c>
      <c r="L5">
        <v>-2.0106526115100598</v>
      </c>
      <c r="M5">
        <f>Table1[[#This Row],[GoalsF]]-Table1[[#This Row],[xGoalsF]]</f>
        <v>1.4499848302901395</v>
      </c>
      <c r="N5">
        <v>11</v>
      </c>
      <c r="O5">
        <v>9.5500151697098605</v>
      </c>
      <c r="P5">
        <f>Table1[[#This Row],[xGoalsA]]-Table1[[#This Row],[GoalsA]]</f>
        <v>2.5606677812198999</v>
      </c>
      <c r="Q5">
        <v>9</v>
      </c>
      <c r="R5">
        <v>11.5606677812199</v>
      </c>
      <c r="S5" s="2">
        <f>Table1[[#This Row],[GoalsF]]-Table1[[#This Row],[HTGoalsF]]</f>
        <v>7</v>
      </c>
      <c r="T5">
        <f>Table1[[#This Row],[xGoalsF]]-Table1[[#This Row],[xHTGoalsF]]</f>
        <v>5.3141328283382503</v>
      </c>
      <c r="U5">
        <f>Table1[[#This Row],[GoalsA]]-Table1[[#This Row],[HTGoalsA]]</f>
        <v>5</v>
      </c>
      <c r="V5">
        <f>Table1[[#This Row],[xGoalsA]]-Table1[[#This Row],[xHTGoalsA]]</f>
        <v>6.4964321959672899</v>
      </c>
      <c r="W5">
        <v>4</v>
      </c>
      <c r="X5">
        <v>4.2358823413716102</v>
      </c>
      <c r="Y5">
        <v>4</v>
      </c>
      <c r="Z5">
        <v>5.06423558525261</v>
      </c>
      <c r="AA5" s="3">
        <f>Table1[[#This Row],[ShotsF]]/Table1[[#This Row],[xShotsF]]</f>
        <v>1.0227952981023634</v>
      </c>
      <c r="AB5">
        <v>88</v>
      </c>
      <c r="AC5">
        <v>86.038721690713899</v>
      </c>
      <c r="AD5" s="3">
        <f>Table1[[#This Row],[ShotsA]]/Table1[[#This Row],[xShotsA]]</f>
        <v>0.69998543642756195</v>
      </c>
      <c r="AE5">
        <v>67</v>
      </c>
      <c r="AF5">
        <v>95.716277101335805</v>
      </c>
      <c r="AG5" s="3">
        <f>Table1[[#This Row],[ShotsTF]]/Table1[[#This Row],[xShotsTF]]</f>
        <v>0.77288192813468903</v>
      </c>
      <c r="AH5">
        <v>28</v>
      </c>
      <c r="AI5">
        <v>36.228043354017302</v>
      </c>
      <c r="AJ5" s="3">
        <f>Table1[[#This Row],[ShotsTA]]/Table1[[#This Row],[xShotsTA]]</f>
        <v>0.65631009478191438</v>
      </c>
      <c r="AK5">
        <v>27</v>
      </c>
      <c r="AL5">
        <v>41.139089912934899</v>
      </c>
      <c r="AM5" s="3">
        <f>Table1[[#This Row],[Fouls]]/Table1[[#This Row],[xFouls]]</f>
        <v>1.1479366919758336</v>
      </c>
      <c r="AN5">
        <v>121</v>
      </c>
      <c r="AO5">
        <v>105.40650964970401</v>
      </c>
      <c r="AP5" s="3">
        <f>Table1[[#This Row],[FoulsA]]/Table1[[#This Row],[xFoulsA]]</f>
        <v>1.2592662806110873</v>
      </c>
      <c r="AQ5">
        <v>130</v>
      </c>
      <c r="AR5">
        <v>103.234718503631</v>
      </c>
      <c r="AS5" s="3">
        <f>Table1[[#This Row],[YCard]]/Table1[[#This Row],[xYCard]]</f>
        <v>0.62327024622615956</v>
      </c>
      <c r="AT5">
        <v>9</v>
      </c>
      <c r="AU5">
        <v>14.4399641319221</v>
      </c>
      <c r="AV5">
        <v>10</v>
      </c>
      <c r="AW5">
        <v>13.570155532453899</v>
      </c>
      <c r="AX5">
        <v>0</v>
      </c>
      <c r="AY5">
        <v>0.91604133356009598</v>
      </c>
      <c r="AZ5">
        <v>0</v>
      </c>
      <c r="BA5">
        <v>0.80169310691809104</v>
      </c>
    </row>
    <row r="6" spans="1:53" x14ac:dyDescent="0.45">
      <c r="A6">
        <v>6</v>
      </c>
      <c r="B6" t="s">
        <v>45</v>
      </c>
      <c r="C6">
        <v>9</v>
      </c>
      <c r="D6">
        <v>9.7897037837778793</v>
      </c>
      <c r="E6">
        <v>2</v>
      </c>
      <c r="F6">
        <v>3</v>
      </c>
      <c r="G6">
        <v>3</v>
      </c>
      <c r="H6">
        <v>2.5573456025083301</v>
      </c>
      <c r="I6">
        <v>2.1176669762528801</v>
      </c>
      <c r="J6">
        <v>3.32498742123878</v>
      </c>
      <c r="K6">
        <v>-1</v>
      </c>
      <c r="L6">
        <v>-2.44158766335477</v>
      </c>
      <c r="M6">
        <f>Table1[[#This Row],[GoalsF]]-Table1[[#This Row],[xGoalsF]]</f>
        <v>-3.6753386197992199</v>
      </c>
      <c r="N6">
        <v>6</v>
      </c>
      <c r="O6">
        <v>9.6753386197992199</v>
      </c>
      <c r="P6">
        <f>Table1[[#This Row],[xGoalsA]]-Table1[[#This Row],[GoalsA]]</f>
        <v>5.1169262831539992</v>
      </c>
      <c r="Q6">
        <v>7</v>
      </c>
      <c r="R6">
        <v>12.116926283153999</v>
      </c>
      <c r="S6" s="2">
        <f>Table1[[#This Row],[GoalsF]]-Table1[[#This Row],[HTGoalsF]]</f>
        <v>3</v>
      </c>
      <c r="T6">
        <f>Table1[[#This Row],[xGoalsF]]-Table1[[#This Row],[xHTGoalsF]]</f>
        <v>5.4334450828424004</v>
      </c>
      <c r="U6">
        <f>Table1[[#This Row],[GoalsA]]-Table1[[#This Row],[HTGoalsA]]</f>
        <v>3</v>
      </c>
      <c r="V6">
        <f>Table1[[#This Row],[xGoalsA]]-Table1[[#This Row],[xHTGoalsA]]</f>
        <v>6.8232383484564592</v>
      </c>
      <c r="W6">
        <v>3</v>
      </c>
      <c r="X6">
        <v>4.2418935369568196</v>
      </c>
      <c r="Y6">
        <v>4</v>
      </c>
      <c r="Z6">
        <v>5.2936879346975401</v>
      </c>
      <c r="AA6" s="3">
        <f>Table1[[#This Row],[ShotsF]]/Table1[[#This Row],[xShotsF]]</f>
        <v>0.79039842080330003</v>
      </c>
      <c r="AB6">
        <v>69</v>
      </c>
      <c r="AC6">
        <v>87.297745268612402</v>
      </c>
      <c r="AD6" s="3">
        <f>Table1[[#This Row],[ShotsA]]/Table1[[#This Row],[xShotsA]]</f>
        <v>1.1335883807971148</v>
      </c>
      <c r="AE6">
        <v>111</v>
      </c>
      <c r="AF6">
        <v>97.919140563126803</v>
      </c>
      <c r="AG6" s="3">
        <f>Table1[[#This Row],[ShotsTF]]/Table1[[#This Row],[xShotsTF]]</f>
        <v>0.86905499939385933</v>
      </c>
      <c r="AH6">
        <v>32</v>
      </c>
      <c r="AI6">
        <v>36.821605102460801</v>
      </c>
      <c r="AJ6" s="3">
        <f>Table1[[#This Row],[ShotsTA]]/Table1[[#This Row],[xShotsTA]]</f>
        <v>0.73070769821826376</v>
      </c>
      <c r="AK6">
        <v>31</v>
      </c>
      <c r="AL6">
        <v>42.424624888432803</v>
      </c>
      <c r="AM6" s="3">
        <f>Table1[[#This Row],[Fouls]]/Table1[[#This Row],[xFouls]]</f>
        <v>1.1813068861454534</v>
      </c>
      <c r="AN6">
        <v>125</v>
      </c>
      <c r="AO6">
        <v>105.81501002493</v>
      </c>
      <c r="AP6" s="3">
        <f>Table1[[#This Row],[FoulsA]]/Table1[[#This Row],[xFoulsA]]</f>
        <v>1.22550344671038</v>
      </c>
      <c r="AQ6">
        <v>126</v>
      </c>
      <c r="AR6">
        <v>102.814888312409</v>
      </c>
      <c r="AS6" s="3">
        <f>Table1[[#This Row],[YCard]]/Table1[[#This Row],[xYCard]]</f>
        <v>0.84272446286545444</v>
      </c>
      <c r="AT6">
        <v>12</v>
      </c>
      <c r="AU6">
        <v>14.2395296787722</v>
      </c>
      <c r="AV6">
        <v>11</v>
      </c>
      <c r="AW6">
        <v>13.5405553487179</v>
      </c>
      <c r="AX6">
        <v>0</v>
      </c>
      <c r="AY6">
        <v>0.80598832074704996</v>
      </c>
      <c r="AZ6">
        <v>1</v>
      </c>
      <c r="BA6">
        <v>0.76287174606333097</v>
      </c>
    </row>
    <row r="7" spans="1:53" x14ac:dyDescent="0.45">
      <c r="A7">
        <v>5</v>
      </c>
      <c r="B7" t="s">
        <v>44</v>
      </c>
      <c r="C7">
        <v>7</v>
      </c>
      <c r="D7">
        <v>7.3345680371220903</v>
      </c>
      <c r="E7">
        <v>1</v>
      </c>
      <c r="F7">
        <v>4</v>
      </c>
      <c r="G7">
        <v>3</v>
      </c>
      <c r="H7">
        <v>1.77058525928421</v>
      </c>
      <c r="I7">
        <v>2.0228122592694602</v>
      </c>
      <c r="J7">
        <v>4.2066024814463203</v>
      </c>
      <c r="K7">
        <v>-4</v>
      </c>
      <c r="L7">
        <v>-6.07702773431257</v>
      </c>
      <c r="M7">
        <f>Table1[[#This Row],[GoalsF]]-Table1[[#This Row],[xGoalsF]]</f>
        <v>-2.0920185500999207</v>
      </c>
      <c r="N7">
        <v>6</v>
      </c>
      <c r="O7">
        <v>8.0920185500999207</v>
      </c>
      <c r="P7">
        <f>Table1[[#This Row],[xGoalsA]]-Table1[[#This Row],[GoalsA]]</f>
        <v>4.1690462844123992</v>
      </c>
      <c r="Q7">
        <v>10</v>
      </c>
      <c r="R7">
        <v>14.169046284412399</v>
      </c>
      <c r="S7" s="2">
        <f>Table1[[#This Row],[GoalsF]]-Table1[[#This Row],[HTGoalsF]]</f>
        <v>4</v>
      </c>
      <c r="T7">
        <f>Table1[[#This Row],[xGoalsF]]-Table1[[#This Row],[xHTGoalsF]]</f>
        <v>4.5376336414790508</v>
      </c>
      <c r="U7">
        <f>Table1[[#This Row],[GoalsA]]-Table1[[#This Row],[HTGoalsA]]</f>
        <v>6</v>
      </c>
      <c r="V7">
        <f>Table1[[#This Row],[xGoalsA]]-Table1[[#This Row],[xHTGoalsA]]</f>
        <v>7.8975964039538189</v>
      </c>
      <c r="W7">
        <v>2</v>
      </c>
      <c r="X7">
        <v>3.5543849086208699</v>
      </c>
      <c r="Y7">
        <v>4</v>
      </c>
      <c r="Z7">
        <v>6.2714498804585803</v>
      </c>
      <c r="AA7" s="3">
        <f>Table1[[#This Row],[ShotsF]]/Table1[[#This Row],[xShotsF]]</f>
        <v>0.80764854472865166</v>
      </c>
      <c r="AB7">
        <v>63</v>
      </c>
      <c r="AC7">
        <v>78.004226480921005</v>
      </c>
      <c r="AD7" s="3">
        <f>Table1[[#This Row],[ShotsA]]/Table1[[#This Row],[xShotsA]]</f>
        <v>1.1266227499859935</v>
      </c>
      <c r="AE7">
        <v>123</v>
      </c>
      <c r="AF7">
        <v>109.175853231731</v>
      </c>
      <c r="AG7" s="3">
        <f>Table1[[#This Row],[ShotsTF]]/Table1[[#This Row],[xShotsTF]]</f>
        <v>0.56721154028170373</v>
      </c>
      <c r="AH7">
        <v>18</v>
      </c>
      <c r="AI7">
        <v>31.734192134138102</v>
      </c>
      <c r="AJ7" s="3">
        <f>Table1[[#This Row],[ShotsTA]]/Table1[[#This Row],[xShotsTA]]</f>
        <v>0.83678187034670326</v>
      </c>
      <c r="AK7">
        <v>40</v>
      </c>
      <c r="AL7">
        <v>47.802182883607202</v>
      </c>
      <c r="AM7" s="3">
        <f>Table1[[#This Row],[Fouls]]/Table1[[#This Row],[xFouls]]</f>
        <v>1.1145954188042553</v>
      </c>
      <c r="AN7">
        <v>118</v>
      </c>
      <c r="AO7">
        <v>105.86801094749799</v>
      </c>
      <c r="AP7" s="3">
        <f>Table1[[#This Row],[FoulsA]]/Table1[[#This Row],[xFoulsA]]</f>
        <v>0.96484006139072731</v>
      </c>
      <c r="AQ7">
        <v>96</v>
      </c>
      <c r="AR7">
        <v>99.498356091915298</v>
      </c>
      <c r="AS7" s="3">
        <f>Table1[[#This Row],[YCard]]/Table1[[#This Row],[xYCard]]</f>
        <v>1.0621879382825137</v>
      </c>
      <c r="AT7">
        <v>16</v>
      </c>
      <c r="AU7">
        <v>15.063247682769701</v>
      </c>
      <c r="AV7">
        <v>5</v>
      </c>
      <c r="AW7">
        <v>12.582683518820099</v>
      </c>
      <c r="AX7">
        <v>0</v>
      </c>
      <c r="AY7">
        <v>0.95911151403354</v>
      </c>
      <c r="AZ7">
        <v>0</v>
      </c>
      <c r="BA7">
        <v>0.67194421893102996</v>
      </c>
    </row>
    <row r="8" spans="1:53" x14ac:dyDescent="0.45">
      <c r="A8">
        <v>4</v>
      </c>
      <c r="B8" t="s">
        <v>43</v>
      </c>
      <c r="C8">
        <v>6</v>
      </c>
      <c r="D8">
        <v>6.5919585083238097</v>
      </c>
      <c r="E8">
        <v>1</v>
      </c>
      <c r="F8">
        <v>3</v>
      </c>
      <c r="G8">
        <v>4</v>
      </c>
      <c r="H8">
        <v>1.47532611063271</v>
      </c>
      <c r="I8">
        <v>2.1659801764256801</v>
      </c>
      <c r="J8">
        <v>4.3586937129415997</v>
      </c>
      <c r="K8">
        <v>-6</v>
      </c>
      <c r="L8">
        <v>-6.5255681638624301</v>
      </c>
      <c r="M8">
        <f>Table1[[#This Row],[GoalsF]]-Table1[[#This Row],[xGoalsF]]</f>
        <v>-3.6088260616785499</v>
      </c>
      <c r="N8">
        <v>4</v>
      </c>
      <c r="O8">
        <v>7.6088260616785499</v>
      </c>
      <c r="P8">
        <f>Table1[[#This Row],[xGoalsA]]-Table1[[#This Row],[GoalsA]]</f>
        <v>4.1343942255409001</v>
      </c>
      <c r="Q8">
        <v>10</v>
      </c>
      <c r="R8">
        <v>14.1343942255409</v>
      </c>
      <c r="S8" s="2">
        <f>Table1[[#This Row],[GoalsF]]-Table1[[#This Row],[HTGoalsF]]</f>
        <v>1</v>
      </c>
      <c r="T8">
        <f>Table1[[#This Row],[xGoalsF]]-Table1[[#This Row],[xHTGoalsF]]</f>
        <v>4.26953816459178</v>
      </c>
      <c r="U8">
        <f>Table1[[#This Row],[GoalsA]]-Table1[[#This Row],[HTGoalsA]]</f>
        <v>7</v>
      </c>
      <c r="V8">
        <f>Table1[[#This Row],[xGoalsA]]-Table1[[#This Row],[xHTGoalsA]]</f>
        <v>7.96821230453462</v>
      </c>
      <c r="W8">
        <v>3</v>
      </c>
      <c r="X8">
        <v>3.3392878970867699</v>
      </c>
      <c r="Y8">
        <v>3</v>
      </c>
      <c r="Z8">
        <v>6.16618192100628</v>
      </c>
      <c r="AA8" s="3">
        <f>Table1[[#This Row],[ShotsF]]/Table1[[#This Row],[xShotsF]]</f>
        <v>0.86218352024165013</v>
      </c>
      <c r="AB8">
        <v>67</v>
      </c>
      <c r="AC8">
        <v>77.709673668108906</v>
      </c>
      <c r="AD8" s="3">
        <f>Table1[[#This Row],[ShotsA]]/Table1[[#This Row],[xShotsA]]</f>
        <v>1.0078936551543416</v>
      </c>
      <c r="AE8">
        <v>107</v>
      </c>
      <c r="AF8">
        <v>106.161993830207</v>
      </c>
      <c r="AG8" s="3">
        <f>Table1[[#This Row],[ShotsTF]]/Table1[[#This Row],[xShotsTF]]</f>
        <v>0.62987252929512261</v>
      </c>
      <c r="AH8">
        <v>20</v>
      </c>
      <c r="AI8">
        <v>31.752456361895302</v>
      </c>
      <c r="AJ8" s="3">
        <f>Table1[[#This Row],[ShotsTA]]/Table1[[#This Row],[xShotsTA]]</f>
        <v>0.79613973086249379</v>
      </c>
      <c r="AK8">
        <v>37</v>
      </c>
      <c r="AL8">
        <v>46.4742539100721</v>
      </c>
      <c r="AM8" s="3">
        <f>Table1[[#This Row],[Fouls]]/Table1[[#This Row],[xFouls]]</f>
        <v>1.2231695266319205</v>
      </c>
      <c r="AN8">
        <v>130</v>
      </c>
      <c r="AO8">
        <v>106.281261239367</v>
      </c>
      <c r="AP8" s="3">
        <f>Table1[[#This Row],[FoulsA]]/Table1[[#This Row],[xFoulsA]]</f>
        <v>1.3800830457968167</v>
      </c>
      <c r="AQ8">
        <v>138</v>
      </c>
      <c r="AR8">
        <v>99.993982550755206</v>
      </c>
      <c r="AS8" s="3">
        <f>Table1[[#This Row],[YCard]]/Table1[[#This Row],[xYCard]]</f>
        <v>0.70911832991232582</v>
      </c>
      <c r="AT8">
        <v>11</v>
      </c>
      <c r="AU8">
        <v>15.512220649211001</v>
      </c>
      <c r="AV8">
        <v>13</v>
      </c>
      <c r="AW8">
        <v>12.965568723891099</v>
      </c>
      <c r="AX8">
        <v>2</v>
      </c>
      <c r="AY8">
        <v>0.89062622525641599</v>
      </c>
      <c r="AZ8">
        <v>1</v>
      </c>
      <c r="BA8">
        <v>0.69812016814705602</v>
      </c>
    </row>
    <row r="9" spans="1:53" x14ac:dyDescent="0.45">
      <c r="A9">
        <v>1</v>
      </c>
      <c r="B9" t="s">
        <v>40</v>
      </c>
      <c r="C9">
        <v>3</v>
      </c>
      <c r="D9">
        <v>8.9205543629181392</v>
      </c>
      <c r="E9">
        <v>0</v>
      </c>
      <c r="F9">
        <v>3</v>
      </c>
      <c r="G9">
        <v>5</v>
      </c>
      <c r="H9">
        <v>2.2458309308772</v>
      </c>
      <c r="I9">
        <v>2.1830615702865401</v>
      </c>
      <c r="J9">
        <v>3.5711074988362501</v>
      </c>
      <c r="K9">
        <v>-10</v>
      </c>
      <c r="L9">
        <v>-3.4037715088892</v>
      </c>
      <c r="M9">
        <f>Table1[[#This Row],[GoalsF]]-Table1[[#This Row],[xGoalsF]]</f>
        <v>-4.07338510739838</v>
      </c>
      <c r="N9">
        <v>5</v>
      </c>
      <c r="O9">
        <v>9.07338510739838</v>
      </c>
      <c r="P9">
        <f>Table1[[#This Row],[xGoalsA]]-Table1[[#This Row],[GoalsA]]</f>
        <v>-2.5228433837124999</v>
      </c>
      <c r="Q9">
        <v>15</v>
      </c>
      <c r="R9">
        <v>12.4771566162875</v>
      </c>
      <c r="S9" s="2">
        <f>Table1[[#This Row],[GoalsF]]-Table1[[#This Row],[HTGoalsF]]</f>
        <v>1</v>
      </c>
      <c r="T9">
        <f>Table1[[#This Row],[xGoalsF]]-Table1[[#This Row],[xHTGoalsF]]</f>
        <v>5.1446681988860501</v>
      </c>
      <c r="U9">
        <f>Table1[[#This Row],[GoalsA]]-Table1[[#This Row],[HTGoalsA]]</f>
        <v>12</v>
      </c>
      <c r="V9">
        <f>Table1[[#This Row],[xGoalsA]]-Table1[[#This Row],[xHTGoalsA]]</f>
        <v>7.0063799443004404</v>
      </c>
      <c r="W9">
        <v>4</v>
      </c>
      <c r="X9">
        <v>3.9287169085123299</v>
      </c>
      <c r="Y9">
        <v>3</v>
      </c>
      <c r="Z9">
        <v>5.4707766719870596</v>
      </c>
      <c r="AA9" s="3">
        <f>Table1[[#This Row],[ShotsF]]/Table1[[#This Row],[xShotsF]]</f>
        <v>1.3987748971504741</v>
      </c>
      <c r="AB9">
        <v>117</v>
      </c>
      <c r="AC9">
        <v>83.644623762084606</v>
      </c>
      <c r="AD9" s="3">
        <f>Table1[[#This Row],[ShotsA]]/Table1[[#This Row],[xShotsA]]</f>
        <v>0.96639036090736197</v>
      </c>
      <c r="AE9">
        <v>97</v>
      </c>
      <c r="AF9">
        <v>100.37351770450699</v>
      </c>
      <c r="AG9" s="3">
        <f>Table1[[#This Row],[ShotsTF]]/Table1[[#This Row],[xShotsTF]]</f>
        <v>0.89136367185923471</v>
      </c>
      <c r="AH9">
        <v>31</v>
      </c>
      <c r="AI9">
        <v>34.778173015890602</v>
      </c>
      <c r="AJ9" s="3">
        <f>Table1[[#This Row],[ShotsTA]]/Table1[[#This Row],[xShotsTA]]</f>
        <v>0.87897553591330957</v>
      </c>
      <c r="AK9">
        <v>38</v>
      </c>
      <c r="AL9">
        <v>43.2321474800953</v>
      </c>
      <c r="AM9" s="3">
        <f>Table1[[#This Row],[Fouls]]/Table1[[#This Row],[xFouls]]</f>
        <v>1.0841655531955707</v>
      </c>
      <c r="AN9">
        <v>114</v>
      </c>
      <c r="AO9">
        <v>105.149992696213</v>
      </c>
      <c r="AP9" s="3">
        <f>Table1[[#This Row],[FoulsA]]/Table1[[#This Row],[xFoulsA]]</f>
        <v>1.2552954795772171</v>
      </c>
      <c r="AQ9">
        <v>129</v>
      </c>
      <c r="AR9">
        <v>102.764649517775</v>
      </c>
      <c r="AS9" s="3">
        <f>Table1[[#This Row],[YCard]]/Table1[[#This Row],[xYCard]]</f>
        <v>0.69551423172221161</v>
      </c>
      <c r="AT9">
        <v>10</v>
      </c>
      <c r="AU9">
        <v>14.3778510113852</v>
      </c>
      <c r="AV9">
        <v>10</v>
      </c>
      <c r="AW9">
        <v>13.3441137700925</v>
      </c>
      <c r="AX9">
        <v>1</v>
      </c>
      <c r="AY9">
        <v>0.87568406813415001</v>
      </c>
      <c r="AZ9">
        <v>0</v>
      </c>
      <c r="BA9">
        <v>0.80003424692587199</v>
      </c>
    </row>
    <row r="10" spans="1:53" x14ac:dyDescent="0.45">
      <c r="C10">
        <f>SUM(Table1[Points])</f>
        <v>84</v>
      </c>
      <c r="D10">
        <f>SUBTOTAL(109,Table1[xPoints])</f>
        <v>87.68393592310855</v>
      </c>
      <c r="E10">
        <f>SUBTOTAL(109,Table1[Wins])</f>
        <v>20</v>
      </c>
      <c r="F10">
        <f>SUBTOTAL(109,Table1[Draws])</f>
        <v>24</v>
      </c>
      <c r="G10">
        <f>SUBTOTAL(109,Table1[Losses])</f>
        <v>20</v>
      </c>
      <c r="H10">
        <f>SUBTOTAL(109,Table1[xWins])</f>
        <v>23.683935923108603</v>
      </c>
      <c r="I10">
        <f>SUBTOTAL(109,Table1[xDraws])</f>
        <v>16.632128153782723</v>
      </c>
      <c r="J10">
        <f>SUBTOTAL(109,Table1[xLosses])</f>
        <v>23.683935923108592</v>
      </c>
      <c r="K10">
        <f>SUBTOTAL(107,Table1[GoalDiff])</f>
        <v>6.3919592346277412</v>
      </c>
      <c r="L10">
        <f>SUBTOTAL(107,Table1[xGoalDiff])</f>
        <v>6.0546455054760093</v>
      </c>
      <c r="N10">
        <f>SUBTOTAL(109,Table1[GoalsF])</f>
        <v>68</v>
      </c>
      <c r="O10">
        <f>SUBTOTAL(109,Table1[xGoalsF])</f>
        <v>87.979052245156126</v>
      </c>
      <c r="Q10">
        <f>SUBTOTAL(109,Table1[GoalsA])</f>
        <v>68</v>
      </c>
      <c r="R10">
        <f>SUBTOTAL(109,Table1[xGoalsA])</f>
        <v>87.97905224515597</v>
      </c>
      <c r="S10">
        <f>SUBTOTAL(109,Table1[2HTGoalsF])</f>
        <v>41</v>
      </c>
      <c r="T10">
        <f>SUBTOTAL(109,Table1[x2HTGoalsF])</f>
        <v>49.353057021331281</v>
      </c>
      <c r="U10">
        <f>SUBTOTAL(109,Table1[2HTGoalsA])</f>
        <v>41</v>
      </c>
      <c r="V10">
        <f>SUBTOTAL(109,Table1[x2HTGoalsA])</f>
        <v>49.353057021331125</v>
      </c>
      <c r="W10">
        <f>SUBTOTAL(109,Table1[HTGoalsF])</f>
        <v>27</v>
      </c>
      <c r="X10">
        <f>SUBTOTAL(109,Table1[xHTGoalsF])</f>
        <v>38.625995223824837</v>
      </c>
      <c r="Y10">
        <f>SUBTOTAL(109,Table1[HTGoalsA])</f>
        <v>27</v>
      </c>
      <c r="Z10">
        <f>SUBTOTAL(109,Table1[xHTGoalsA])</f>
        <v>38.625995223824837</v>
      </c>
      <c r="AA10" s="4">
        <f>SUBTOTAL(101,Table1[%ShotsF])</f>
        <v>0.95871105462184647</v>
      </c>
      <c r="AB10">
        <f>SUBTOTAL(109,Table1[ShotsF])</f>
        <v>711</v>
      </c>
      <c r="AC10">
        <f>SUBTOTAL(109,Table1[xShotsF])</f>
        <v>742.24920716972088</v>
      </c>
      <c r="AE10">
        <f>SUBTOTAL(109,Table1[ShotsA])</f>
        <v>711</v>
      </c>
      <c r="AF10">
        <f>SUBTOTAL(109,Table1[xShotsA])</f>
        <v>742.24920716972122</v>
      </c>
      <c r="AG10" s="4">
        <f>SUBTOTAL(101,Table1[%ShotsTF])</f>
        <v>0.73748314141961946</v>
      </c>
      <c r="AH10">
        <f>SUBTOTAL(109,Table1[ShotsTF])</f>
        <v>234</v>
      </c>
      <c r="AI10">
        <f>SUBTOTAL(109,Table1[xShotsTF])</f>
        <v>315.74563029286094</v>
      </c>
      <c r="AJ10" s="4">
        <f>SUBTOTAL(101,Table1[%ShotsTA])</f>
        <v>0.72926291886668226</v>
      </c>
      <c r="AK10">
        <f>SUBTOTAL(109,Table1[ShotsTA])</f>
        <v>234</v>
      </c>
      <c r="AL10">
        <f>SUBTOTAL(109,Table1[xShotsTA])</f>
        <v>315.74563029286099</v>
      </c>
      <c r="AN10">
        <f>SUBTOTAL(109,Table1[Fouls])</f>
        <v>951</v>
      </c>
      <c r="AO10">
        <f>SUBTOTAL(109,Table1[xFouls])</f>
        <v>825.87986885133853</v>
      </c>
      <c r="AP10" s="4">
        <f>SUBTOTAL(101,Table1[%FoulsA])</f>
        <v>1.1532244033317454</v>
      </c>
      <c r="AQ10">
        <f>SUBTOTAL(109,Table1[FoulsA])</f>
        <v>951</v>
      </c>
      <c r="AR10">
        <f>SUBTOTAL(109,Table1[xFoulsA])</f>
        <v>825.87986885133853</v>
      </c>
      <c r="AT10">
        <f>SUBTOTAL(109,Table1[YCard])</f>
        <v>93</v>
      </c>
      <c r="AU10">
        <f>SUBTOTAL(109,Table1[xYCard])</f>
        <v>111.434068777357</v>
      </c>
      <c r="AV10">
        <f>SUBTOTAL(109,Table1[YCardA])</f>
        <v>93</v>
      </c>
      <c r="AW10">
        <f>SUBTOTAL(109,Table1[xYCardA])</f>
        <v>111.4340687773572</v>
      </c>
      <c r="AX10">
        <f>SUBTOTAL(109,Table1[RCard])</f>
        <v>5</v>
      </c>
      <c r="AY10">
        <f>SUBTOTAL(109,Table1[xRCard])</f>
        <v>6.4603041315220935</v>
      </c>
      <c r="AZ10">
        <f>SUBTOTAL(109,Table1[RCardA])</f>
        <v>5</v>
      </c>
      <c r="BA10">
        <f>SUBTOTAL(109,Table1[xRCardA])</f>
        <v>6.4603041315220961</v>
      </c>
    </row>
    <row r="14" spans="1:53" x14ac:dyDescent="0.45">
      <c r="C14">
        <v>84</v>
      </c>
      <c r="D14">
        <v>87.683935923108535</v>
      </c>
      <c r="E14">
        <v>20</v>
      </c>
      <c r="F14">
        <v>24</v>
      </c>
      <c r="G14">
        <v>20</v>
      </c>
      <c r="H14">
        <v>23.683935923108599</v>
      </c>
      <c r="I14">
        <v>16.632128153782723</v>
      </c>
      <c r="J14">
        <v>23.683935923108592</v>
      </c>
      <c r="K14">
        <v>6.3919592346277412</v>
      </c>
      <c r="L14">
        <v>6.0546455054760093</v>
      </c>
      <c r="N14">
        <v>68</v>
      </c>
      <c r="O14">
        <v>87.979052245156126</v>
      </c>
      <c r="Q14">
        <v>68</v>
      </c>
      <c r="R14">
        <v>87.97905224515597</v>
      </c>
      <c r="S14">
        <v>41</v>
      </c>
      <c r="T14">
        <v>49.353057021331288</v>
      </c>
      <c r="U14">
        <v>41</v>
      </c>
      <c r="V14">
        <v>49.353057021331125</v>
      </c>
      <c r="W14">
        <v>27</v>
      </c>
      <c r="X14">
        <v>38.625995223824837</v>
      </c>
      <c r="Y14">
        <v>27</v>
      </c>
      <c r="Z14">
        <v>38.625995223824837</v>
      </c>
      <c r="AB14">
        <v>711</v>
      </c>
      <c r="AC14">
        <v>742.24920716972076</v>
      </c>
      <c r="AE14">
        <v>711</v>
      </c>
      <c r="AF14">
        <v>742.24920716972122</v>
      </c>
      <c r="AH14">
        <v>234</v>
      </c>
      <c r="AI14">
        <v>315.74563029286088</v>
      </c>
      <c r="AK14">
        <v>234</v>
      </c>
      <c r="AL14">
        <v>315.74563029286099</v>
      </c>
      <c r="AN14">
        <v>951</v>
      </c>
      <c r="AO14">
        <v>825.87986885133853</v>
      </c>
      <c r="AQ14">
        <v>951</v>
      </c>
      <c r="AR14">
        <v>825.87986885133853</v>
      </c>
      <c r="AT14">
        <v>93</v>
      </c>
      <c r="AU14">
        <v>111.434068777357</v>
      </c>
      <c r="AV14">
        <v>93</v>
      </c>
      <c r="AW14">
        <v>111.4340687773572</v>
      </c>
      <c r="AX14">
        <v>5</v>
      </c>
      <c r="AY14">
        <v>6.4603041315220935</v>
      </c>
      <c r="AZ14">
        <v>5</v>
      </c>
      <c r="BA14">
        <v>6.4603041315220961</v>
      </c>
    </row>
    <row r="16" spans="1:53" x14ac:dyDescent="0.45">
      <c r="C16" t="s">
        <v>53</v>
      </c>
      <c r="E16" t="s">
        <v>52</v>
      </c>
      <c r="F16" t="s">
        <v>54</v>
      </c>
      <c r="N16" t="s">
        <v>55</v>
      </c>
      <c r="S16" t="s">
        <v>56</v>
      </c>
      <c r="W16" t="s">
        <v>57</v>
      </c>
      <c r="AB16" t="s">
        <v>60</v>
      </c>
      <c r="AH16" t="s">
        <v>59</v>
      </c>
      <c r="AN16" t="s">
        <v>58</v>
      </c>
      <c r="AT16" t="s">
        <v>61</v>
      </c>
    </row>
    <row r="17" spans="3:46" x14ac:dyDescent="0.45">
      <c r="C17">
        <f>C14/D14</f>
        <v>0.95798619343069824</v>
      </c>
      <c r="E17">
        <f>E14/H14</f>
        <v>0.84445423534885711</v>
      </c>
      <c r="F17">
        <f>F14/I14</f>
        <v>1.4429903243946305</v>
      </c>
      <c r="N17">
        <f>N14/O14</f>
        <v>0.77291125858591969</v>
      </c>
      <c r="S17">
        <f>S14/T14</f>
        <v>0.83074894392618992</v>
      </c>
      <c r="W17">
        <f>W14/X14</f>
        <v>0.69901111527467319</v>
      </c>
      <c r="AB17">
        <f>AB14/AC14</f>
        <v>0.9578993054248216</v>
      </c>
      <c r="AH17">
        <f>AH14/AI14</f>
        <v>0.74110289280317188</v>
      </c>
      <c r="AN17">
        <f>AN14/AO14</f>
        <v>1.1514991899762403</v>
      </c>
      <c r="AT17">
        <f>AT14/AU14</f>
        <v>0.83457421074529825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B2" sqref="B2"/>
    </sheetView>
  </sheetViews>
  <sheetFormatPr defaultRowHeight="14.25" x14ac:dyDescent="0.45"/>
  <sheetData>
    <row r="1" spans="1:3" x14ac:dyDescent="0.45">
      <c r="A1" t="s">
        <v>0</v>
      </c>
      <c r="B1" t="s">
        <v>67</v>
      </c>
      <c r="C1" t="s">
        <v>68</v>
      </c>
    </row>
    <row r="2" spans="1:3" x14ac:dyDescent="0.45">
      <c r="A2" s="1" t="s">
        <v>42</v>
      </c>
      <c r="B2" s="1">
        <v>16</v>
      </c>
      <c r="C2" s="7">
        <v>13.5406123607124</v>
      </c>
    </row>
    <row r="3" spans="1:3" x14ac:dyDescent="0.45">
      <c r="A3" s="1" t="s">
        <v>46</v>
      </c>
      <c r="B3" s="1">
        <v>15</v>
      </c>
      <c r="C3" s="7">
        <v>15.7495736370554</v>
      </c>
    </row>
    <row r="4" spans="1:3" x14ac:dyDescent="0.45">
      <c r="A4" s="1" t="s">
        <v>39</v>
      </c>
      <c r="B4" s="1">
        <v>14</v>
      </c>
      <c r="C4" s="7">
        <v>16.284443319073201</v>
      </c>
    </row>
    <row r="5" spans="1:3" x14ac:dyDescent="0.45">
      <c r="A5" s="1" t="s">
        <v>41</v>
      </c>
      <c r="B5" s="1">
        <v>14</v>
      </c>
      <c r="C5" s="7">
        <v>9.4725219141256201</v>
      </c>
    </row>
    <row r="6" spans="1:3" x14ac:dyDescent="0.45">
      <c r="A6" s="1" t="s">
        <v>45</v>
      </c>
      <c r="B6" s="1">
        <v>9</v>
      </c>
      <c r="C6" s="7">
        <v>9.7897037837778793</v>
      </c>
    </row>
    <row r="7" spans="1:3" x14ac:dyDescent="0.45">
      <c r="A7" s="1" t="s">
        <v>44</v>
      </c>
      <c r="B7" s="1">
        <v>7</v>
      </c>
      <c r="C7" s="7">
        <v>7.3345680371220903</v>
      </c>
    </row>
    <row r="8" spans="1:3" x14ac:dyDescent="0.45">
      <c r="A8" s="1" t="s">
        <v>43</v>
      </c>
      <c r="B8" s="1">
        <v>6</v>
      </c>
      <c r="C8" s="7">
        <v>6.5919585083238097</v>
      </c>
    </row>
    <row r="9" spans="1:3" x14ac:dyDescent="0.45">
      <c r="A9" s="1" t="s">
        <v>40</v>
      </c>
      <c r="B9" s="1">
        <v>3</v>
      </c>
      <c r="C9" s="7">
        <v>8.9205543629181392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C16" sqref="C16"/>
    </sheetView>
  </sheetViews>
  <sheetFormatPr defaultRowHeight="14.25" x14ac:dyDescent="0.45"/>
  <cols>
    <col min="3" max="3" width="12.19921875" bestFit="1" customWidth="1"/>
  </cols>
  <sheetData>
    <row r="1" spans="1:3" x14ac:dyDescent="0.45">
      <c r="A1" t="s">
        <v>0</v>
      </c>
      <c r="B1" t="s">
        <v>69</v>
      </c>
      <c r="C1" t="s">
        <v>70</v>
      </c>
    </row>
    <row r="2" spans="1:3" x14ac:dyDescent="0.45">
      <c r="A2" s="1" t="s">
        <v>42</v>
      </c>
      <c r="B2" s="1">
        <v>13</v>
      </c>
      <c r="C2" s="7">
        <v>12.898645336578699</v>
      </c>
    </row>
    <row r="3" spans="1:3" x14ac:dyDescent="0.45">
      <c r="A3" s="1" t="s">
        <v>46</v>
      </c>
      <c r="B3" s="1">
        <v>12</v>
      </c>
      <c r="C3" s="7">
        <v>14.775661970323499</v>
      </c>
    </row>
    <row r="4" spans="1:3" x14ac:dyDescent="0.45">
      <c r="A4" s="1" t="s">
        <v>39</v>
      </c>
      <c r="B4" s="1">
        <v>11</v>
      </c>
      <c r="C4" s="7">
        <v>16.305161429567999</v>
      </c>
    </row>
    <row r="5" spans="1:3" x14ac:dyDescent="0.45">
      <c r="A5" s="1" t="s">
        <v>41</v>
      </c>
      <c r="B5" s="1">
        <v>11</v>
      </c>
      <c r="C5" s="7">
        <v>9.5500151697098605</v>
      </c>
    </row>
    <row r="6" spans="1:3" x14ac:dyDescent="0.45">
      <c r="A6" s="1" t="s">
        <v>45</v>
      </c>
      <c r="B6" s="1">
        <v>6</v>
      </c>
      <c r="C6" s="7">
        <v>9.6753386197992199</v>
      </c>
    </row>
    <row r="7" spans="1:3" x14ac:dyDescent="0.45">
      <c r="A7" s="1" t="s">
        <v>44</v>
      </c>
      <c r="B7" s="1">
        <v>6</v>
      </c>
      <c r="C7" s="7">
        <v>8.0920185500999207</v>
      </c>
    </row>
    <row r="8" spans="1:3" x14ac:dyDescent="0.45">
      <c r="A8" s="1" t="s">
        <v>43</v>
      </c>
      <c r="B8" s="1">
        <v>4</v>
      </c>
      <c r="C8" s="7">
        <v>7.6088260616785499</v>
      </c>
    </row>
    <row r="9" spans="1:3" x14ac:dyDescent="0.45">
      <c r="A9" s="1" t="s">
        <v>40</v>
      </c>
      <c r="B9" s="1">
        <v>5</v>
      </c>
      <c r="C9" s="7">
        <v>9.07338510739838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>
      <selection activeCell="A2" sqref="A2:A9"/>
    </sheetView>
  </sheetViews>
  <sheetFormatPr defaultRowHeight="14.25" x14ac:dyDescent="0.45"/>
  <sheetData>
    <row r="1" spans="1:3" x14ac:dyDescent="0.45">
      <c r="A1" t="s">
        <v>0</v>
      </c>
      <c r="B1" t="s">
        <v>71</v>
      </c>
      <c r="C1" t="s">
        <v>72</v>
      </c>
    </row>
    <row r="2" spans="1:3" x14ac:dyDescent="0.45">
      <c r="A2" s="6" t="s">
        <v>42</v>
      </c>
      <c r="B2" s="1">
        <v>5</v>
      </c>
      <c r="C2" s="7">
        <v>9.1330610417995093</v>
      </c>
    </row>
    <row r="3" spans="1:3" x14ac:dyDescent="0.45">
      <c r="A3" s="6" t="s">
        <v>46</v>
      </c>
      <c r="B3" s="1">
        <v>5</v>
      </c>
      <c r="C3" s="7">
        <v>7.4291364577153498</v>
      </c>
    </row>
    <row r="4" spans="1:3" x14ac:dyDescent="0.45">
      <c r="A4" s="6" t="s">
        <v>39</v>
      </c>
      <c r="B4" s="1">
        <v>7</v>
      </c>
      <c r="C4" s="7">
        <v>6.9586635550264102</v>
      </c>
    </row>
    <row r="5" spans="1:3" x14ac:dyDescent="0.45">
      <c r="A5" s="6" t="s">
        <v>41</v>
      </c>
      <c r="B5" s="1">
        <v>9</v>
      </c>
      <c r="C5" s="7">
        <v>11.5606677812199</v>
      </c>
    </row>
    <row r="6" spans="1:3" x14ac:dyDescent="0.45">
      <c r="A6" s="6" t="s">
        <v>45</v>
      </c>
      <c r="B6" s="1">
        <v>7</v>
      </c>
      <c r="C6" s="7">
        <v>12.116926283153999</v>
      </c>
    </row>
    <row r="7" spans="1:3" x14ac:dyDescent="0.45">
      <c r="A7" s="6" t="s">
        <v>44</v>
      </c>
      <c r="B7" s="1">
        <v>10</v>
      </c>
      <c r="C7" s="7">
        <v>14.169046284412399</v>
      </c>
    </row>
    <row r="8" spans="1:3" x14ac:dyDescent="0.45">
      <c r="A8" s="6" t="s">
        <v>43</v>
      </c>
      <c r="B8" s="1">
        <v>10</v>
      </c>
      <c r="C8" s="7">
        <v>14.1343942255409</v>
      </c>
    </row>
    <row r="9" spans="1:3" x14ac:dyDescent="0.45">
      <c r="A9" s="6" t="s">
        <v>40</v>
      </c>
      <c r="B9" s="1">
        <v>15</v>
      </c>
      <c r="C9" s="7">
        <v>12.4771566162875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zoomScale="110" zoomScaleNormal="110" workbookViewId="0">
      <selection activeCell="R24" sqref="R24"/>
    </sheetView>
  </sheetViews>
  <sheetFormatPr defaultRowHeight="14.25" x14ac:dyDescent="0.45"/>
  <sheetData>
    <row r="1" spans="1:3" x14ac:dyDescent="0.45">
      <c r="A1" t="s">
        <v>81</v>
      </c>
      <c r="B1" t="s">
        <v>73</v>
      </c>
      <c r="C1" t="s">
        <v>74</v>
      </c>
    </row>
    <row r="2" spans="1:3" x14ac:dyDescent="0.45">
      <c r="A2" s="6" t="s">
        <v>42</v>
      </c>
      <c r="B2" s="7">
        <f>Table1[[#This Row],[GoalsF]]-Table1[[#This Row],[xGoalsF]]</f>
        <v>0.10135466342130073</v>
      </c>
      <c r="C2" s="7">
        <f>Table1[[#This Row],[xGoalsA]]-Table1[[#This Row],[GoalsA]]</f>
        <v>4.1330610417995093</v>
      </c>
    </row>
    <row r="3" spans="1:3" x14ac:dyDescent="0.45">
      <c r="A3" s="6" t="s">
        <v>46</v>
      </c>
      <c r="B3" s="7">
        <f>Table1[[#This Row],[GoalsF]]-Table1[[#This Row],[xGoalsF]]</f>
        <v>-2.7756619703234993</v>
      </c>
      <c r="C3" s="7">
        <f>Table1[[#This Row],[xGoalsA]]-Table1[[#This Row],[GoalsA]]</f>
        <v>2.4291364577153498</v>
      </c>
    </row>
    <row r="4" spans="1:3" x14ac:dyDescent="0.45">
      <c r="A4" s="6" t="s">
        <v>39</v>
      </c>
      <c r="B4" s="7">
        <f>Table1[[#This Row],[GoalsF]]-Table1[[#This Row],[xGoalsF]]</f>
        <v>-5.305161429567999</v>
      </c>
      <c r="C4" s="7">
        <f>Table1[[#This Row],[xGoalsA]]-Table1[[#This Row],[GoalsA]]</f>
        <v>-4.1336444973589792E-2</v>
      </c>
    </row>
    <row r="5" spans="1:3" x14ac:dyDescent="0.45">
      <c r="A5" s="6" t="s">
        <v>41</v>
      </c>
      <c r="B5" s="7">
        <f>Table1[[#This Row],[GoalsF]]-Table1[[#This Row],[xGoalsF]]</f>
        <v>1.4499848302901395</v>
      </c>
      <c r="C5" s="7">
        <f>Table1[[#This Row],[xGoalsA]]-Table1[[#This Row],[GoalsA]]</f>
        <v>2.5606677812198999</v>
      </c>
    </row>
    <row r="6" spans="1:3" x14ac:dyDescent="0.45">
      <c r="A6" s="6" t="s">
        <v>45</v>
      </c>
      <c r="B6" s="7">
        <f>Table1[[#This Row],[GoalsF]]-Table1[[#This Row],[xGoalsF]]</f>
        <v>-3.6753386197992199</v>
      </c>
      <c r="C6" s="7">
        <f>Table1[[#This Row],[xGoalsA]]-Table1[[#This Row],[GoalsA]]</f>
        <v>5.1169262831539992</v>
      </c>
    </row>
    <row r="7" spans="1:3" x14ac:dyDescent="0.45">
      <c r="A7" s="6" t="s">
        <v>44</v>
      </c>
      <c r="B7" s="7">
        <f>Table1[[#This Row],[GoalsF]]-Table1[[#This Row],[xGoalsF]]</f>
        <v>-2.0920185500999207</v>
      </c>
      <c r="C7" s="7">
        <f>Table1[[#This Row],[xGoalsA]]-Table1[[#This Row],[GoalsA]]</f>
        <v>4.1690462844123992</v>
      </c>
    </row>
    <row r="8" spans="1:3" x14ac:dyDescent="0.45">
      <c r="A8" s="6" t="s">
        <v>43</v>
      </c>
      <c r="B8" s="7">
        <f>Table1[[#This Row],[GoalsF]]-Table1[[#This Row],[xGoalsF]]</f>
        <v>-3.6088260616785499</v>
      </c>
      <c r="C8" s="7">
        <f>Table1[[#This Row],[xGoalsA]]-Table1[[#This Row],[GoalsA]]</f>
        <v>4.1343942255409001</v>
      </c>
    </row>
    <row r="9" spans="1:3" x14ac:dyDescent="0.45">
      <c r="A9" s="6" t="s">
        <v>40</v>
      </c>
      <c r="B9" s="7">
        <f>Table1[[#This Row],[GoalsF]]-Table1[[#This Row],[xGoalsF]]</f>
        <v>-4.07338510739838</v>
      </c>
      <c r="C9" s="7">
        <f>Table1[[#This Row],[xGoalsA]]-Table1[[#This Row],[GoalsA]]</f>
        <v>-2.5228433837124999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tabSelected="1" workbookViewId="0">
      <selection activeCell="C2" sqref="C2:C9"/>
    </sheetView>
  </sheetViews>
  <sheetFormatPr defaultRowHeight="14.25" x14ac:dyDescent="0.45"/>
  <sheetData>
    <row r="1" spans="1:3" x14ac:dyDescent="0.45">
      <c r="A1" t="s">
        <v>0</v>
      </c>
      <c r="B1" t="s">
        <v>75</v>
      </c>
      <c r="C1" t="s">
        <v>76</v>
      </c>
    </row>
    <row r="2" spans="1:3" x14ac:dyDescent="0.45">
      <c r="A2" s="6" t="s">
        <v>42</v>
      </c>
      <c r="B2" s="8">
        <f>Table1[[#This Row],[ShotsF]]/Table1[[#This Row],[xShotsF]]</f>
        <v>0.8810368894950007</v>
      </c>
      <c r="C2" s="8">
        <f>Table1[[#This Row],[ShotsA]]/Table1[[#This Row],[xShotsA]]</f>
        <v>0.94556362939527761</v>
      </c>
    </row>
    <row r="3" spans="1:3" x14ac:dyDescent="0.45">
      <c r="A3" s="6" t="s">
        <v>46</v>
      </c>
      <c r="B3" s="8">
        <f>Table1[[#This Row],[ShotsF]]/Table1[[#This Row],[xShotsF]]</f>
        <v>0.86988734251837685</v>
      </c>
      <c r="C3" s="8">
        <f>Table1[[#This Row],[ShotsA]]/Table1[[#This Row],[xShotsA]]</f>
        <v>0.81930741948623076</v>
      </c>
    </row>
    <row r="4" spans="1:3" x14ac:dyDescent="0.45">
      <c r="A4" s="6" t="s">
        <v>39</v>
      </c>
      <c r="B4" s="8">
        <f>Table1[[#This Row],[ShotsF]]/Table1[[#This Row],[xShotsF]]</f>
        <v>1.0369635239349542</v>
      </c>
      <c r="C4" s="8">
        <f>Table1[[#This Row],[ShotsA]]/Table1[[#This Row],[xShotsA]]</f>
        <v>0.88218487366597864</v>
      </c>
    </row>
    <row r="5" spans="1:3" x14ac:dyDescent="0.45">
      <c r="A5" s="6" t="s">
        <v>41</v>
      </c>
      <c r="B5" s="8">
        <f>Table1[[#This Row],[ShotsF]]/Table1[[#This Row],[xShotsF]]</f>
        <v>1.0227952981023634</v>
      </c>
      <c r="C5" s="8">
        <f>Table1[[#This Row],[ShotsA]]/Table1[[#This Row],[xShotsA]]</f>
        <v>0.69998543642756195</v>
      </c>
    </row>
    <row r="6" spans="1:3" x14ac:dyDescent="0.45">
      <c r="A6" s="6" t="s">
        <v>45</v>
      </c>
      <c r="B6" s="8">
        <f>Table1[[#This Row],[ShotsF]]/Table1[[#This Row],[xShotsF]]</f>
        <v>0.79039842080330003</v>
      </c>
      <c r="C6" s="8">
        <f>Table1[[#This Row],[ShotsA]]/Table1[[#This Row],[xShotsA]]</f>
        <v>1.1335883807971148</v>
      </c>
    </row>
    <row r="7" spans="1:3" x14ac:dyDescent="0.45">
      <c r="A7" s="6" t="s">
        <v>44</v>
      </c>
      <c r="B7" s="8">
        <f>Table1[[#This Row],[ShotsF]]/Table1[[#This Row],[xShotsF]]</f>
        <v>0.80764854472865166</v>
      </c>
      <c r="C7" s="8">
        <f>Table1[[#This Row],[ShotsA]]/Table1[[#This Row],[xShotsA]]</f>
        <v>1.1266227499859935</v>
      </c>
    </row>
    <row r="8" spans="1:3" x14ac:dyDescent="0.45">
      <c r="A8" s="6" t="s">
        <v>43</v>
      </c>
      <c r="B8" s="8">
        <f>Table1[[#This Row],[ShotsF]]/Table1[[#This Row],[xShotsF]]</f>
        <v>0.86218352024165013</v>
      </c>
      <c r="C8" s="8">
        <f>Table1[[#This Row],[ShotsA]]/Table1[[#This Row],[xShotsA]]</f>
        <v>1.0078936551543416</v>
      </c>
    </row>
    <row r="9" spans="1:3" x14ac:dyDescent="0.45">
      <c r="A9" s="6" t="s">
        <v>40</v>
      </c>
      <c r="B9" s="8">
        <f>Table1[[#This Row],[ShotsF]]/Table1[[#This Row],[xShotsF]]</f>
        <v>1.3987748971504741</v>
      </c>
      <c r="C9" s="8">
        <f>Table1[[#This Row],[ShotsA]]/Table1[[#This Row],[xShotsA]]</f>
        <v>0.96639036090736197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"/>
  <sheetViews>
    <sheetView workbookViewId="0">
      <selection activeCell="D2" sqref="D2"/>
    </sheetView>
  </sheetViews>
  <sheetFormatPr defaultRowHeight="14.25" x14ac:dyDescent="0.45"/>
  <sheetData>
    <row r="1" spans="1:3" x14ac:dyDescent="0.45">
      <c r="A1" t="s">
        <v>0</v>
      </c>
      <c r="B1" t="s">
        <v>77</v>
      </c>
      <c r="C1" t="s">
        <v>78</v>
      </c>
    </row>
    <row r="2" spans="1:3" x14ac:dyDescent="0.45">
      <c r="A2" s="6" t="s">
        <v>42</v>
      </c>
      <c r="B2" s="8">
        <f>Table1[[#This Row],[ShotsTF]]/Table1[[#This Row],[xShotsTF]]</f>
        <v>0.66909034589039862</v>
      </c>
      <c r="C2" s="8">
        <f>Table1[[#This Row],[ShotsTA]]/Table1[[#This Row],[xShotsTA]]</f>
        <v>0.62993897884437333</v>
      </c>
    </row>
    <row r="3" spans="1:3" x14ac:dyDescent="0.45">
      <c r="A3" s="6" t="s">
        <v>46</v>
      </c>
      <c r="B3" s="8">
        <f>Table1[[#This Row],[ShotsTF]]/Table1[[#This Row],[xShotsTF]]</f>
        <v>0.63896150222408499</v>
      </c>
      <c r="C3" s="8">
        <f>Table1[[#This Row],[ShotsTA]]/Table1[[#This Row],[xShotsTA]]</f>
        <v>0.66277393953596453</v>
      </c>
    </row>
    <row r="4" spans="1:3" x14ac:dyDescent="0.45">
      <c r="A4" s="6" t="s">
        <v>39</v>
      </c>
      <c r="B4" s="8">
        <f>Table1[[#This Row],[ShotsTF]]/Table1[[#This Row],[xShotsTF]]</f>
        <v>0.86142861427786277</v>
      </c>
      <c r="C4" s="8">
        <f>Table1[[#This Row],[ShotsTA]]/Table1[[#This Row],[xShotsTA]]</f>
        <v>0.64247550243043583</v>
      </c>
    </row>
    <row r="5" spans="1:3" x14ac:dyDescent="0.45">
      <c r="A5" s="6" t="s">
        <v>41</v>
      </c>
      <c r="B5" s="8">
        <f>Table1[[#This Row],[ShotsTF]]/Table1[[#This Row],[xShotsTF]]</f>
        <v>0.77288192813468903</v>
      </c>
      <c r="C5" s="8">
        <f>Table1[[#This Row],[ShotsTA]]/Table1[[#This Row],[xShotsTA]]</f>
        <v>0.65631009478191438</v>
      </c>
    </row>
    <row r="6" spans="1:3" x14ac:dyDescent="0.45">
      <c r="A6" s="6" t="s">
        <v>45</v>
      </c>
      <c r="B6" s="8">
        <f>Table1[[#This Row],[ShotsTF]]/Table1[[#This Row],[xShotsTF]]</f>
        <v>0.86905499939385933</v>
      </c>
      <c r="C6" s="8">
        <f>Table1[[#This Row],[ShotsTA]]/Table1[[#This Row],[xShotsTA]]</f>
        <v>0.73070769821826376</v>
      </c>
    </row>
    <row r="7" spans="1:3" x14ac:dyDescent="0.45">
      <c r="A7" s="6" t="s">
        <v>44</v>
      </c>
      <c r="B7" s="8">
        <f>Table1[[#This Row],[ShotsTF]]/Table1[[#This Row],[xShotsTF]]</f>
        <v>0.56721154028170373</v>
      </c>
      <c r="C7" s="8">
        <f>Table1[[#This Row],[ShotsTA]]/Table1[[#This Row],[xShotsTA]]</f>
        <v>0.83678187034670326</v>
      </c>
    </row>
    <row r="8" spans="1:3" x14ac:dyDescent="0.45">
      <c r="A8" s="6" t="s">
        <v>43</v>
      </c>
      <c r="B8" s="8">
        <f>Table1[[#This Row],[ShotsTF]]/Table1[[#This Row],[xShotsTF]]</f>
        <v>0.62987252929512261</v>
      </c>
      <c r="C8" s="8">
        <f>Table1[[#This Row],[ShotsTA]]/Table1[[#This Row],[xShotsTA]]</f>
        <v>0.79613973086249379</v>
      </c>
    </row>
    <row r="9" spans="1:3" x14ac:dyDescent="0.45">
      <c r="A9" s="6" t="s">
        <v>40</v>
      </c>
      <c r="B9" s="8">
        <f>Table1[[#This Row],[ShotsTF]]/Table1[[#This Row],[xShotsTF]]</f>
        <v>0.89136367185923471</v>
      </c>
      <c r="C9" s="8">
        <f>Table1[[#This Row],[ShotsTA]]/Table1[[#This Row],[xShotsTA]]</f>
        <v>0.87897553591330957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>
      <selection activeCell="I33" sqref="I33"/>
    </sheetView>
  </sheetViews>
  <sheetFormatPr defaultRowHeight="14.25" x14ac:dyDescent="0.45"/>
  <sheetData>
    <row r="1" spans="1:3" x14ac:dyDescent="0.45">
      <c r="A1" t="s">
        <v>0</v>
      </c>
      <c r="B1" t="s">
        <v>79</v>
      </c>
      <c r="C1" t="s">
        <v>80</v>
      </c>
    </row>
    <row r="2" spans="1:3" x14ac:dyDescent="0.45">
      <c r="A2" s="6" t="s">
        <v>42</v>
      </c>
      <c r="B2" s="8">
        <f>Table1[[#This Row],[Fouls]]/Table1[[#This Row],[xFouls]]</f>
        <v>1.2857177426817514</v>
      </c>
      <c r="C2" s="8">
        <f>Table1[[#This Row],[FoulsA]]/Table1[[#This Row],[xFoulsA]]</f>
        <v>1.4270005311126617</v>
      </c>
    </row>
    <row r="3" spans="1:3" x14ac:dyDescent="0.45">
      <c r="A3" s="6" t="s">
        <v>46</v>
      </c>
      <c r="B3" s="8">
        <f>Table1[[#This Row],[Fouls]]/Table1[[#This Row],[xFouls]]</f>
        <v>0.9698590785283181</v>
      </c>
      <c r="C3" s="8">
        <f>Table1[[#This Row],[FoulsA]]/Table1[[#This Row],[xFoulsA]]</f>
        <v>0.83649023380015641</v>
      </c>
    </row>
    <row r="4" spans="1:3" x14ac:dyDescent="0.45">
      <c r="A4" s="6" t="s">
        <v>39</v>
      </c>
      <c r="B4" s="8">
        <f>Table1[[#This Row],[Fouls]]/Table1[[#This Row],[xFouls]]</f>
        <v>1.2053987530678623</v>
      </c>
      <c r="C4" s="8">
        <f>Table1[[#This Row],[FoulsA]]/Table1[[#This Row],[xFoulsA]]</f>
        <v>0.87731614765491639</v>
      </c>
    </row>
    <row r="5" spans="1:3" x14ac:dyDescent="0.45">
      <c r="A5" s="6" t="s">
        <v>41</v>
      </c>
      <c r="B5" s="8">
        <f>Table1[[#This Row],[Fouls]]/Table1[[#This Row],[xFouls]]</f>
        <v>1.1479366919758336</v>
      </c>
      <c r="C5" s="8">
        <f>Table1[[#This Row],[FoulsA]]/Table1[[#This Row],[xFoulsA]]</f>
        <v>1.2592662806110873</v>
      </c>
    </row>
    <row r="6" spans="1:3" x14ac:dyDescent="0.45">
      <c r="A6" s="6" t="s">
        <v>45</v>
      </c>
      <c r="B6" s="8">
        <f>Table1[[#This Row],[Fouls]]/Table1[[#This Row],[xFouls]]</f>
        <v>1.1813068861454534</v>
      </c>
      <c r="C6" s="8">
        <f>Table1[[#This Row],[FoulsA]]/Table1[[#This Row],[xFoulsA]]</f>
        <v>1.22550344671038</v>
      </c>
    </row>
    <row r="7" spans="1:3" x14ac:dyDescent="0.45">
      <c r="A7" s="6" t="s">
        <v>44</v>
      </c>
      <c r="B7" s="8">
        <f>Table1[[#This Row],[Fouls]]/Table1[[#This Row],[xFouls]]</f>
        <v>1.1145954188042553</v>
      </c>
      <c r="C7" s="8">
        <f>Table1[[#This Row],[FoulsA]]/Table1[[#This Row],[xFoulsA]]</f>
        <v>0.96484006139072731</v>
      </c>
    </row>
    <row r="8" spans="1:3" x14ac:dyDescent="0.45">
      <c r="A8" s="6" t="s">
        <v>43</v>
      </c>
      <c r="B8" s="8">
        <f>Table1[[#This Row],[Fouls]]/Table1[[#This Row],[xFouls]]</f>
        <v>1.2231695266319205</v>
      </c>
      <c r="C8" s="8">
        <f>Table1[[#This Row],[FoulsA]]/Table1[[#This Row],[xFoulsA]]</f>
        <v>1.3800830457968167</v>
      </c>
    </row>
    <row r="9" spans="1:3" x14ac:dyDescent="0.45">
      <c r="A9" s="6" t="s">
        <v>40</v>
      </c>
      <c r="B9" s="8">
        <f>Table1[[#This Row],[Fouls]]/Table1[[#This Row],[xFouls]]</f>
        <v>1.0841655531955707</v>
      </c>
      <c r="C9" s="8">
        <f>Table1[[#This Row],[FoulsA]]/Table1[[#This Row],[xFoulsA]]</f>
        <v>1.2552954795772171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WCQ2022_CONCACAF_18-11-2021</vt:lpstr>
      <vt:lpstr>PtsvsxPts</vt:lpstr>
      <vt:lpstr>GvsxG</vt:lpstr>
      <vt:lpstr>GCvsxGC</vt:lpstr>
      <vt:lpstr>Scatter GDiff</vt:lpstr>
      <vt:lpstr>Shots</vt:lpstr>
      <vt:lpstr>ShotsT</vt:lpstr>
      <vt:lpstr>Fouls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2021-11-19T01:33:36Z</dcterms:created>
  <dcterms:modified xsi:type="dcterms:W3CDTF">2021-11-29T17:06:19Z</dcterms:modified>
</cp:coreProperties>
</file>