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8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9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La Cima del Éxito\Futbol\articulos\WCQ 2022 07 11 2021\"/>
    </mc:Choice>
  </mc:AlternateContent>
  <xr:revisionPtr revIDLastSave="0" documentId="13_ncr:1_{1AA5F0CF-D206-4467-BB80-C90412D5C3E2}" xr6:coauthVersionLast="47" xr6:coauthVersionMax="47" xr10:uidLastSave="{00000000-0000-0000-0000-000000000000}"/>
  <bookViews>
    <workbookView xWindow="-98" yWindow="-98" windowWidth="22695" windowHeight="14595" xr2:uid="{00000000-000D-0000-FFFF-FFFF00000000}"/>
  </bookViews>
  <sheets>
    <sheet name="WCQ2022_CONMEBOL_13-11-2021" sheetId="1" r:id="rId1"/>
    <sheet name="PtsvsxPts" sheetId="2" r:id="rId2"/>
    <sheet name="GvsxG" sheetId="3" r:id="rId3"/>
    <sheet name="GCvsxGC" sheetId="9" r:id="rId4"/>
    <sheet name="Scatter Dif G" sheetId="4" r:id="rId5"/>
    <sheet name="Shots" sheetId="5" r:id="rId6"/>
    <sheet name="ShotsT" sheetId="6" r:id="rId7"/>
    <sheet name="Fouls" sheetId="7" r:id="rId8"/>
    <sheet name="YCards" sheetId="8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2" i="1" l="1"/>
  <c r="R3" i="1"/>
  <c r="R4" i="1"/>
  <c r="R5" i="1"/>
  <c r="R6" i="1"/>
  <c r="R7" i="1"/>
  <c r="R8" i="1"/>
  <c r="R9" i="1"/>
  <c r="R10" i="1"/>
  <c r="R11" i="1"/>
  <c r="N2" i="1"/>
  <c r="N3" i="1"/>
  <c r="N4" i="1"/>
  <c r="N5" i="1"/>
  <c r="N6" i="1"/>
  <c r="N7" i="1"/>
  <c r="N8" i="1"/>
  <c r="N9" i="1"/>
  <c r="N10" i="1"/>
  <c r="N11" i="1"/>
  <c r="W10" i="1"/>
  <c r="BB2" i="1"/>
  <c r="BB3" i="1"/>
  <c r="BB4" i="1"/>
  <c r="BB5" i="1"/>
  <c r="BB6" i="1"/>
  <c r="BB7" i="1"/>
  <c r="BB8" i="1"/>
  <c r="BB9" i="1"/>
  <c r="BB10" i="1"/>
  <c r="BB11" i="1"/>
  <c r="AY2" i="1"/>
  <c r="AY3" i="1"/>
  <c r="AY4" i="1"/>
  <c r="AY5" i="1"/>
  <c r="AY6" i="1"/>
  <c r="AY7" i="1"/>
  <c r="AY8" i="1"/>
  <c r="AY9" i="1"/>
  <c r="AY10" i="1"/>
  <c r="AY11" i="1"/>
  <c r="AV2" i="1"/>
  <c r="AV3" i="1"/>
  <c r="AV4" i="1"/>
  <c r="AV5" i="1"/>
  <c r="AV6" i="1"/>
  <c r="AV7" i="1"/>
  <c r="AV8" i="1"/>
  <c r="AV9" i="1"/>
  <c r="AV10" i="1"/>
  <c r="AV11" i="1"/>
  <c r="AS2" i="1"/>
  <c r="AS3" i="1"/>
  <c r="AS12" i="1" s="1"/>
  <c r="AS4" i="1"/>
  <c r="AS5" i="1"/>
  <c r="AS6" i="1"/>
  <c r="AS7" i="1"/>
  <c r="AS8" i="1"/>
  <c r="AS9" i="1"/>
  <c r="AS10" i="1"/>
  <c r="AS11" i="1"/>
  <c r="AP2" i="1"/>
  <c r="AP3" i="1"/>
  <c r="AP4" i="1"/>
  <c r="AP5" i="1"/>
  <c r="AP6" i="1"/>
  <c r="AP7" i="1"/>
  <c r="AP8" i="1"/>
  <c r="AP9" i="1"/>
  <c r="AP10" i="1"/>
  <c r="AP11" i="1"/>
  <c r="AM2" i="1"/>
  <c r="AM3" i="1"/>
  <c r="AM4" i="1"/>
  <c r="AM5" i="1"/>
  <c r="AM6" i="1"/>
  <c r="AM7" i="1"/>
  <c r="AM8" i="1"/>
  <c r="AM9" i="1"/>
  <c r="AM10" i="1"/>
  <c r="AM11" i="1"/>
  <c r="AJ2" i="1"/>
  <c r="AJ3" i="1"/>
  <c r="AJ4" i="1"/>
  <c r="AJ5" i="1"/>
  <c r="AJ6" i="1"/>
  <c r="AJ7" i="1"/>
  <c r="AJ8" i="1"/>
  <c r="AJ9" i="1"/>
  <c r="AJ10" i="1"/>
  <c r="AJ11" i="1"/>
  <c r="AG2" i="1"/>
  <c r="AG3" i="1"/>
  <c r="AG4" i="1"/>
  <c r="AG5" i="1"/>
  <c r="AG6" i="1"/>
  <c r="AG7" i="1"/>
  <c r="AG8" i="1"/>
  <c r="AG9" i="1"/>
  <c r="AG10" i="1"/>
  <c r="AG11" i="1"/>
  <c r="Q2" i="1"/>
  <c r="Q3" i="1"/>
  <c r="Q4" i="1"/>
  <c r="Q5" i="1"/>
  <c r="Q6" i="1"/>
  <c r="Q7" i="1"/>
  <c r="Q8" i="1"/>
  <c r="Q9" i="1"/>
  <c r="Q10" i="1"/>
  <c r="Q11" i="1"/>
  <c r="M2" i="1"/>
  <c r="M3" i="1"/>
  <c r="M4" i="1"/>
  <c r="M5" i="1"/>
  <c r="M6" i="1"/>
  <c r="M7" i="1"/>
  <c r="M8" i="1"/>
  <c r="M9" i="1"/>
  <c r="M10" i="1"/>
  <c r="M11" i="1"/>
  <c r="AB2" i="1"/>
  <c r="AB3" i="1"/>
  <c r="AB4" i="1"/>
  <c r="AB5" i="1"/>
  <c r="AB6" i="1"/>
  <c r="AB7" i="1"/>
  <c r="AB8" i="1"/>
  <c r="AB9" i="1"/>
  <c r="AB10" i="1"/>
  <c r="AB11" i="1"/>
  <c r="BB12" i="1" l="1"/>
  <c r="AY12" i="1"/>
  <c r="AA7" i="1"/>
  <c r="AA4" i="1"/>
  <c r="AA2" i="1"/>
  <c r="AA9" i="1"/>
  <c r="AA5" i="1"/>
  <c r="AA10" i="1"/>
  <c r="AA3" i="1"/>
  <c r="AA11" i="1"/>
  <c r="AA6" i="1"/>
  <c r="AA8" i="1"/>
  <c r="Z7" i="1"/>
  <c r="Z4" i="1"/>
  <c r="Z2" i="1"/>
  <c r="Z9" i="1"/>
  <c r="Z5" i="1"/>
  <c r="Z10" i="1"/>
  <c r="Z3" i="1"/>
  <c r="Z11" i="1"/>
  <c r="Z6" i="1"/>
  <c r="Z8" i="1"/>
  <c r="W16" i="1"/>
  <c r="X7" i="1"/>
  <c r="X4" i="1"/>
  <c r="X2" i="1"/>
  <c r="X9" i="1"/>
  <c r="X5" i="1"/>
  <c r="X10" i="1"/>
  <c r="X3" i="1"/>
  <c r="X11" i="1"/>
  <c r="X6" i="1"/>
  <c r="X8" i="1"/>
  <c r="W7" i="1"/>
  <c r="W4" i="1"/>
  <c r="W2" i="1"/>
  <c r="W9" i="1"/>
  <c r="W5" i="1"/>
  <c r="W3" i="1"/>
  <c r="W11" i="1"/>
  <c r="W6" i="1"/>
  <c r="W8" i="1"/>
  <c r="V8" i="1" s="1"/>
  <c r="C16" i="1"/>
  <c r="BE16" i="1"/>
  <c r="AZ16" i="1"/>
  <c r="AT16" i="1"/>
  <c r="AN16" i="1"/>
  <c r="AH16" i="1"/>
  <c r="AC16" i="1"/>
  <c r="O16" i="1"/>
  <c r="F16" i="1"/>
  <c r="E16" i="1"/>
  <c r="BH12" i="1"/>
  <c r="BG12" i="1"/>
  <c r="BF12" i="1"/>
  <c r="BE12" i="1"/>
  <c r="BD12" i="1"/>
  <c r="BC12" i="1"/>
  <c r="BA12" i="1"/>
  <c r="AZ12" i="1"/>
  <c r="AX12" i="1"/>
  <c r="AW12" i="1"/>
  <c r="AU12" i="1"/>
  <c r="AT12" i="1"/>
  <c r="AR12" i="1"/>
  <c r="AQ12" i="1"/>
  <c r="AO12" i="1"/>
  <c r="AN12" i="1"/>
  <c r="AL12" i="1"/>
  <c r="AK12" i="1"/>
  <c r="AI12" i="1"/>
  <c r="AH12" i="1"/>
  <c r="AF12" i="1"/>
  <c r="AE12" i="1"/>
  <c r="AD12" i="1"/>
  <c r="AC12" i="1"/>
  <c r="T12" i="1"/>
  <c r="S12" i="1"/>
  <c r="P12" i="1"/>
  <c r="O12" i="1"/>
  <c r="L12" i="1"/>
  <c r="K12" i="1"/>
  <c r="J12" i="1"/>
  <c r="I12" i="1"/>
  <c r="H12" i="1"/>
  <c r="G12" i="1"/>
  <c r="F12" i="1"/>
  <c r="E12" i="1"/>
  <c r="D12" i="1"/>
  <c r="C12" i="1"/>
  <c r="Y11" i="1" l="1"/>
  <c r="V4" i="1"/>
  <c r="V6" i="1"/>
  <c r="Y9" i="1"/>
  <c r="Y6" i="1"/>
  <c r="Y7" i="1"/>
  <c r="V7" i="1"/>
  <c r="U9" i="1"/>
  <c r="V9" i="1"/>
  <c r="U2" i="1"/>
  <c r="V2" i="1"/>
  <c r="U11" i="1"/>
  <c r="V11" i="1"/>
  <c r="U3" i="1"/>
  <c r="V3" i="1"/>
  <c r="U10" i="1"/>
  <c r="V10" i="1"/>
  <c r="Y2" i="1"/>
  <c r="U5" i="1"/>
  <c r="V5" i="1"/>
  <c r="Y8" i="1"/>
  <c r="Y4" i="1"/>
  <c r="U8" i="1"/>
  <c r="U4" i="1"/>
  <c r="Y3" i="1"/>
  <c r="U6" i="1"/>
  <c r="U7" i="1"/>
  <c r="Y10" i="1"/>
  <c r="Y5" i="1"/>
  <c r="Z12" i="1"/>
  <c r="AA12" i="1"/>
  <c r="W12" i="1"/>
  <c r="X12" i="1"/>
</calcChain>
</file>

<file path=xl/sharedStrings.xml><?xml version="1.0" encoding="utf-8"?>
<sst xmlns="http://schemas.openxmlformats.org/spreadsheetml/2006/main" count="176" uniqueCount="84">
  <si>
    <t>team</t>
  </si>
  <si>
    <t>Points</t>
  </si>
  <si>
    <t>xPoints</t>
  </si>
  <si>
    <t>Wins</t>
  </si>
  <si>
    <t>Draws</t>
  </si>
  <si>
    <t>Losses</t>
  </si>
  <si>
    <t>xWins</t>
  </si>
  <si>
    <t>xDraws</t>
  </si>
  <si>
    <t>xLosses</t>
  </si>
  <si>
    <t>GoalDiff</t>
  </si>
  <si>
    <t>xGoalDiff</t>
  </si>
  <si>
    <t>GoalsF</t>
  </si>
  <si>
    <t>xGoalsF</t>
  </si>
  <si>
    <t>GoalsA</t>
  </si>
  <si>
    <t>xGoalsA</t>
  </si>
  <si>
    <t>HTGoalsF</t>
  </si>
  <si>
    <t>xHTGoalsF</t>
  </si>
  <si>
    <t>HTGoalsA</t>
  </si>
  <si>
    <t>xHTGoalsA</t>
  </si>
  <si>
    <t>ShotsF</t>
  </si>
  <si>
    <t>xShotsF</t>
  </si>
  <si>
    <t>ShotsA</t>
  </si>
  <si>
    <t>xShotsA</t>
  </si>
  <si>
    <t>ShotsTF</t>
  </si>
  <si>
    <t>xShotsTF</t>
  </si>
  <si>
    <t>ShotsTA</t>
  </si>
  <si>
    <t>xShotsTA</t>
  </si>
  <si>
    <t>Fouls</t>
  </si>
  <si>
    <t>xFouls</t>
  </si>
  <si>
    <t>FoulsA</t>
  </si>
  <si>
    <t>xFoulsA</t>
  </si>
  <si>
    <t>YCard</t>
  </si>
  <si>
    <t>xYCard</t>
  </si>
  <si>
    <t>YCardA</t>
  </si>
  <si>
    <t>xYCardA</t>
  </si>
  <si>
    <t>RCard</t>
  </si>
  <si>
    <t>xRCard</t>
  </si>
  <si>
    <t>RCardA</t>
  </si>
  <si>
    <t>xRCardA</t>
  </si>
  <si>
    <t>Chile</t>
  </si>
  <si>
    <t>Ecuador</t>
  </si>
  <si>
    <t>Brasil</t>
  </si>
  <si>
    <t>Uruguay</t>
  </si>
  <si>
    <t>Venezuela</t>
  </si>
  <si>
    <t>Argentina</t>
  </si>
  <si>
    <t>Bolivia</t>
  </si>
  <si>
    <t>Colombia</t>
  </si>
  <si>
    <t>Paraguay</t>
  </si>
  <si>
    <t>Ranking</t>
  </si>
  <si>
    <t>x2HGoalsF</t>
  </si>
  <si>
    <t>2HGoalsF</t>
  </si>
  <si>
    <t>2HGoalsA</t>
  </si>
  <si>
    <t>x2HGoalsA</t>
  </si>
  <si>
    <t>Perú</t>
  </si>
  <si>
    <t>%2HGoalsF</t>
  </si>
  <si>
    <t>%HTGoalsF</t>
  </si>
  <si>
    <t>%GoalsF</t>
  </si>
  <si>
    <t>%GoalsA</t>
  </si>
  <si>
    <t>%ShotsF</t>
  </si>
  <si>
    <t>%ShotsA</t>
  </si>
  <si>
    <t>d2HGoalsA</t>
  </si>
  <si>
    <t>d2HGoalsF</t>
  </si>
  <si>
    <t>%ShotsTF</t>
  </si>
  <si>
    <t>%ShotsTA</t>
  </si>
  <si>
    <t>%Fouls</t>
  </si>
  <si>
    <t>%FoulsA</t>
  </si>
  <si>
    <t>%Ycard</t>
  </si>
  <si>
    <t>%YCardA</t>
  </si>
  <si>
    <t>Fouls Committed</t>
  </si>
  <si>
    <t>Fouls Received</t>
  </si>
  <si>
    <t>Shots on Target Against</t>
  </si>
  <si>
    <t>Shots in Favor</t>
  </si>
  <si>
    <t>Shots Against</t>
  </si>
  <si>
    <t>Shots on Target in Favor</t>
  </si>
  <si>
    <t>Goals Scored</t>
  </si>
  <si>
    <t>Expected Goals</t>
  </si>
  <si>
    <t>Points Obtained</t>
  </si>
  <si>
    <t>Expected Points</t>
  </si>
  <si>
    <t>Goals Against</t>
  </si>
  <si>
    <t>Expected Goals Against</t>
  </si>
  <si>
    <t>GoalsF_Diff</t>
  </si>
  <si>
    <t>GoalsA_Diff</t>
  </si>
  <si>
    <t>Si Brasil recibe 5 de 10 goles esperados decimos, "qué bueno es Brasil"</t>
  </si>
  <si>
    <t>Pero si Bolivia recibe 10 de 15 goles esperados decimos lo mismo que diríamos antes de Bolivia, "qué malo"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</si>
</sst>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164" formatCode="0.0"/>
    <numFmt numFmtId="165" formatCode="#,##0.0_ ;\-#,##0.0\ 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9" fontId="0" fillId="0" borderId="0" xfId="2" applyFont="1"/>
    <xf numFmtId="164" fontId="0" fillId="0" borderId="0" xfId="0" applyNumberFormat="1"/>
    <xf numFmtId="165" fontId="0" fillId="0" borderId="0" xfId="1" applyNumberFormat="1" applyFont="1"/>
    <xf numFmtId="9" fontId="0" fillId="0" borderId="0" xfId="0" applyNumberFormat="1"/>
    <xf numFmtId="164" fontId="0" fillId="0" borderId="0" xfId="2" applyNumberFormat="1" applyFont="1"/>
    <xf numFmtId="1" fontId="0" fillId="0" borderId="0" xfId="0" applyNumberFormat="1"/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urrency" xfId="1" builtinId="4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11">
    <dxf>
      <numFmt numFmtId="13" formatCode="0%"/>
    </dxf>
    <dxf>
      <numFmt numFmtId="13" formatCode="0%"/>
    </dxf>
    <dxf>
      <numFmt numFmtId="13" formatCode="0%"/>
    </dxf>
    <dxf>
      <numFmt numFmtId="0" formatCode="General"/>
    </dxf>
    <dxf>
      <numFmt numFmtId="0" formatCode="General"/>
    </dxf>
    <dxf>
      <numFmt numFmtId="164" formatCode="0.0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#,##0.0_ ;\-#,##0.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2000"/>
              <a:t>Qatar 2022 World Cup </a:t>
            </a:r>
            <a:r>
              <a:rPr lang="es-MX" sz="2000" b="0" i="0" u="none" strike="noStrike" baseline="0">
                <a:effectLst/>
              </a:rPr>
              <a:t>CONMEBOL </a:t>
            </a:r>
            <a:r>
              <a:rPr lang="es-MX" sz="2000"/>
              <a:t>Qualifiers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PtsvsxPts!$B$1</c:f>
              <c:strCache>
                <c:ptCount val="1"/>
                <c:pt idx="0">
                  <c:v>Points Obtained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PtsvsxPts!$A$2:$A$11</c:f>
              <c:strCache>
                <c:ptCount val="10"/>
                <c:pt idx="0">
                  <c:v>Brasil</c:v>
                </c:pt>
                <c:pt idx="1">
                  <c:v>Argentina</c:v>
                </c:pt>
                <c:pt idx="2">
                  <c:v>Ecuador</c:v>
                </c:pt>
                <c:pt idx="3">
                  <c:v>Colombia</c:v>
                </c:pt>
                <c:pt idx="4">
                  <c:v>Uruguay</c:v>
                </c:pt>
                <c:pt idx="5">
                  <c:v>Chile</c:v>
                </c:pt>
                <c:pt idx="6">
                  <c:v>Paraguay</c:v>
                </c:pt>
                <c:pt idx="7">
                  <c:v>Perú</c:v>
                </c:pt>
                <c:pt idx="8">
                  <c:v>Venezuela</c:v>
                </c:pt>
                <c:pt idx="9">
                  <c:v>Bolivia</c:v>
                </c:pt>
              </c:strCache>
            </c:strRef>
          </c:cat>
          <c:val>
            <c:numRef>
              <c:f>PtsvsxPts!$B$2:$B$11</c:f>
              <c:numCache>
                <c:formatCode>General</c:formatCode>
                <c:ptCount val="10"/>
                <c:pt idx="0">
                  <c:v>34</c:v>
                </c:pt>
                <c:pt idx="1">
                  <c:v>28</c:v>
                </c:pt>
                <c:pt idx="2">
                  <c:v>19</c:v>
                </c:pt>
                <c:pt idx="3">
                  <c:v>18</c:v>
                </c:pt>
                <c:pt idx="4">
                  <c:v>16</c:v>
                </c:pt>
                <c:pt idx="5">
                  <c:v>16</c:v>
                </c:pt>
                <c:pt idx="6">
                  <c:v>12</c:v>
                </c:pt>
                <c:pt idx="7">
                  <c:v>14</c:v>
                </c:pt>
                <c:pt idx="8">
                  <c:v>7</c:v>
                </c:pt>
                <c:pt idx="9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2B-4BFD-9CBA-B5AC9B0A568A}"/>
            </c:ext>
          </c:extLst>
        </c:ser>
        <c:ser>
          <c:idx val="1"/>
          <c:order val="1"/>
          <c:tx>
            <c:strRef>
              <c:f>PtsvsxPts!$C$1</c:f>
              <c:strCache>
                <c:ptCount val="1"/>
                <c:pt idx="0">
                  <c:v>Expected Points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PtsvsxPts!$A$2:$A$11</c:f>
              <c:strCache>
                <c:ptCount val="10"/>
                <c:pt idx="0">
                  <c:v>Brasil</c:v>
                </c:pt>
                <c:pt idx="1">
                  <c:v>Argentina</c:v>
                </c:pt>
                <c:pt idx="2">
                  <c:v>Ecuador</c:v>
                </c:pt>
                <c:pt idx="3">
                  <c:v>Colombia</c:v>
                </c:pt>
                <c:pt idx="4">
                  <c:v>Uruguay</c:v>
                </c:pt>
                <c:pt idx="5">
                  <c:v>Chile</c:v>
                </c:pt>
                <c:pt idx="6">
                  <c:v>Paraguay</c:v>
                </c:pt>
                <c:pt idx="7">
                  <c:v>Perú</c:v>
                </c:pt>
                <c:pt idx="8">
                  <c:v>Venezuela</c:v>
                </c:pt>
                <c:pt idx="9">
                  <c:v>Bolivia</c:v>
                </c:pt>
              </c:strCache>
            </c:strRef>
          </c:cat>
          <c:val>
            <c:numRef>
              <c:f>PtsvsxPts!$C$2:$C$11</c:f>
              <c:numCache>
                <c:formatCode>0.0</c:formatCode>
                <c:ptCount val="10"/>
                <c:pt idx="0">
                  <c:v>27.24275163375</c:v>
                </c:pt>
                <c:pt idx="1">
                  <c:v>26.274523388877</c:v>
                </c:pt>
                <c:pt idx="2">
                  <c:v>19.683527987955699</c:v>
                </c:pt>
                <c:pt idx="3">
                  <c:v>19.444860760775502</c:v>
                </c:pt>
                <c:pt idx="4">
                  <c:v>19.125009798603902</c:v>
                </c:pt>
                <c:pt idx="5">
                  <c:v>18.1183130724881</c:v>
                </c:pt>
                <c:pt idx="6">
                  <c:v>15.0198360896701</c:v>
                </c:pt>
                <c:pt idx="7">
                  <c:v>13.5235088705734</c:v>
                </c:pt>
                <c:pt idx="8">
                  <c:v>9.3655684018225802</c:v>
                </c:pt>
                <c:pt idx="9">
                  <c:v>8.97847132815299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2B-4BFD-9CBA-B5AC9B0A568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63262496"/>
        <c:axId val="589097320"/>
      </c:barChart>
      <c:catAx>
        <c:axId val="463262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89097320"/>
        <c:crosses val="autoZero"/>
        <c:auto val="1"/>
        <c:lblAlgn val="ctr"/>
        <c:lblOffset val="100"/>
        <c:noMultiLvlLbl val="0"/>
      </c:catAx>
      <c:valAx>
        <c:axId val="589097320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63262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2000" b="0" i="0" baseline="0">
                <a:effectLst/>
              </a:rPr>
              <a:t>Qatar 2022 World Cup CONMEBOL Qualifiers</a:t>
            </a:r>
            <a:endParaRPr lang="es-MX" sz="20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GvsxG!$B$1</c:f>
              <c:strCache>
                <c:ptCount val="1"/>
                <c:pt idx="0">
                  <c:v>Goals Scored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GvsxG!$A$2:$A$11</c:f>
              <c:strCache>
                <c:ptCount val="10"/>
                <c:pt idx="0">
                  <c:v>Brasil</c:v>
                </c:pt>
                <c:pt idx="1">
                  <c:v>Argentina</c:v>
                </c:pt>
                <c:pt idx="2">
                  <c:v>Ecuador</c:v>
                </c:pt>
                <c:pt idx="3">
                  <c:v>Uruguay</c:v>
                </c:pt>
                <c:pt idx="4">
                  <c:v>Colombia</c:v>
                </c:pt>
                <c:pt idx="5">
                  <c:v>Chile</c:v>
                </c:pt>
                <c:pt idx="6">
                  <c:v>Paraguay</c:v>
                </c:pt>
                <c:pt idx="7">
                  <c:v>Perú</c:v>
                </c:pt>
                <c:pt idx="8">
                  <c:v>Venezuela</c:v>
                </c:pt>
                <c:pt idx="9">
                  <c:v>Bolivia</c:v>
                </c:pt>
              </c:strCache>
            </c:strRef>
          </c:cat>
          <c:val>
            <c:numRef>
              <c:f>GvsxG!$B$2:$B$11</c:f>
              <c:numCache>
                <c:formatCode>General</c:formatCode>
                <c:ptCount val="10"/>
                <c:pt idx="0">
                  <c:v>27</c:v>
                </c:pt>
                <c:pt idx="1">
                  <c:v>20</c:v>
                </c:pt>
                <c:pt idx="2">
                  <c:v>20</c:v>
                </c:pt>
                <c:pt idx="3">
                  <c:v>14</c:v>
                </c:pt>
                <c:pt idx="4">
                  <c:v>16</c:v>
                </c:pt>
                <c:pt idx="5">
                  <c:v>15</c:v>
                </c:pt>
                <c:pt idx="6">
                  <c:v>9</c:v>
                </c:pt>
                <c:pt idx="7">
                  <c:v>13</c:v>
                </c:pt>
                <c:pt idx="8">
                  <c:v>8</c:v>
                </c:pt>
                <c:pt idx="9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24-4687-8E13-89D0140AEFE2}"/>
            </c:ext>
          </c:extLst>
        </c:ser>
        <c:ser>
          <c:idx val="1"/>
          <c:order val="1"/>
          <c:tx>
            <c:strRef>
              <c:f>GvsxG!$C$1</c:f>
              <c:strCache>
                <c:ptCount val="1"/>
                <c:pt idx="0">
                  <c:v>Expected Goals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GvsxG!$A$2:$A$11</c:f>
              <c:strCache>
                <c:ptCount val="10"/>
                <c:pt idx="0">
                  <c:v>Brasil</c:v>
                </c:pt>
                <c:pt idx="1">
                  <c:v>Argentina</c:v>
                </c:pt>
                <c:pt idx="2">
                  <c:v>Ecuador</c:v>
                </c:pt>
                <c:pt idx="3">
                  <c:v>Uruguay</c:v>
                </c:pt>
                <c:pt idx="4">
                  <c:v>Colombia</c:v>
                </c:pt>
                <c:pt idx="5">
                  <c:v>Chile</c:v>
                </c:pt>
                <c:pt idx="6">
                  <c:v>Paraguay</c:v>
                </c:pt>
                <c:pt idx="7">
                  <c:v>Perú</c:v>
                </c:pt>
                <c:pt idx="8">
                  <c:v>Venezuela</c:v>
                </c:pt>
                <c:pt idx="9">
                  <c:v>Bolivia</c:v>
                </c:pt>
              </c:strCache>
            </c:strRef>
          </c:cat>
          <c:val>
            <c:numRef>
              <c:f>GvsxG!$C$2:$C$11</c:f>
              <c:numCache>
                <c:formatCode>0.0</c:formatCode>
                <c:ptCount val="10"/>
                <c:pt idx="0">
                  <c:v>26.995462791247</c:v>
                </c:pt>
                <c:pt idx="1">
                  <c:v>25.964283327011699</c:v>
                </c:pt>
                <c:pt idx="2">
                  <c:v>19.484127259390402</c:v>
                </c:pt>
                <c:pt idx="3">
                  <c:v>18.6847074201273</c:v>
                </c:pt>
                <c:pt idx="4">
                  <c:v>18.352853172753701</c:v>
                </c:pt>
                <c:pt idx="5">
                  <c:v>17.9818426425959</c:v>
                </c:pt>
                <c:pt idx="6">
                  <c:v>15.568894055166099</c:v>
                </c:pt>
                <c:pt idx="7">
                  <c:v>14.6177889367112</c:v>
                </c:pt>
                <c:pt idx="8">
                  <c:v>11.615551362476801</c:v>
                </c:pt>
                <c:pt idx="9">
                  <c:v>11.5339886960949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24-4687-8E13-89D0140AEFE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30772224"/>
        <c:axId val="630772552"/>
      </c:barChart>
      <c:catAx>
        <c:axId val="630772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30772552"/>
        <c:crosses val="autoZero"/>
        <c:auto val="1"/>
        <c:lblAlgn val="ctr"/>
        <c:lblOffset val="100"/>
        <c:noMultiLvlLbl val="0"/>
      </c:catAx>
      <c:valAx>
        <c:axId val="63077255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3077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1800" b="0" i="0" baseline="0">
                <a:effectLst/>
              </a:rPr>
              <a:t>Qatar 2022 World Cup CONMEBOL Qualifiers</a:t>
            </a:r>
            <a:endParaRPr lang="es-MX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GCvsxGC!$B$1</c:f>
              <c:strCache>
                <c:ptCount val="1"/>
                <c:pt idx="0">
                  <c:v>Goals Against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GCvsxGC!$A$2:$A$11</c:f>
              <c:strCache>
                <c:ptCount val="10"/>
                <c:pt idx="0">
                  <c:v>Brasil</c:v>
                </c:pt>
                <c:pt idx="1">
                  <c:v>Argentina</c:v>
                </c:pt>
                <c:pt idx="2">
                  <c:v>Ecuador</c:v>
                </c:pt>
                <c:pt idx="3">
                  <c:v>Uruguay</c:v>
                </c:pt>
                <c:pt idx="4">
                  <c:v>Colombia</c:v>
                </c:pt>
                <c:pt idx="5">
                  <c:v>Chile</c:v>
                </c:pt>
                <c:pt idx="6">
                  <c:v>Paraguay</c:v>
                </c:pt>
                <c:pt idx="7">
                  <c:v>Perú</c:v>
                </c:pt>
                <c:pt idx="8">
                  <c:v>Venezuela</c:v>
                </c:pt>
                <c:pt idx="9">
                  <c:v>Bolivia</c:v>
                </c:pt>
              </c:strCache>
            </c:strRef>
          </c:cat>
          <c:val>
            <c:numRef>
              <c:f>GCvsxGC!$B$2:$B$11</c:f>
              <c:numCache>
                <c:formatCode>General</c:formatCode>
                <c:ptCount val="10"/>
                <c:pt idx="0">
                  <c:v>4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17</c:v>
                </c:pt>
                <c:pt idx="5">
                  <c:v>14</c:v>
                </c:pt>
                <c:pt idx="6">
                  <c:v>18</c:v>
                </c:pt>
                <c:pt idx="7">
                  <c:v>19</c:v>
                </c:pt>
                <c:pt idx="8">
                  <c:v>23</c:v>
                </c:pt>
                <c:pt idx="9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5F-418C-BA94-8763516515B5}"/>
            </c:ext>
          </c:extLst>
        </c:ser>
        <c:ser>
          <c:idx val="1"/>
          <c:order val="1"/>
          <c:tx>
            <c:strRef>
              <c:f>GCvsxGC!$C$1</c:f>
              <c:strCache>
                <c:ptCount val="1"/>
                <c:pt idx="0">
                  <c:v>Expected Goals Against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GCvsxGC!$A$2:$A$11</c:f>
              <c:strCache>
                <c:ptCount val="10"/>
                <c:pt idx="0">
                  <c:v>Brasil</c:v>
                </c:pt>
                <c:pt idx="1">
                  <c:v>Argentina</c:v>
                </c:pt>
                <c:pt idx="2">
                  <c:v>Ecuador</c:v>
                </c:pt>
                <c:pt idx="3">
                  <c:v>Uruguay</c:v>
                </c:pt>
                <c:pt idx="4">
                  <c:v>Colombia</c:v>
                </c:pt>
                <c:pt idx="5">
                  <c:v>Chile</c:v>
                </c:pt>
                <c:pt idx="6">
                  <c:v>Paraguay</c:v>
                </c:pt>
                <c:pt idx="7">
                  <c:v>Perú</c:v>
                </c:pt>
                <c:pt idx="8">
                  <c:v>Venezuela</c:v>
                </c:pt>
                <c:pt idx="9">
                  <c:v>Bolivia</c:v>
                </c:pt>
              </c:strCache>
            </c:strRef>
          </c:cat>
          <c:val>
            <c:numRef>
              <c:f>GCvsxGC!$C$2:$C$11</c:f>
              <c:numCache>
                <c:formatCode>0.0</c:formatCode>
                <c:ptCount val="10"/>
                <c:pt idx="0">
                  <c:v>9.6601953302699002</c:v>
                </c:pt>
                <c:pt idx="1">
                  <c:v>10.013442639886099</c:v>
                </c:pt>
                <c:pt idx="2">
                  <c:v>17.242387928768899</c:v>
                </c:pt>
                <c:pt idx="3">
                  <c:v>16.5659663124882</c:v>
                </c:pt>
                <c:pt idx="4">
                  <c:v>15.9872014387902</c:v>
                </c:pt>
                <c:pt idx="5">
                  <c:v>16.847807585917302</c:v>
                </c:pt>
                <c:pt idx="6">
                  <c:v>19.479599419569901</c:v>
                </c:pt>
                <c:pt idx="7">
                  <c:v>21.2454520760318</c:v>
                </c:pt>
                <c:pt idx="8">
                  <c:v>25.061796971749899</c:v>
                </c:pt>
                <c:pt idx="9">
                  <c:v>28.695649960102902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5F-418C-BA94-8763516515B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86063928"/>
        <c:axId val="686058024"/>
      </c:barChart>
      <c:catAx>
        <c:axId val="686063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86058024"/>
        <c:crosses val="autoZero"/>
        <c:auto val="1"/>
        <c:lblAlgn val="ctr"/>
        <c:lblOffset val="100"/>
        <c:noMultiLvlLbl val="0"/>
      </c:catAx>
      <c:valAx>
        <c:axId val="68605802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86063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Qatar</a:t>
            </a:r>
            <a:r>
              <a:rPr lang="en-US" sz="2000" baseline="0"/>
              <a:t> 2022 World Cup CONMEBOL Qualifiers </a:t>
            </a:r>
            <a:br>
              <a:rPr lang="en-US" sz="2000" baseline="0"/>
            </a:br>
            <a:r>
              <a:rPr lang="en-US" sz="2000" baseline="0"/>
              <a:t>Goals vs Expected Goals for Betting Houses</a:t>
            </a:r>
            <a:endParaRPr lang="en-US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'Scatter Dif G'!$C$1</c:f>
              <c:strCache>
                <c:ptCount val="1"/>
                <c:pt idx="0">
                  <c:v>GoalsA_Diff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'Scatter Dif G'!$B$2:$B$11</c:f>
              <c:numCache>
                <c:formatCode>0</c:formatCode>
                <c:ptCount val="10"/>
                <c:pt idx="0">
                  <c:v>4.5372087529997884E-3</c:v>
                </c:pt>
                <c:pt idx="1">
                  <c:v>-5.9642833270116995</c:v>
                </c:pt>
                <c:pt idx="2">
                  <c:v>0.51587274060959842</c:v>
                </c:pt>
                <c:pt idx="3">
                  <c:v>-4.6847074201272996</c:v>
                </c:pt>
                <c:pt idx="4">
                  <c:v>-2.3528531727537008</c:v>
                </c:pt>
                <c:pt idx="5">
                  <c:v>-2.9818426425959004</c:v>
                </c:pt>
                <c:pt idx="6">
                  <c:v>-6.5688940551660995</c:v>
                </c:pt>
                <c:pt idx="7">
                  <c:v>-1.6177889367112002</c:v>
                </c:pt>
                <c:pt idx="8">
                  <c:v>-3.6155513624768005</c:v>
                </c:pt>
                <c:pt idx="9">
                  <c:v>4.4660113039051001</c:v>
                </c:pt>
              </c:numCache>
            </c:numRef>
          </c:xVal>
          <c:yVal>
            <c:numRef>
              <c:f>'Scatter Dif G'!$C$2:$C$11</c:f>
              <c:numCache>
                <c:formatCode>0</c:formatCode>
                <c:ptCount val="10"/>
                <c:pt idx="0">
                  <c:v>5.6601953302699002</c:v>
                </c:pt>
                <c:pt idx="1">
                  <c:v>4.0134426398860992</c:v>
                </c:pt>
                <c:pt idx="2">
                  <c:v>5.242387928768899</c:v>
                </c:pt>
                <c:pt idx="3">
                  <c:v>-1.4340336875117998</c:v>
                </c:pt>
                <c:pt idx="4">
                  <c:v>-1.0127985612098005</c:v>
                </c:pt>
                <c:pt idx="5">
                  <c:v>2.8478075859173018</c:v>
                </c:pt>
                <c:pt idx="6">
                  <c:v>1.4795994195699009</c:v>
                </c:pt>
                <c:pt idx="7">
                  <c:v>2.2454520760317997</c:v>
                </c:pt>
                <c:pt idx="8">
                  <c:v>2.0617969717498994</c:v>
                </c:pt>
                <c:pt idx="9">
                  <c:v>1.6956499601029016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C8-4351-9BE3-55CEB4381B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671112"/>
        <c:axId val="468669800"/>
      </c:scatterChart>
      <c:valAx>
        <c:axId val="468671112"/>
        <c:scaling>
          <c:orientation val="minMax"/>
          <c:max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68669800"/>
        <c:crosses val="autoZero"/>
        <c:crossBetween val="midCat"/>
        <c:majorUnit val="1"/>
      </c:valAx>
      <c:valAx>
        <c:axId val="468669800"/>
        <c:scaling>
          <c:orientation val="minMax"/>
          <c:max val="7"/>
          <c:min val="-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68671112"/>
        <c:crosses val="autoZero"/>
        <c:crossBetween val="midCat"/>
        <c:majorUnit val="1"/>
        <c:minorUnit val="0.60000000000000009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2000" b="0" i="0" baseline="0">
                <a:effectLst/>
              </a:rPr>
              <a:t>Qatar 2022 World Cup Qualifiers</a:t>
            </a:r>
            <a:br>
              <a:rPr lang="es-MX" sz="2000" b="0" i="0" baseline="0">
                <a:effectLst/>
              </a:rPr>
            </a:br>
            <a:r>
              <a:rPr lang="es-MX" sz="2000" b="0" i="0" baseline="0">
                <a:effectLst/>
              </a:rPr>
              <a:t>Shots in Favor vs Shots Against</a:t>
            </a:r>
            <a:endParaRPr lang="es-MX" sz="20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Shots!$B$1</c:f>
              <c:strCache>
                <c:ptCount val="1"/>
                <c:pt idx="0">
                  <c:v>Shots in Favor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Shots!$A$2:$A$11</c:f>
              <c:strCache>
                <c:ptCount val="10"/>
                <c:pt idx="0">
                  <c:v>Brasil</c:v>
                </c:pt>
                <c:pt idx="1">
                  <c:v>Argentina</c:v>
                </c:pt>
                <c:pt idx="2">
                  <c:v>Ecuador</c:v>
                </c:pt>
                <c:pt idx="3">
                  <c:v>Uruguay</c:v>
                </c:pt>
                <c:pt idx="4">
                  <c:v>Colombia</c:v>
                </c:pt>
                <c:pt idx="5">
                  <c:v>Chile</c:v>
                </c:pt>
                <c:pt idx="6">
                  <c:v>Paraguay</c:v>
                </c:pt>
                <c:pt idx="7">
                  <c:v>Perú</c:v>
                </c:pt>
                <c:pt idx="8">
                  <c:v>Venezuela</c:v>
                </c:pt>
                <c:pt idx="9">
                  <c:v>Bolivia</c:v>
                </c:pt>
              </c:strCache>
            </c:strRef>
          </c:cat>
          <c:val>
            <c:numRef>
              <c:f>Shots!$B$2:$B$11</c:f>
              <c:numCache>
                <c:formatCode>0%</c:formatCode>
                <c:ptCount val="10"/>
                <c:pt idx="0">
                  <c:v>0.84380812031012398</c:v>
                </c:pt>
                <c:pt idx="1">
                  <c:v>0.9622864588390958</c:v>
                </c:pt>
                <c:pt idx="2">
                  <c:v>0.90190011843953821</c:v>
                </c:pt>
                <c:pt idx="3">
                  <c:v>0.77615446771352914</c:v>
                </c:pt>
                <c:pt idx="4">
                  <c:v>0.89195115303004324</c:v>
                </c:pt>
                <c:pt idx="5">
                  <c:v>0.97659638124103754</c:v>
                </c:pt>
                <c:pt idx="6">
                  <c:v>0.8180943395182837</c:v>
                </c:pt>
                <c:pt idx="7">
                  <c:v>0.98589341708501088</c:v>
                </c:pt>
                <c:pt idx="8">
                  <c:v>1.1322364647434926</c:v>
                </c:pt>
                <c:pt idx="9">
                  <c:v>1.2930803208317001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8F-48B8-A6FB-261E615122E3}"/>
            </c:ext>
          </c:extLst>
        </c:ser>
        <c:ser>
          <c:idx val="1"/>
          <c:order val="1"/>
          <c:tx>
            <c:strRef>
              <c:f>Shots!$C$1</c:f>
              <c:strCache>
                <c:ptCount val="1"/>
                <c:pt idx="0">
                  <c:v>Shots Against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Shots!$A$2:$A$11</c:f>
              <c:strCache>
                <c:ptCount val="10"/>
                <c:pt idx="0">
                  <c:v>Brasil</c:v>
                </c:pt>
                <c:pt idx="1">
                  <c:v>Argentina</c:v>
                </c:pt>
                <c:pt idx="2">
                  <c:v>Ecuador</c:v>
                </c:pt>
                <c:pt idx="3">
                  <c:v>Uruguay</c:v>
                </c:pt>
                <c:pt idx="4">
                  <c:v>Colombia</c:v>
                </c:pt>
                <c:pt idx="5">
                  <c:v>Chile</c:v>
                </c:pt>
                <c:pt idx="6">
                  <c:v>Paraguay</c:v>
                </c:pt>
                <c:pt idx="7">
                  <c:v>Perú</c:v>
                </c:pt>
                <c:pt idx="8">
                  <c:v>Venezuela</c:v>
                </c:pt>
                <c:pt idx="9">
                  <c:v>Bolivia</c:v>
                </c:pt>
              </c:strCache>
            </c:strRef>
          </c:cat>
          <c:val>
            <c:numRef>
              <c:f>Shots!$C$2:$C$11</c:f>
              <c:numCache>
                <c:formatCode>0%</c:formatCode>
                <c:ptCount val="10"/>
                <c:pt idx="0">
                  <c:v>0.82558761136557945</c:v>
                </c:pt>
                <c:pt idx="1">
                  <c:v>0.91809926504179507</c:v>
                </c:pt>
                <c:pt idx="2">
                  <c:v>0.8810911145099749</c:v>
                </c:pt>
                <c:pt idx="3">
                  <c:v>0.99907034852355792</c:v>
                </c:pt>
                <c:pt idx="4">
                  <c:v>1.0405069918609831</c:v>
                </c:pt>
                <c:pt idx="5">
                  <c:v>0.88119533402168215</c:v>
                </c:pt>
                <c:pt idx="6">
                  <c:v>1.0833613125096064</c:v>
                </c:pt>
                <c:pt idx="7">
                  <c:v>0.86367859141815162</c:v>
                </c:pt>
                <c:pt idx="8">
                  <c:v>0.82371473793978112</c:v>
                </c:pt>
                <c:pt idx="9">
                  <c:v>1.0758240154547754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8F-48B8-A6FB-261E615122E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40736832"/>
        <c:axId val="640737160"/>
      </c:barChart>
      <c:catAx>
        <c:axId val="640736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40737160"/>
        <c:crosses val="autoZero"/>
        <c:auto val="1"/>
        <c:lblAlgn val="ctr"/>
        <c:lblOffset val="100"/>
        <c:noMultiLvlLbl val="0"/>
      </c:catAx>
      <c:valAx>
        <c:axId val="640737160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40736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2000" b="0" i="0" baseline="0">
                <a:effectLst/>
              </a:rPr>
              <a:t>Qatar 2022 World Cup Qualifiers</a:t>
            </a:r>
            <a:endParaRPr lang="es-MX" sz="2000">
              <a:effectLst/>
            </a:endParaRPr>
          </a:p>
          <a:p>
            <a:pPr>
              <a:defRPr sz="2000"/>
            </a:pPr>
            <a:r>
              <a:rPr lang="es-MX" sz="2000" b="0" i="0" baseline="0">
                <a:effectLst/>
              </a:rPr>
              <a:t>Shots on Target in Favor vs Shots in Target Against</a:t>
            </a:r>
            <a:endParaRPr lang="es-MX" sz="20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ShotsT!$B$1</c:f>
              <c:strCache>
                <c:ptCount val="1"/>
                <c:pt idx="0">
                  <c:v>Shots on Target in Favor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ShotsT!$A$2:$A$11</c:f>
              <c:strCache>
                <c:ptCount val="10"/>
                <c:pt idx="0">
                  <c:v>Brasil</c:v>
                </c:pt>
                <c:pt idx="1">
                  <c:v>Argentina</c:v>
                </c:pt>
                <c:pt idx="2">
                  <c:v>Ecuador</c:v>
                </c:pt>
                <c:pt idx="3">
                  <c:v>Uruguay</c:v>
                </c:pt>
                <c:pt idx="4">
                  <c:v>Colombia</c:v>
                </c:pt>
                <c:pt idx="5">
                  <c:v>Chile</c:v>
                </c:pt>
                <c:pt idx="6">
                  <c:v>Paraguay</c:v>
                </c:pt>
                <c:pt idx="7">
                  <c:v>Perú</c:v>
                </c:pt>
                <c:pt idx="8">
                  <c:v>Venezuela</c:v>
                </c:pt>
                <c:pt idx="9">
                  <c:v>Bolivia</c:v>
                </c:pt>
              </c:strCache>
            </c:strRef>
          </c:cat>
          <c:val>
            <c:numRef>
              <c:f>ShotsT!$B$2:$B$11</c:f>
              <c:numCache>
                <c:formatCode>0%</c:formatCode>
                <c:ptCount val="10"/>
                <c:pt idx="0">
                  <c:v>0.87752362143053786</c:v>
                </c:pt>
                <c:pt idx="1">
                  <c:v>0.85229013792275699</c:v>
                </c:pt>
                <c:pt idx="2">
                  <c:v>0.77069455769947082</c:v>
                </c:pt>
                <c:pt idx="3">
                  <c:v>0.63008657285785774</c:v>
                </c:pt>
                <c:pt idx="4">
                  <c:v>0.76205805606610943</c:v>
                </c:pt>
                <c:pt idx="5">
                  <c:v>0.72342755640488221</c:v>
                </c:pt>
                <c:pt idx="6">
                  <c:v>0.69075742552662855</c:v>
                </c:pt>
                <c:pt idx="7">
                  <c:v>0.91200314106674352</c:v>
                </c:pt>
                <c:pt idx="8">
                  <c:v>0.787519452124121</c:v>
                </c:pt>
                <c:pt idx="9">
                  <c:v>0.95774203032430505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56-450B-86DC-C9308F30B936}"/>
            </c:ext>
          </c:extLst>
        </c:ser>
        <c:ser>
          <c:idx val="1"/>
          <c:order val="1"/>
          <c:tx>
            <c:strRef>
              <c:f>ShotsT!$C$1</c:f>
              <c:strCache>
                <c:ptCount val="1"/>
                <c:pt idx="0">
                  <c:v>Shots on Target Against</c:v>
                </c:pt>
              </c:strCache>
            </c:strRef>
          </c:tx>
          <c:spPr>
            <a:solidFill>
              <a:schemeClr val="accent4">
                <a:lumMod val="20000"/>
                <a:lumOff val="8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ShotsT!$A$2:$A$11</c:f>
              <c:strCache>
                <c:ptCount val="10"/>
                <c:pt idx="0">
                  <c:v>Brasil</c:v>
                </c:pt>
                <c:pt idx="1">
                  <c:v>Argentina</c:v>
                </c:pt>
                <c:pt idx="2">
                  <c:v>Ecuador</c:v>
                </c:pt>
                <c:pt idx="3">
                  <c:v>Uruguay</c:v>
                </c:pt>
                <c:pt idx="4">
                  <c:v>Colombia</c:v>
                </c:pt>
                <c:pt idx="5">
                  <c:v>Chile</c:v>
                </c:pt>
                <c:pt idx="6">
                  <c:v>Paraguay</c:v>
                </c:pt>
                <c:pt idx="7">
                  <c:v>Perú</c:v>
                </c:pt>
                <c:pt idx="8">
                  <c:v>Venezuela</c:v>
                </c:pt>
                <c:pt idx="9">
                  <c:v>Bolivia</c:v>
                </c:pt>
              </c:strCache>
            </c:strRef>
          </c:cat>
          <c:val>
            <c:numRef>
              <c:f>ShotsT!$C$2:$C$11</c:f>
              <c:numCache>
                <c:formatCode>0%</c:formatCode>
                <c:ptCount val="10"/>
                <c:pt idx="0">
                  <c:v>0.66456552115147782</c:v>
                </c:pt>
                <c:pt idx="1">
                  <c:v>0.81607464322913248</c:v>
                </c:pt>
                <c:pt idx="2">
                  <c:v>0.59403559893825775</c:v>
                </c:pt>
                <c:pt idx="3">
                  <c:v>1.0179226122388829</c:v>
                </c:pt>
                <c:pt idx="4">
                  <c:v>0.93279295886084113</c:v>
                </c:pt>
                <c:pt idx="5">
                  <c:v>0.74874621369726824</c:v>
                </c:pt>
                <c:pt idx="6">
                  <c:v>0.75675233831449573</c:v>
                </c:pt>
                <c:pt idx="7">
                  <c:v>0.71389558705273115</c:v>
                </c:pt>
                <c:pt idx="8">
                  <c:v>0.7243417153593027</c:v>
                </c:pt>
                <c:pt idx="9">
                  <c:v>0.93043412613082999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56-450B-86DC-C9308F30B93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89915896"/>
        <c:axId val="689907696"/>
      </c:barChart>
      <c:catAx>
        <c:axId val="689915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89907696"/>
        <c:crosses val="autoZero"/>
        <c:auto val="1"/>
        <c:lblAlgn val="ctr"/>
        <c:lblOffset val="100"/>
        <c:noMultiLvlLbl val="0"/>
      </c:catAx>
      <c:valAx>
        <c:axId val="689907696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89915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2000" b="0" i="0" baseline="0">
                <a:effectLst/>
              </a:rPr>
              <a:t>Qatar 2022 World Cup Qualifiers</a:t>
            </a:r>
            <a:endParaRPr lang="es-MX" sz="2000">
              <a:effectLst/>
            </a:endParaRPr>
          </a:p>
          <a:p>
            <a:pPr>
              <a:defRPr sz="2000"/>
            </a:pPr>
            <a:r>
              <a:rPr lang="es-MX" sz="2000" b="0" i="0" baseline="0">
                <a:effectLst/>
              </a:rPr>
              <a:t>Fouls Committed vs Fouls Received</a:t>
            </a:r>
            <a:endParaRPr lang="es-MX" sz="20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Fouls!$B$1</c:f>
              <c:strCache>
                <c:ptCount val="1"/>
                <c:pt idx="0">
                  <c:v>Fouls Committed</c:v>
                </c:pt>
              </c:strCache>
            </c:strRef>
          </c:tx>
          <c:spPr>
            <a:solidFill>
              <a:srgbClr val="7030A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Fouls!$A$2:$A$11</c:f>
              <c:strCache>
                <c:ptCount val="10"/>
                <c:pt idx="0">
                  <c:v>Brasil</c:v>
                </c:pt>
                <c:pt idx="1">
                  <c:v>Argentina</c:v>
                </c:pt>
                <c:pt idx="2">
                  <c:v>Ecuador</c:v>
                </c:pt>
                <c:pt idx="3">
                  <c:v>Uruguay</c:v>
                </c:pt>
                <c:pt idx="4">
                  <c:v>Colombia</c:v>
                </c:pt>
                <c:pt idx="5">
                  <c:v>Chile</c:v>
                </c:pt>
                <c:pt idx="6">
                  <c:v>Paraguay</c:v>
                </c:pt>
                <c:pt idx="7">
                  <c:v>Perú</c:v>
                </c:pt>
                <c:pt idx="8">
                  <c:v>Venezuela</c:v>
                </c:pt>
                <c:pt idx="9">
                  <c:v>Bolivia</c:v>
                </c:pt>
              </c:strCache>
            </c:strRef>
          </c:cat>
          <c:val>
            <c:numRef>
              <c:f>Fouls!$B$2:$B$11</c:f>
              <c:numCache>
                <c:formatCode>0%</c:formatCode>
                <c:ptCount val="10"/>
                <c:pt idx="0">
                  <c:v>1.0956442678903071</c:v>
                </c:pt>
                <c:pt idx="1">
                  <c:v>1.0205335871235375</c:v>
                </c:pt>
                <c:pt idx="2">
                  <c:v>1.0358604094035893</c:v>
                </c:pt>
                <c:pt idx="3">
                  <c:v>0.98824992006863166</c:v>
                </c:pt>
                <c:pt idx="4">
                  <c:v>1.2389891147124374</c:v>
                </c:pt>
                <c:pt idx="5">
                  <c:v>1.1655647728190255</c:v>
                </c:pt>
                <c:pt idx="6">
                  <c:v>1.0673580451951421</c:v>
                </c:pt>
                <c:pt idx="7">
                  <c:v>1.21777116311092</c:v>
                </c:pt>
                <c:pt idx="8">
                  <c:v>1.0497452630219586</c:v>
                </c:pt>
                <c:pt idx="9">
                  <c:v>0.91047609210640923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16-4474-A177-F68C91EE0575}"/>
            </c:ext>
          </c:extLst>
        </c:ser>
        <c:ser>
          <c:idx val="1"/>
          <c:order val="1"/>
          <c:tx>
            <c:strRef>
              <c:f>Fouls!$C$1</c:f>
              <c:strCache>
                <c:ptCount val="1"/>
                <c:pt idx="0">
                  <c:v>Fouls Received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Fouls!$A$2:$A$11</c:f>
              <c:strCache>
                <c:ptCount val="10"/>
                <c:pt idx="0">
                  <c:v>Brasil</c:v>
                </c:pt>
                <c:pt idx="1">
                  <c:v>Argentina</c:v>
                </c:pt>
                <c:pt idx="2">
                  <c:v>Ecuador</c:v>
                </c:pt>
                <c:pt idx="3">
                  <c:v>Uruguay</c:v>
                </c:pt>
                <c:pt idx="4">
                  <c:v>Colombia</c:v>
                </c:pt>
                <c:pt idx="5">
                  <c:v>Chile</c:v>
                </c:pt>
                <c:pt idx="6">
                  <c:v>Paraguay</c:v>
                </c:pt>
                <c:pt idx="7">
                  <c:v>Perú</c:v>
                </c:pt>
                <c:pt idx="8">
                  <c:v>Venezuela</c:v>
                </c:pt>
                <c:pt idx="9">
                  <c:v>Bolivia</c:v>
                </c:pt>
              </c:strCache>
            </c:strRef>
          </c:cat>
          <c:val>
            <c:numRef>
              <c:f>Fouls!$C$2:$C$11</c:f>
              <c:numCache>
                <c:formatCode>0%</c:formatCode>
                <c:ptCount val="10"/>
                <c:pt idx="0">
                  <c:v>1.1988761499837168</c:v>
                </c:pt>
                <c:pt idx="1">
                  <c:v>1.2320433441280372</c:v>
                </c:pt>
                <c:pt idx="2">
                  <c:v>0.99360686915917085</c:v>
                </c:pt>
                <c:pt idx="3">
                  <c:v>0.9851173032764905</c:v>
                </c:pt>
                <c:pt idx="4">
                  <c:v>1.1596732390524025</c:v>
                </c:pt>
                <c:pt idx="5">
                  <c:v>1.1643211435676362</c:v>
                </c:pt>
                <c:pt idx="6">
                  <c:v>0.92253676750430991</c:v>
                </c:pt>
                <c:pt idx="7">
                  <c:v>1.1410493241522395</c:v>
                </c:pt>
                <c:pt idx="8">
                  <c:v>1.0408286452486306</c:v>
                </c:pt>
                <c:pt idx="9">
                  <c:v>0.95938256666128663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16-4474-A177-F68C91EE057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42456600"/>
        <c:axId val="642462832"/>
      </c:barChart>
      <c:catAx>
        <c:axId val="642456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42462832"/>
        <c:crosses val="autoZero"/>
        <c:auto val="1"/>
        <c:lblAlgn val="ctr"/>
        <c:lblOffset val="100"/>
        <c:noMultiLvlLbl val="0"/>
      </c:catAx>
      <c:valAx>
        <c:axId val="642462832"/>
        <c:scaling>
          <c:orientation val="minMax"/>
          <c:max val="1.6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42456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YCards!$B$1</c:f>
              <c:strCache>
                <c:ptCount val="1"/>
                <c:pt idx="0">
                  <c:v>%Ycard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YCards!$A$2:$A$11</c:f>
              <c:strCache>
                <c:ptCount val="10"/>
                <c:pt idx="0">
                  <c:v>Brasil</c:v>
                </c:pt>
                <c:pt idx="1">
                  <c:v>Argentina</c:v>
                </c:pt>
                <c:pt idx="2">
                  <c:v>Ecuador</c:v>
                </c:pt>
                <c:pt idx="3">
                  <c:v>Uruguay</c:v>
                </c:pt>
                <c:pt idx="4">
                  <c:v>Colombia</c:v>
                </c:pt>
                <c:pt idx="5">
                  <c:v>Chile</c:v>
                </c:pt>
                <c:pt idx="6">
                  <c:v>Paraguay</c:v>
                </c:pt>
                <c:pt idx="7">
                  <c:v>Perú</c:v>
                </c:pt>
                <c:pt idx="8">
                  <c:v>Venezuela</c:v>
                </c:pt>
                <c:pt idx="9">
                  <c:v>Bolivia</c:v>
                </c:pt>
              </c:strCache>
            </c:strRef>
          </c:cat>
          <c:val>
            <c:numRef>
              <c:f>YCards!$B$2:$B$11</c:f>
              <c:numCache>
                <c:formatCode>0%</c:formatCode>
                <c:ptCount val="10"/>
                <c:pt idx="0">
                  <c:v>1.2878617013016702</c:v>
                </c:pt>
                <c:pt idx="1">
                  <c:v>0.99248693919640751</c:v>
                </c:pt>
                <c:pt idx="2">
                  <c:v>1.2167768037941478</c:v>
                </c:pt>
                <c:pt idx="3">
                  <c:v>0.90178408292511358</c:v>
                </c:pt>
                <c:pt idx="4">
                  <c:v>1.4379742860945568</c:v>
                </c:pt>
                <c:pt idx="5">
                  <c:v>1.6508935836127201</c:v>
                </c:pt>
                <c:pt idx="6">
                  <c:v>1.3597281951222122</c:v>
                </c:pt>
                <c:pt idx="7">
                  <c:v>1.2250117605353352</c:v>
                </c:pt>
                <c:pt idx="8">
                  <c:v>1.1903990006651941</c:v>
                </c:pt>
                <c:pt idx="9">
                  <c:v>1.3707768850999424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57-47A8-912A-FD28D5C4D01D}"/>
            </c:ext>
          </c:extLst>
        </c:ser>
        <c:ser>
          <c:idx val="1"/>
          <c:order val="1"/>
          <c:tx>
            <c:strRef>
              <c:f>YCards!$C$1</c:f>
              <c:strCache>
                <c:ptCount val="1"/>
                <c:pt idx="0">
                  <c:v>%YCardA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YCards!$A$2:$A$11</c:f>
              <c:strCache>
                <c:ptCount val="10"/>
                <c:pt idx="0">
                  <c:v>Brasil</c:v>
                </c:pt>
                <c:pt idx="1">
                  <c:v>Argentina</c:v>
                </c:pt>
                <c:pt idx="2">
                  <c:v>Ecuador</c:v>
                </c:pt>
                <c:pt idx="3">
                  <c:v>Uruguay</c:v>
                </c:pt>
                <c:pt idx="4">
                  <c:v>Colombia</c:v>
                </c:pt>
                <c:pt idx="5">
                  <c:v>Chile</c:v>
                </c:pt>
                <c:pt idx="6">
                  <c:v>Paraguay</c:v>
                </c:pt>
                <c:pt idx="7">
                  <c:v>Perú</c:v>
                </c:pt>
                <c:pt idx="8">
                  <c:v>Venezuela</c:v>
                </c:pt>
                <c:pt idx="9">
                  <c:v>Bolivia</c:v>
                </c:pt>
              </c:strCache>
            </c:strRef>
          </c:cat>
          <c:val>
            <c:numRef>
              <c:f>YCards!$C$2:$C$11</c:f>
              <c:numCache>
                <c:formatCode>0%</c:formatCode>
                <c:ptCount val="10"/>
                <c:pt idx="0">
                  <c:v>1.6863899746030775</c:v>
                </c:pt>
                <c:pt idx="1">
                  <c:v>1.214920714793698</c:v>
                </c:pt>
                <c:pt idx="2">
                  <c:v>1.2206770207877129</c:v>
                </c:pt>
                <c:pt idx="3">
                  <c:v>0.95554821183778971</c:v>
                </c:pt>
                <c:pt idx="4">
                  <c:v>1.5491130006199199</c:v>
                </c:pt>
                <c:pt idx="5">
                  <c:v>1.2559772886082272</c:v>
                </c:pt>
                <c:pt idx="6">
                  <c:v>1.3845656302508886</c:v>
                </c:pt>
                <c:pt idx="7">
                  <c:v>1.3100859715561357</c:v>
                </c:pt>
                <c:pt idx="8">
                  <c:v>1.0073528011456625</c:v>
                </c:pt>
                <c:pt idx="9">
                  <c:v>1.0286862083062025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57-47A8-912A-FD28D5C4D0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9096008"/>
        <c:axId val="698634776"/>
      </c:barChart>
      <c:catAx>
        <c:axId val="589096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98634776"/>
        <c:crosses val="autoZero"/>
        <c:auto val="1"/>
        <c:lblAlgn val="ctr"/>
        <c:lblOffset val="100"/>
        <c:noMultiLvlLbl val="0"/>
      </c:catAx>
      <c:valAx>
        <c:axId val="698634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89096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png"/><Relationship Id="rId3" Type="http://schemas.openxmlformats.org/officeDocument/2006/relationships/hyperlink" Target="http://www.all-flags-world.com/country-flag/Ecuador/national-ecuadorian-flag.php" TargetMode="External"/><Relationship Id="rId7" Type="http://schemas.openxmlformats.org/officeDocument/2006/relationships/hyperlink" Target="https://es.wikipedia.org/wiki/Venezuela_en_los_Juegos_Ol%C3%ADmpicos_de_Tokio_2020" TargetMode="External"/><Relationship Id="rId2" Type="http://schemas.openxmlformats.org/officeDocument/2006/relationships/image" Target="../media/image7.jpeg"/><Relationship Id="rId1" Type="http://schemas.openxmlformats.org/officeDocument/2006/relationships/chart" Target="../charts/chart4.xml"/><Relationship Id="rId6" Type="http://schemas.openxmlformats.org/officeDocument/2006/relationships/image" Target="../media/image9.png"/><Relationship Id="rId5" Type="http://schemas.openxmlformats.org/officeDocument/2006/relationships/hyperlink" Target="https://en.wikipedia.org/wiki/Flag_of_Uruguay" TargetMode="External"/><Relationship Id="rId4" Type="http://schemas.openxmlformats.org/officeDocument/2006/relationships/image" Target="../media/image8.png"/><Relationship Id="rId9" Type="http://schemas.openxmlformats.org/officeDocument/2006/relationships/hyperlink" Target="https://commons.wikimedia.org/wiki/File:Flag_of_Bolivia_(state).svg" TargetMode="Externa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File:Flag_of_Chile.svg" TargetMode="External"/><Relationship Id="rId3" Type="http://schemas.openxmlformats.org/officeDocument/2006/relationships/image" Target="../media/image2.jpg"/><Relationship Id="rId7" Type="http://schemas.openxmlformats.org/officeDocument/2006/relationships/image" Target="../media/image4.png"/><Relationship Id="rId12" Type="http://schemas.openxmlformats.org/officeDocument/2006/relationships/hyperlink" Target="https://en.wikipedia.org/wiki/Military_of_Peru" TargetMode="External"/><Relationship Id="rId2" Type="http://schemas.openxmlformats.org/officeDocument/2006/relationships/hyperlink" Target="http://www.all-flags-world.com/country-flag/Brazil/national-brazilian-flag.php" TargetMode="External"/><Relationship Id="rId1" Type="http://schemas.openxmlformats.org/officeDocument/2006/relationships/image" Target="../media/image1.jpg"/><Relationship Id="rId6" Type="http://schemas.openxmlformats.org/officeDocument/2006/relationships/hyperlink" Target="https://en.wikipedia.org/wiki/Flag_of_Colombia" TargetMode="External"/><Relationship Id="rId11" Type="http://schemas.openxmlformats.org/officeDocument/2006/relationships/image" Target="../media/image6.png"/><Relationship Id="rId5" Type="http://schemas.openxmlformats.org/officeDocument/2006/relationships/image" Target="../media/image3.png"/><Relationship Id="rId10" Type="http://schemas.openxmlformats.org/officeDocument/2006/relationships/hyperlink" Target="https://en.wikipedia.org/wiki/File:Flag_of_Paraguay_(reverse).svg" TargetMode="External"/><Relationship Id="rId4" Type="http://schemas.openxmlformats.org/officeDocument/2006/relationships/hyperlink" Target="http://www.all-flags-world.com/country-flag/flag-argentina.php" TargetMode="External"/><Relationship Id="rId9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16668</xdr:colOff>
      <xdr:row>1</xdr:row>
      <xdr:rowOff>2380</xdr:rowOff>
    </xdr:from>
    <xdr:to>
      <xdr:col>16</xdr:col>
      <xdr:colOff>628650</xdr:colOff>
      <xdr:row>29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EF86E1-73F0-4F25-80BE-432803BFEF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7142</xdr:colOff>
      <xdr:row>1</xdr:row>
      <xdr:rowOff>11906</xdr:rowOff>
    </xdr:from>
    <xdr:to>
      <xdr:col>16</xdr:col>
      <xdr:colOff>647699</xdr:colOff>
      <xdr:row>29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41C7A1-71FF-44C2-B498-E6781F5AC6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645317</xdr:colOff>
      <xdr:row>0</xdr:row>
      <xdr:rowOff>178593</xdr:rowOff>
    </xdr:from>
    <xdr:to>
      <xdr:col>17</xdr:col>
      <xdr:colOff>4762</xdr:colOff>
      <xdr:row>28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F2F9D1-48E6-4611-8E01-8CCD940306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7143</xdr:colOff>
      <xdr:row>1</xdr:row>
      <xdr:rowOff>2380</xdr:rowOff>
    </xdr:from>
    <xdr:to>
      <xdr:col>17</xdr:col>
      <xdr:colOff>4763</xdr:colOff>
      <xdr:row>28</xdr:row>
      <xdr:rowOff>28574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6890BD7-6CE9-46FA-8463-37AD51DA5B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440532</xdr:colOff>
      <xdr:row>8</xdr:row>
      <xdr:rowOff>51597</xdr:rowOff>
    </xdr:from>
    <xdr:to>
      <xdr:col>11</xdr:col>
      <xdr:colOff>103188</xdr:colOff>
      <xdr:row>9</xdr:row>
      <xdr:rowOff>75408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2406D37-1483-4F37-AC53-62C582DC0C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"/>
            </a:ext>
          </a:extLst>
        </a:blip>
        <a:stretch>
          <a:fillRect/>
        </a:stretch>
      </xdr:blipFill>
      <xdr:spPr>
        <a:xfrm>
          <a:off x="6909595" y="1512097"/>
          <a:ext cx="309562" cy="206374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6</xdr:col>
      <xdr:colOff>408779</xdr:colOff>
      <xdr:row>18</xdr:row>
      <xdr:rowOff>19843</xdr:rowOff>
    </xdr:from>
    <xdr:to>
      <xdr:col>7</xdr:col>
      <xdr:colOff>75406</xdr:colOff>
      <xdr:row>19</xdr:row>
      <xdr:rowOff>63499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8477C1A2-6D08-429A-BDD8-4430ABFC3E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5"/>
            </a:ext>
          </a:extLst>
        </a:blip>
        <a:stretch>
          <a:fillRect/>
        </a:stretch>
      </xdr:blipFill>
      <xdr:spPr>
        <a:xfrm>
          <a:off x="4290217" y="3305968"/>
          <a:ext cx="313533" cy="226219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7</xdr:col>
      <xdr:colOff>293689</xdr:colOff>
      <xdr:row>13</xdr:row>
      <xdr:rowOff>0</xdr:rowOff>
    </xdr:from>
    <xdr:to>
      <xdr:col>7</xdr:col>
      <xdr:colOff>615156</xdr:colOff>
      <xdr:row>14</xdr:row>
      <xdr:rowOff>15875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E9D1AC0E-5FAE-4216-83F4-D701F5C9DC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7"/>
            </a:ext>
          </a:extLst>
        </a:blip>
        <a:stretch>
          <a:fillRect/>
        </a:stretch>
      </xdr:blipFill>
      <xdr:spPr>
        <a:xfrm>
          <a:off x="4822033" y="2373313"/>
          <a:ext cx="321467" cy="198437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13</xdr:col>
      <xdr:colOff>480218</xdr:colOff>
      <xdr:row>13</xdr:row>
      <xdr:rowOff>55563</xdr:rowOff>
    </xdr:from>
    <xdr:to>
      <xdr:col>14</xdr:col>
      <xdr:colOff>166686</xdr:colOff>
      <xdr:row>14</xdr:row>
      <xdr:rowOff>100372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BEDE85D3-E175-4DFD-934C-830C172323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9"/>
            </a:ext>
          </a:extLst>
        </a:blip>
        <a:stretch>
          <a:fillRect/>
        </a:stretch>
      </xdr:blipFill>
      <xdr:spPr>
        <a:xfrm>
          <a:off x="8890000" y="2428876"/>
          <a:ext cx="333374" cy="227371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0.48364</cdr:x>
      <cdr:y>0.22155</cdr:y>
    </cdr:from>
    <cdr:to>
      <cdr:x>0.52079</cdr:x>
      <cdr:y>0.26178</cdr:y>
    </cdr:to>
    <cdr:pic>
      <cdr:nvPicPr>
        <cdr:cNvPr id="3" name="Picture 2">
          <a:extLst xmlns:a="http://schemas.openxmlformats.org/drawingml/2006/main">
            <a:ext uri="{FF2B5EF4-FFF2-40B4-BE49-F238E27FC236}">
              <a16:creationId xmlns:a16="http://schemas.microsoft.com/office/drawing/2014/main" id="{A56A785E-0D38-4753-A968-06FFA94DE91A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4066141" y="1097883"/>
          <a:ext cx="312335" cy="199355"/>
        </a:xfrm>
        <a:prstGeom xmlns:a="http://schemas.openxmlformats.org/drawingml/2006/main" prst="rect">
          <a:avLst/>
        </a:prstGeom>
        <a:ln xmlns:a="http://schemas.openxmlformats.org/drawingml/2006/main">
          <a:solidFill>
            <a:sysClr val="windowText" lastClr="000000"/>
          </a:solidFill>
        </a:ln>
      </cdr:spPr>
    </cdr:pic>
  </cdr:relSizeAnchor>
  <cdr:relSizeAnchor xmlns:cdr="http://schemas.openxmlformats.org/drawingml/2006/chartDrawing">
    <cdr:from>
      <cdr:x>0.12509</cdr:x>
      <cdr:y>0.32756</cdr:y>
    </cdr:from>
    <cdr:to>
      <cdr:x>0.16237</cdr:x>
      <cdr:y>0.36793</cdr:y>
    </cdr:to>
    <cdr:pic>
      <cdr:nvPicPr>
        <cdr:cNvPr id="5" name="Picture 4">
          <a:extLst xmlns:a="http://schemas.openxmlformats.org/drawingml/2006/main">
            <a:ext uri="{FF2B5EF4-FFF2-40B4-BE49-F238E27FC236}">
              <a16:creationId xmlns:a16="http://schemas.microsoft.com/office/drawing/2014/main" id="{10ABC400-C83F-4C39-8462-E4F1B68D7E19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4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1051684" y="1623198"/>
          <a:ext cx="313428" cy="200049"/>
        </a:xfrm>
        <a:prstGeom xmlns:a="http://schemas.openxmlformats.org/drawingml/2006/main" prst="rect">
          <a:avLst/>
        </a:prstGeom>
        <a:ln xmlns:a="http://schemas.openxmlformats.org/drawingml/2006/main">
          <a:solidFill>
            <a:sysClr val="windowText" lastClr="000000"/>
          </a:solidFill>
        </a:ln>
      </cdr:spPr>
    </cdr:pic>
  </cdr:relSizeAnchor>
  <cdr:relSizeAnchor xmlns:cdr="http://schemas.openxmlformats.org/drawingml/2006/chartDrawing">
    <cdr:from>
      <cdr:x>0.34035</cdr:x>
      <cdr:y>0.61749</cdr:y>
    </cdr:from>
    <cdr:to>
      <cdr:x>0.37868</cdr:x>
      <cdr:y>0.65946</cdr:y>
    </cdr:to>
    <cdr:pic>
      <cdr:nvPicPr>
        <cdr:cNvPr id="7" name="Picture 6">
          <a:extLst xmlns:a="http://schemas.openxmlformats.org/drawingml/2006/main">
            <a:ext uri="{FF2B5EF4-FFF2-40B4-BE49-F238E27FC236}">
              <a16:creationId xmlns:a16="http://schemas.microsoft.com/office/drawing/2014/main" id="{FF029C33-E6D0-499B-83CB-7BA84153495D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6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2861459" y="3059912"/>
          <a:ext cx="322256" cy="207978"/>
        </a:xfrm>
        <a:prstGeom xmlns:a="http://schemas.openxmlformats.org/drawingml/2006/main" prst="rect">
          <a:avLst/>
        </a:prstGeom>
        <a:ln xmlns:a="http://schemas.openxmlformats.org/drawingml/2006/main">
          <a:solidFill>
            <a:sysClr val="windowText" lastClr="000000"/>
          </a:solidFill>
        </a:ln>
      </cdr:spPr>
    </cdr:pic>
  </cdr:relSizeAnchor>
  <cdr:relSizeAnchor xmlns:cdr="http://schemas.openxmlformats.org/drawingml/2006/chartDrawing">
    <cdr:from>
      <cdr:x>0.30353</cdr:x>
      <cdr:y>0.39084</cdr:y>
    </cdr:from>
    <cdr:to>
      <cdr:x>0.33998</cdr:x>
      <cdr:y>0.43026</cdr:y>
    </cdr:to>
    <cdr:pic>
      <cdr:nvPicPr>
        <cdr:cNvPr id="9" name="Picture 8">
          <a:extLst xmlns:a="http://schemas.openxmlformats.org/drawingml/2006/main">
            <a:ext uri="{FF2B5EF4-FFF2-40B4-BE49-F238E27FC236}">
              <a16:creationId xmlns:a16="http://schemas.microsoft.com/office/drawing/2014/main" id="{0D970088-3012-4676-B59B-80D123160D71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8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2551866" y="1936752"/>
          <a:ext cx="306450" cy="195341"/>
        </a:xfrm>
        <a:prstGeom xmlns:a="http://schemas.openxmlformats.org/drawingml/2006/main" prst="rect">
          <a:avLst/>
        </a:prstGeom>
        <a:ln xmlns:a="http://schemas.openxmlformats.org/drawingml/2006/main">
          <a:solidFill>
            <a:sysClr val="windowText" lastClr="000000"/>
          </a:solidFill>
        </a:ln>
      </cdr:spPr>
    </cdr:pic>
  </cdr:relSizeAnchor>
  <cdr:relSizeAnchor xmlns:cdr="http://schemas.openxmlformats.org/drawingml/2006/chartDrawing">
    <cdr:from>
      <cdr:x>0.08969</cdr:x>
      <cdr:y>0.46532</cdr:y>
    </cdr:from>
    <cdr:to>
      <cdr:x>0.12755</cdr:x>
      <cdr:y>0.50729</cdr:y>
    </cdr:to>
    <cdr:pic>
      <cdr:nvPicPr>
        <cdr:cNvPr id="11" name="Picture 10">
          <a:extLst xmlns:a="http://schemas.openxmlformats.org/drawingml/2006/main">
            <a:ext uri="{FF2B5EF4-FFF2-40B4-BE49-F238E27FC236}">
              <a16:creationId xmlns:a16="http://schemas.microsoft.com/office/drawing/2014/main" id="{CAD50CCF-8AC4-4727-A510-7138FED19348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1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754079" y="2305834"/>
          <a:ext cx="318304" cy="207978"/>
        </a:xfrm>
        <a:prstGeom xmlns:a="http://schemas.openxmlformats.org/drawingml/2006/main" prst="rect">
          <a:avLst/>
        </a:prstGeom>
        <a:ln xmlns:a="http://schemas.openxmlformats.org/drawingml/2006/main">
          <a:solidFill>
            <a:sysClr val="windowText" lastClr="000000"/>
          </a:solidFill>
        </a:ln>
      </cdr:spPr>
    </cdr:pic>
  </cdr:relSizeAnchor>
  <cdr:relSizeAnchor xmlns:cdr="http://schemas.openxmlformats.org/drawingml/2006/chartDrawing">
    <cdr:from>
      <cdr:x>0.38284</cdr:x>
      <cdr:y>0.42768</cdr:y>
    </cdr:from>
    <cdr:to>
      <cdr:x>0.4209</cdr:x>
      <cdr:y>0.46885</cdr:y>
    </cdr:to>
    <cdr:pic>
      <cdr:nvPicPr>
        <cdr:cNvPr id="13" name="Picture 12">
          <a:extLst xmlns:a="http://schemas.openxmlformats.org/drawingml/2006/main">
            <a:ext uri="{FF2B5EF4-FFF2-40B4-BE49-F238E27FC236}">
              <a16:creationId xmlns:a16="http://schemas.microsoft.com/office/drawing/2014/main" id="{46A4A0CE-173E-4A72-8AAF-8D4A01D8A498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12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3218653" y="2119305"/>
          <a:ext cx="319986" cy="204013"/>
        </a:xfrm>
        <a:prstGeom xmlns:a="http://schemas.openxmlformats.org/drawingml/2006/main" prst="rect">
          <a:avLst/>
        </a:prstGeom>
        <a:ln xmlns:a="http://schemas.openxmlformats.org/drawingml/2006/main">
          <a:solidFill>
            <a:sysClr val="windowText" lastClr="000000"/>
          </a:solidFill>
        </a:ln>
      </cdr:spPr>
    </cdr:pic>
  </cdr:relSizeAnchor>
  <cdr:relSizeAnchor xmlns:cdr="http://schemas.openxmlformats.org/drawingml/2006/chartDrawing">
    <cdr:from>
      <cdr:x>0.72295</cdr:x>
      <cdr:y>0.74861</cdr:y>
    </cdr:from>
    <cdr:to>
      <cdr:x>0.97914</cdr:x>
      <cdr:y>0.99359</cdr:y>
    </cdr:to>
    <cdr:sp macro="" textlink="">
      <cdr:nvSpPr>
        <cdr:cNvPr id="14" name="Arrow: Right 13">
          <a:extLst xmlns:a="http://schemas.openxmlformats.org/drawingml/2006/main">
            <a:ext uri="{FF2B5EF4-FFF2-40B4-BE49-F238E27FC236}">
              <a16:creationId xmlns:a16="http://schemas.microsoft.com/office/drawing/2014/main" id="{51AA55B0-7954-4B5A-AAEF-37313AB489BD}"/>
            </a:ext>
          </a:extLst>
        </cdr:cNvPr>
        <cdr:cNvSpPr/>
      </cdr:nvSpPr>
      <cdr:spPr>
        <a:xfrm xmlns:a="http://schemas.openxmlformats.org/drawingml/2006/main">
          <a:off x="6101846" y="3695052"/>
          <a:ext cx="2162325" cy="1209231"/>
        </a:xfrm>
        <a:prstGeom xmlns:a="http://schemas.openxmlformats.org/drawingml/2006/main" prst="rightArrow">
          <a:avLst>
            <a:gd name="adj1" fmla="val 50000"/>
            <a:gd name="adj2" fmla="val 45443"/>
          </a:avLst>
        </a:prstGeom>
      </cdr:spPr>
      <cdr:style>
        <a:lnRef xmlns:a="http://schemas.openxmlformats.org/drawingml/2006/main" idx="2">
          <a:schemeClr val="accent1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 anchor="ctr"/>
        <a:lstStyle xmlns:a="http://schemas.openxmlformats.org/drawingml/2006/main"/>
        <a:p xmlns:a="http://schemas.openxmlformats.org/drawingml/2006/main">
          <a:pPr algn="ctr"/>
          <a:r>
            <a:rPr lang="es-MX" sz="1100"/>
            <a:t>The</a:t>
          </a:r>
          <a:r>
            <a:rPr lang="es-MX" sz="1100" baseline="0"/>
            <a:t> more to the right, the better Scored Goals performance</a:t>
          </a:r>
          <a:endParaRPr lang="es-MX" sz="1100"/>
        </a:p>
      </cdr:txBody>
    </cdr:sp>
  </cdr:relSizeAnchor>
  <cdr:relSizeAnchor xmlns:cdr="http://schemas.openxmlformats.org/drawingml/2006/chartDrawing">
    <cdr:from>
      <cdr:x>0.86145</cdr:x>
      <cdr:y>0.17059</cdr:y>
    </cdr:from>
    <cdr:to>
      <cdr:x>0.9934</cdr:x>
      <cdr:y>0.56255</cdr:y>
    </cdr:to>
    <cdr:sp macro="" textlink="">
      <cdr:nvSpPr>
        <cdr:cNvPr id="15" name="Arrow: Right 14">
          <a:extLst xmlns:a="http://schemas.openxmlformats.org/drawingml/2006/main">
            <a:ext uri="{FF2B5EF4-FFF2-40B4-BE49-F238E27FC236}">
              <a16:creationId xmlns:a16="http://schemas.microsoft.com/office/drawing/2014/main" id="{642D8DB6-B086-414F-A814-64C065D33BB2}"/>
            </a:ext>
          </a:extLst>
        </cdr:cNvPr>
        <cdr:cNvSpPr/>
      </cdr:nvSpPr>
      <cdr:spPr>
        <a:xfrm xmlns:a="http://schemas.openxmlformats.org/drawingml/2006/main" rot="16200000">
          <a:off x="6860325" y="1252500"/>
          <a:ext cx="1934675" cy="1113673"/>
        </a:xfrm>
        <a:prstGeom xmlns:a="http://schemas.openxmlformats.org/drawingml/2006/main" prst="rightArrow">
          <a:avLst/>
        </a:prstGeom>
      </cdr:spPr>
      <cdr:style>
        <a:lnRef xmlns:a="http://schemas.openxmlformats.org/drawingml/2006/main" idx="2">
          <a:schemeClr val="accent1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s-MX" sz="1100"/>
            <a:t>The further</a:t>
          </a:r>
          <a:r>
            <a:rPr lang="es-MX" sz="1100" baseline="0"/>
            <a:t> up, the better Conceded Goals performance</a:t>
          </a:r>
          <a:endParaRPr lang="es-MX" sz="1100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254794</xdr:colOff>
      <xdr:row>1</xdr:row>
      <xdr:rowOff>69055</xdr:rowOff>
    </xdr:from>
    <xdr:to>
      <xdr:col>15</xdr:col>
      <xdr:colOff>247650</xdr:colOff>
      <xdr:row>28</xdr:row>
      <xdr:rowOff>80961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AE431B-0767-4998-A4F1-71F4D58A4A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464343</xdr:colOff>
      <xdr:row>0</xdr:row>
      <xdr:rowOff>178593</xdr:rowOff>
    </xdr:from>
    <xdr:to>
      <xdr:col>15</xdr:col>
      <xdr:colOff>461963</xdr:colOff>
      <xdr:row>29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2010D0-C215-4FED-A4F2-6F850824ED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2380</xdr:colOff>
      <xdr:row>1</xdr:row>
      <xdr:rowOff>16668</xdr:rowOff>
    </xdr:from>
    <xdr:to>
      <xdr:col>17</xdr:col>
      <xdr:colOff>0</xdr:colOff>
      <xdr:row>29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629D4E-03E0-424E-B53B-255EBDD772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11904</xdr:colOff>
      <xdr:row>1</xdr:row>
      <xdr:rowOff>11905</xdr:rowOff>
    </xdr:from>
    <xdr:to>
      <xdr:col>17</xdr:col>
      <xdr:colOff>52387</xdr:colOff>
      <xdr:row>29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EC00FF-ED4E-483B-8CD4-6CF3F0B783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BH12" totalsRowCount="1">
  <autoFilter ref="A1:BH11" xr:uid="{00000000-0009-0000-0100-000001000000}"/>
  <sortState xmlns:xlrd2="http://schemas.microsoft.com/office/spreadsheetml/2017/richdata2" ref="A2:BH11">
    <sortCondition descending="1" ref="P1:P11"/>
  </sortState>
  <tableColumns count="60">
    <tableColumn id="1" xr3:uid="{00000000-0010-0000-0000-000001000000}" name="Ranking"/>
    <tableColumn id="2" xr3:uid="{00000000-0010-0000-0000-000002000000}" name="team"/>
    <tableColumn id="3" xr3:uid="{00000000-0010-0000-0000-000003000000}" name="Points" totalsRowFunction="custom">
      <totalsRowFormula>SUM(Table1[Points])</totalsRowFormula>
    </tableColumn>
    <tableColumn id="4" xr3:uid="{00000000-0010-0000-0000-000004000000}" name="xPoints" totalsRowFunction="sum"/>
    <tableColumn id="5" xr3:uid="{00000000-0010-0000-0000-000005000000}" name="Wins" totalsRowFunction="sum"/>
    <tableColumn id="6" xr3:uid="{00000000-0010-0000-0000-000006000000}" name="Draws" totalsRowFunction="sum"/>
    <tableColumn id="7" xr3:uid="{00000000-0010-0000-0000-000007000000}" name="Losses" totalsRowFunction="sum"/>
    <tableColumn id="8" xr3:uid="{00000000-0010-0000-0000-000008000000}" name="xWins" totalsRowFunction="sum"/>
    <tableColumn id="9" xr3:uid="{00000000-0010-0000-0000-000009000000}" name="xDraws" totalsRowFunction="sum"/>
    <tableColumn id="10" xr3:uid="{00000000-0010-0000-0000-00000A000000}" name="xLosses" totalsRowFunction="sum"/>
    <tableColumn id="11" xr3:uid="{00000000-0010-0000-0000-00000B000000}" name="GoalDiff" totalsRowFunction="stdDev"/>
    <tableColumn id="12" xr3:uid="{00000000-0010-0000-0000-00000C000000}" name="xGoalDiff" totalsRowFunction="stdDev"/>
    <tableColumn id="47" xr3:uid="{00000000-0010-0000-0000-00002F000000}" name="%GoalsF" dataCellStyle="Percent">
      <calculatedColumnFormula>Table1[[#This Row],[GoalsF]]/Table1[[#This Row],[xGoalsF]]</calculatedColumnFormula>
    </tableColumn>
    <tableColumn id="59" xr3:uid="{00000000-0010-0000-0000-00003B000000}" name="GoalsF_Diff" dataDxfId="10" dataCellStyle="Percent">
      <calculatedColumnFormula>Table1[[#This Row],[GoalsF]]-Table1[[#This Row],[xGoalsF]]</calculatedColumnFormula>
    </tableColumn>
    <tableColumn id="13" xr3:uid="{00000000-0010-0000-0000-00000D000000}" name="GoalsF" totalsRowFunction="sum"/>
    <tableColumn id="14" xr3:uid="{00000000-0010-0000-0000-00000E000000}" name="xGoalsF" totalsRowFunction="sum"/>
    <tableColumn id="48" xr3:uid="{00000000-0010-0000-0000-000030000000}" name="%GoalsA" dataCellStyle="Percent">
      <calculatedColumnFormula>Table1[[#This Row],[GoalsA]]/Table1[[#This Row],[xGoalsA]]</calculatedColumnFormula>
    </tableColumn>
    <tableColumn id="60" xr3:uid="{00000000-0010-0000-0000-00003C000000}" name="GoalsA_Diff" dataDxfId="9" dataCellStyle="Percent">
      <calculatedColumnFormula>Table1[[#This Row],[xGoalsA]]-Table1[[#This Row],[GoalsA]]</calculatedColumnFormula>
    </tableColumn>
    <tableColumn id="15" xr3:uid="{00000000-0010-0000-0000-00000F000000}" name="GoalsA" totalsRowFunction="sum"/>
    <tableColumn id="16" xr3:uid="{00000000-0010-0000-0000-000010000000}" name="xGoalsA" totalsRowFunction="sum"/>
    <tableColumn id="45" xr3:uid="{00000000-0010-0000-0000-00002D000000}" name="%2HGoalsF" dataCellStyle="Percent">
      <calculatedColumnFormula>Table1[[#This Row],[2HGoalsF]]/Table1[[#This Row],[x2HGoalsF]]</calculatedColumnFormula>
    </tableColumn>
    <tableColumn id="52" xr3:uid="{00000000-0010-0000-0000-000034000000}" name="d2HGoalsF" dataDxfId="8" dataCellStyle="Currency">
      <calculatedColumnFormula>Table1[[#This Row],[2HGoalsF]]-Table1[[#This Row],[x2HGoalsF]]</calculatedColumnFormula>
    </tableColumn>
    <tableColumn id="42" xr3:uid="{00000000-0010-0000-0000-00002A000000}" name="2HGoalsF" totalsRowFunction="sum" dataDxfId="7">
      <calculatedColumnFormula>Table1[[#This Row],[GoalsF]]-Table1[[#This Row],[HTGoalsF]]</calculatedColumnFormula>
    </tableColumn>
    <tableColumn id="41" xr3:uid="{00000000-0010-0000-0000-000029000000}" name="x2HGoalsF" totalsRowFunction="sum" dataDxfId="6">
      <calculatedColumnFormula>Table1[[#This Row],[xGoalsF]]-Table1[[#This Row],[xHTGoalsF]]</calculatedColumnFormula>
    </tableColumn>
    <tableColumn id="51" xr3:uid="{00000000-0010-0000-0000-000033000000}" name="d2HGoalsA" dataDxfId="5">
      <calculatedColumnFormula>Table1[[#This Row],[2HGoalsA]]-Table1[[#This Row],[x2HGoalsA]]</calculatedColumnFormula>
    </tableColumn>
    <tableColumn id="43" xr3:uid="{00000000-0010-0000-0000-00002B000000}" name="2HGoalsA" totalsRowFunction="sum" dataDxfId="4">
      <calculatedColumnFormula>Table1[[#This Row],[GoalsA]]-Table1[[#This Row],[HTGoalsA]]</calculatedColumnFormula>
    </tableColumn>
    <tableColumn id="44" xr3:uid="{00000000-0010-0000-0000-00002C000000}" name="x2HGoalsA" totalsRowFunction="sum" dataDxfId="3">
      <calculatedColumnFormula>Table1[[#This Row],[xGoalsA]]-Table1[[#This Row],[xHTGoalsA]]</calculatedColumnFormula>
    </tableColumn>
    <tableColumn id="46" xr3:uid="{00000000-0010-0000-0000-00002E000000}" name="%HTGoalsF" dataCellStyle="Percent">
      <calculatedColumnFormula>Table1[[#This Row],[HTGoalsF]]/Table1[[#This Row],[xHTGoalsF]]</calculatedColumnFormula>
    </tableColumn>
    <tableColumn id="17" xr3:uid="{00000000-0010-0000-0000-000011000000}" name="HTGoalsF" totalsRowFunction="sum"/>
    <tableColumn id="18" xr3:uid="{00000000-0010-0000-0000-000012000000}" name="xHTGoalsF" totalsRowFunction="sum"/>
    <tableColumn id="19" xr3:uid="{00000000-0010-0000-0000-000013000000}" name="HTGoalsA" totalsRowFunction="sum"/>
    <tableColumn id="20" xr3:uid="{00000000-0010-0000-0000-000014000000}" name="xHTGoalsA" totalsRowFunction="sum"/>
    <tableColumn id="49" xr3:uid="{00000000-0010-0000-0000-000031000000}" name="%ShotsF" dataCellStyle="Percent">
      <calculatedColumnFormula>Table1[[#This Row],[ShotsF]]/Table1[[#This Row],[xShotsF]]</calculatedColumnFormula>
    </tableColumn>
    <tableColumn id="21" xr3:uid="{00000000-0010-0000-0000-000015000000}" name="ShotsF" totalsRowFunction="sum"/>
    <tableColumn id="22" xr3:uid="{00000000-0010-0000-0000-000016000000}" name="xShotsF" totalsRowFunction="sum"/>
    <tableColumn id="50" xr3:uid="{00000000-0010-0000-0000-000032000000}" name="%ShotsA" dataCellStyle="Percent">
      <calculatedColumnFormula>Table1[[#This Row],[ShotsA]]/Table1[[#This Row],[xShotsA]]</calculatedColumnFormula>
    </tableColumn>
    <tableColumn id="23" xr3:uid="{00000000-0010-0000-0000-000017000000}" name="ShotsA" totalsRowFunction="sum"/>
    <tableColumn id="24" xr3:uid="{00000000-0010-0000-0000-000018000000}" name="xShotsA" totalsRowFunction="sum"/>
    <tableColumn id="53" xr3:uid="{00000000-0010-0000-0000-000035000000}" name="%ShotsTF" dataCellStyle="Percent">
      <calculatedColumnFormula>Table1[[#This Row],[ShotsTF]]/Table1[[#This Row],[xShotsTF]]</calculatedColumnFormula>
    </tableColumn>
    <tableColumn id="25" xr3:uid="{00000000-0010-0000-0000-000019000000}" name="ShotsTF" totalsRowFunction="sum"/>
    <tableColumn id="26" xr3:uid="{00000000-0010-0000-0000-00001A000000}" name="xShotsTF" totalsRowFunction="sum"/>
    <tableColumn id="54" xr3:uid="{00000000-0010-0000-0000-000036000000}" name="%ShotsTA" dataCellStyle="Percent">
      <calculatedColumnFormula>Table1[[#This Row],[ShotsTA]]/Table1[[#This Row],[xShotsTA]]</calculatedColumnFormula>
    </tableColumn>
    <tableColumn id="27" xr3:uid="{00000000-0010-0000-0000-00001B000000}" name="ShotsTA" totalsRowFunction="sum"/>
    <tableColumn id="28" xr3:uid="{00000000-0010-0000-0000-00001C000000}" name="xShotsTA" totalsRowFunction="sum"/>
    <tableColumn id="55" xr3:uid="{00000000-0010-0000-0000-000037000000}" name="%Fouls" totalsRowFunction="average" totalsRowDxfId="2" dataCellStyle="Percent">
      <calculatedColumnFormula>Table1[[#This Row],[Fouls]]/Table1[[#This Row],[xFouls]]</calculatedColumnFormula>
    </tableColumn>
    <tableColumn id="29" xr3:uid="{00000000-0010-0000-0000-00001D000000}" name="Fouls" totalsRowFunction="sum"/>
    <tableColumn id="30" xr3:uid="{00000000-0010-0000-0000-00001E000000}" name="xFouls" totalsRowFunction="sum"/>
    <tableColumn id="56" xr3:uid="{00000000-0010-0000-0000-000038000000}" name="%FoulsA" dataCellStyle="Percent">
      <calculatedColumnFormula>Table1[[#This Row],[FoulsA]]/Table1[[#This Row],[xFoulsA]]</calculatedColumnFormula>
    </tableColumn>
    <tableColumn id="31" xr3:uid="{00000000-0010-0000-0000-00001F000000}" name="FoulsA" totalsRowFunction="sum"/>
    <tableColumn id="32" xr3:uid="{00000000-0010-0000-0000-000020000000}" name="xFoulsA" totalsRowFunction="sum"/>
    <tableColumn id="57" xr3:uid="{00000000-0010-0000-0000-000039000000}" name="%Ycard" totalsRowFunction="average" totalsRowDxfId="1" dataCellStyle="Percent">
      <calculatedColumnFormula>Table1[[#This Row],[YCard]]/Table1[[#This Row],[xYCard]]</calculatedColumnFormula>
    </tableColumn>
    <tableColumn id="33" xr3:uid="{00000000-0010-0000-0000-000021000000}" name="YCard" totalsRowFunction="sum"/>
    <tableColumn id="34" xr3:uid="{00000000-0010-0000-0000-000022000000}" name="xYCard" totalsRowFunction="sum"/>
    <tableColumn id="58" xr3:uid="{00000000-0010-0000-0000-00003A000000}" name="%YCardA" totalsRowFunction="average" totalsRowDxfId="0" dataCellStyle="Percent">
      <calculatedColumnFormula>Table1[[#This Row],[YCardA]]/Table1[[#This Row],[xYCardA]]</calculatedColumnFormula>
    </tableColumn>
    <tableColumn id="35" xr3:uid="{00000000-0010-0000-0000-000023000000}" name="YCardA" totalsRowFunction="sum"/>
    <tableColumn id="36" xr3:uid="{00000000-0010-0000-0000-000024000000}" name="xYCardA" totalsRowFunction="sum"/>
    <tableColumn id="37" xr3:uid="{00000000-0010-0000-0000-000025000000}" name="RCard" totalsRowFunction="sum"/>
    <tableColumn id="38" xr3:uid="{00000000-0010-0000-0000-000026000000}" name="xRCard" totalsRowFunction="sum"/>
    <tableColumn id="39" xr3:uid="{00000000-0010-0000-0000-000027000000}" name="RCardA" totalsRowFunction="sum"/>
    <tableColumn id="40" xr3:uid="{00000000-0010-0000-0000-000028000000}" name="xRCardA" totalsRowFunction="sum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H16"/>
  <sheetViews>
    <sheetView tabSelected="1" workbookViewId="0">
      <pane xSplit="2" topLeftCell="C1" activePane="topRight" state="frozen"/>
      <selection pane="topRight" activeCell="O16" sqref="O16"/>
    </sheetView>
  </sheetViews>
  <sheetFormatPr defaultRowHeight="14.25" x14ac:dyDescent="0.45"/>
  <cols>
    <col min="12" max="14" width="9.9296875" customWidth="1"/>
    <col min="17" max="17" width="10" bestFit="1" customWidth="1"/>
    <col min="18" max="18" width="10" customWidth="1"/>
    <col min="21" max="21" width="11.86328125" bestFit="1" customWidth="1"/>
    <col min="22" max="22" width="11.86328125" customWidth="1"/>
    <col min="23" max="23" width="10.46484375" bestFit="1" customWidth="1"/>
    <col min="24" max="24" width="11.33203125" bestFit="1" customWidth="1"/>
    <col min="25" max="28" width="11.33203125" customWidth="1"/>
    <col min="29" max="29" width="10.3984375" bestFit="1" customWidth="1"/>
    <col min="30" max="30" width="11.73046875" bestFit="1" customWidth="1"/>
    <col min="31" max="31" width="10.73046875" bestFit="1" customWidth="1"/>
    <col min="32" max="32" width="11.73046875" bestFit="1" customWidth="1"/>
    <col min="33" max="33" width="9.73046875" bestFit="1" customWidth="1"/>
    <col min="36" max="36" width="10.06640625" bestFit="1" customWidth="1"/>
    <col min="39" max="39" width="10.6640625" bestFit="1" customWidth="1"/>
    <col min="40" max="40" width="9.265625" bestFit="1" customWidth="1"/>
    <col min="41" max="41" width="10" customWidth="1"/>
    <col min="42" max="42" width="11" bestFit="1" customWidth="1"/>
    <col min="43" max="43" width="9.59765625" bestFit="1" customWidth="1"/>
    <col min="44" max="45" width="11" customWidth="1"/>
    <col min="48" max="48" width="9.796875" bestFit="1" customWidth="1"/>
    <col min="54" max="54" width="10.19921875" bestFit="1" customWidth="1"/>
    <col min="56" max="56" width="9.1328125" customWidth="1"/>
    <col min="60" max="60" width="9.265625" customWidth="1"/>
  </cols>
  <sheetData>
    <row r="1" spans="1:60" x14ac:dyDescent="0.45">
      <c r="A1" t="s">
        <v>48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56</v>
      </c>
      <c r="N1" t="s">
        <v>80</v>
      </c>
      <c r="O1" t="s">
        <v>11</v>
      </c>
      <c r="P1" t="s">
        <v>12</v>
      </c>
      <c r="Q1" t="s">
        <v>57</v>
      </c>
      <c r="R1" t="s">
        <v>81</v>
      </c>
      <c r="S1" t="s">
        <v>13</v>
      </c>
      <c r="T1" t="s">
        <v>14</v>
      </c>
      <c r="U1" t="s">
        <v>54</v>
      </c>
      <c r="V1" t="s">
        <v>61</v>
      </c>
      <c r="W1" t="s">
        <v>50</v>
      </c>
      <c r="X1" t="s">
        <v>49</v>
      </c>
      <c r="Y1" t="s">
        <v>60</v>
      </c>
      <c r="Z1" t="s">
        <v>51</v>
      </c>
      <c r="AA1" t="s">
        <v>52</v>
      </c>
      <c r="AB1" t="s">
        <v>55</v>
      </c>
      <c r="AC1" t="s">
        <v>15</v>
      </c>
      <c r="AD1" t="s">
        <v>16</v>
      </c>
      <c r="AE1" t="s">
        <v>17</v>
      </c>
      <c r="AF1" t="s">
        <v>18</v>
      </c>
      <c r="AG1" t="s">
        <v>58</v>
      </c>
      <c r="AH1" t="s">
        <v>19</v>
      </c>
      <c r="AI1" t="s">
        <v>20</v>
      </c>
      <c r="AJ1" t="s">
        <v>59</v>
      </c>
      <c r="AK1" t="s">
        <v>21</v>
      </c>
      <c r="AL1" t="s">
        <v>22</v>
      </c>
      <c r="AM1" t="s">
        <v>62</v>
      </c>
      <c r="AN1" t="s">
        <v>23</v>
      </c>
      <c r="AO1" t="s">
        <v>24</v>
      </c>
      <c r="AP1" t="s">
        <v>63</v>
      </c>
      <c r="AQ1" t="s">
        <v>25</v>
      </c>
      <c r="AR1" t="s">
        <v>26</v>
      </c>
      <c r="AS1" t="s">
        <v>64</v>
      </c>
      <c r="AT1" t="s">
        <v>27</v>
      </c>
      <c r="AU1" t="s">
        <v>28</v>
      </c>
      <c r="AV1" t="s">
        <v>65</v>
      </c>
      <c r="AW1" t="s">
        <v>29</v>
      </c>
      <c r="AX1" t="s">
        <v>30</v>
      </c>
      <c r="AY1" t="s">
        <v>66</v>
      </c>
      <c r="AZ1" t="s">
        <v>31</v>
      </c>
      <c r="BA1" t="s">
        <v>32</v>
      </c>
      <c r="BB1" t="s">
        <v>67</v>
      </c>
      <c r="BC1" t="s">
        <v>33</v>
      </c>
      <c r="BD1" t="s">
        <v>34</v>
      </c>
      <c r="BE1" t="s">
        <v>35</v>
      </c>
      <c r="BF1" t="s">
        <v>36</v>
      </c>
      <c r="BG1" t="s">
        <v>37</v>
      </c>
      <c r="BH1" t="s">
        <v>38</v>
      </c>
    </row>
    <row r="2" spans="1:60" x14ac:dyDescent="0.45">
      <c r="A2">
        <v>2</v>
      </c>
      <c r="B2" t="s">
        <v>41</v>
      </c>
      <c r="C2">
        <v>34</v>
      </c>
      <c r="D2">
        <v>27.24275163375</v>
      </c>
      <c r="E2">
        <v>11</v>
      </c>
      <c r="F2">
        <v>1</v>
      </c>
      <c r="G2">
        <v>0</v>
      </c>
      <c r="H2">
        <v>8.2688522075374795</v>
      </c>
      <c r="I2">
        <v>2.4361950111376198</v>
      </c>
      <c r="J2">
        <v>1.29495278132489</v>
      </c>
      <c r="K2">
        <v>23</v>
      </c>
      <c r="L2">
        <v>17.3352674609771</v>
      </c>
      <c r="M2" s="1">
        <f>Table1[[#This Row],[GoalsF]]/Table1[[#This Row],[xGoalsF]]</f>
        <v>1.0001680730124201</v>
      </c>
      <c r="N2" s="5">
        <f>Table1[[#This Row],[GoalsF]]-Table1[[#This Row],[xGoalsF]]</f>
        <v>4.5372087529997884E-3</v>
      </c>
      <c r="O2">
        <v>27</v>
      </c>
      <c r="P2">
        <v>26.995462791247</v>
      </c>
      <c r="Q2" s="1">
        <f>Table1[[#This Row],[GoalsA]]/Table1[[#This Row],[xGoalsA]]</f>
        <v>0.41407030222941077</v>
      </c>
      <c r="R2" s="5">
        <f>Table1[[#This Row],[xGoalsA]]-Table1[[#This Row],[GoalsA]]</f>
        <v>5.6601953302699002</v>
      </c>
      <c r="S2">
        <v>4</v>
      </c>
      <c r="T2">
        <v>9.6601953302699002</v>
      </c>
      <c r="U2" s="1">
        <f>Table1[[#This Row],[2HGoalsF]]/Table1[[#This Row],[x2HGoalsF]]</f>
        <v>1.1242022081654117</v>
      </c>
      <c r="V2" s="3">
        <f>Table1[[#This Row],[2HGoalsF]]-Table1[[#This Row],[x2HGoalsF]]</f>
        <v>1.8781652655332</v>
      </c>
      <c r="W2">
        <f>Table1[[#This Row],[GoalsF]]-Table1[[#This Row],[HTGoalsF]]</f>
        <v>17</v>
      </c>
      <c r="X2">
        <f>Table1[[#This Row],[xGoalsF]]-Table1[[#This Row],[xHTGoalsF]]</f>
        <v>15.1218347344668</v>
      </c>
      <c r="Y2" s="2">
        <f>Table1[[#This Row],[2HGoalsA]]-Table1[[#This Row],[x2HGoalsA]]</f>
        <v>-3.41998544307868</v>
      </c>
      <c r="Z2">
        <f>Table1[[#This Row],[GoalsA]]-Table1[[#This Row],[HTGoalsA]]</f>
        <v>2</v>
      </c>
      <c r="AA2">
        <f>Table1[[#This Row],[xGoalsA]]-Table1[[#This Row],[xHTGoalsA]]</f>
        <v>5.41998544307868</v>
      </c>
      <c r="AB2" s="1">
        <f>Table1[[#This Row],[HTGoalsF]]/Table1[[#This Row],[xHTGoalsF]]</f>
        <v>0.8422025645556328</v>
      </c>
      <c r="AC2">
        <v>10</v>
      </c>
      <c r="AD2">
        <v>11.8736280567802</v>
      </c>
      <c r="AE2">
        <v>2</v>
      </c>
      <c r="AF2">
        <v>4.2402098871912202</v>
      </c>
      <c r="AG2" s="1">
        <f>Table1[[#This Row],[ShotsF]]/Table1[[#This Row],[xShotsF]]</f>
        <v>0.84380812031012398</v>
      </c>
      <c r="AH2">
        <v>158</v>
      </c>
      <c r="AI2">
        <v>187.24636110627901</v>
      </c>
      <c r="AJ2" s="1">
        <f>Table1[[#This Row],[ShotsA]]/Table1[[#This Row],[xShotsA]]</f>
        <v>0.82558761136557945</v>
      </c>
      <c r="AK2">
        <v>87</v>
      </c>
      <c r="AL2">
        <v>105.379488260605</v>
      </c>
      <c r="AM2" s="1">
        <f>Table1[[#This Row],[ShotsTF]]/Table1[[#This Row],[xShotsTF]]</f>
        <v>0.87752362143053786</v>
      </c>
      <c r="AN2">
        <v>72</v>
      </c>
      <c r="AO2">
        <v>82.0490733715244</v>
      </c>
      <c r="AP2" s="1">
        <f>Table1[[#This Row],[ShotsTA]]/Table1[[#This Row],[xShotsTA]]</f>
        <v>0.66456552115147782</v>
      </c>
      <c r="AQ2">
        <v>27</v>
      </c>
      <c r="AR2">
        <v>40.628048161778999</v>
      </c>
      <c r="AS2" s="1">
        <f>Table1[[#This Row],[Fouls]]/Table1[[#This Row],[xFouls]]</f>
        <v>1.0956442678903071</v>
      </c>
      <c r="AT2">
        <v>157</v>
      </c>
      <c r="AU2">
        <v>143.29468478150099</v>
      </c>
      <c r="AV2" s="1">
        <f>Table1[[#This Row],[FoulsA]]/Table1[[#This Row],[xFoulsA]]</f>
        <v>1.1988761499837168</v>
      </c>
      <c r="AW2">
        <v>194</v>
      </c>
      <c r="AX2">
        <v>161.818216170732</v>
      </c>
      <c r="AY2" s="1">
        <f>Table1[[#This Row],[YCard]]/Table1[[#This Row],[xYCard]]</f>
        <v>1.2878617013016702</v>
      </c>
      <c r="AZ2">
        <v>23</v>
      </c>
      <c r="BA2">
        <v>17.859060469577901</v>
      </c>
      <c r="BB2" s="1">
        <f>Table1[[#This Row],[YCardA]]/Table1[[#This Row],[xYCardA]]</f>
        <v>1.6863899746030775</v>
      </c>
      <c r="BC2">
        <v>40</v>
      </c>
      <c r="BD2">
        <v>23.7193060931323</v>
      </c>
      <c r="BE2">
        <v>0</v>
      </c>
      <c r="BF2">
        <v>0.90036189507447795</v>
      </c>
      <c r="BG2">
        <v>3</v>
      </c>
      <c r="BH2">
        <v>1.4818523422273899</v>
      </c>
    </row>
    <row r="3" spans="1:60" x14ac:dyDescent="0.45">
      <c r="A3">
        <v>6</v>
      </c>
      <c r="B3" t="s">
        <v>44</v>
      </c>
      <c r="C3">
        <v>28</v>
      </c>
      <c r="D3">
        <v>26.274523388877</v>
      </c>
      <c r="E3">
        <v>8</v>
      </c>
      <c r="F3">
        <v>4</v>
      </c>
      <c r="G3">
        <v>0</v>
      </c>
      <c r="H3">
        <v>7.9132436665713799</v>
      </c>
      <c r="I3">
        <v>2.5347923891629098</v>
      </c>
      <c r="J3">
        <v>1.5519639442657001</v>
      </c>
      <c r="K3">
        <v>14</v>
      </c>
      <c r="L3">
        <v>15.950840687125501</v>
      </c>
      <c r="M3" s="1">
        <f>Table1[[#This Row],[GoalsF]]/Table1[[#This Row],[xGoalsF]]</f>
        <v>0.77028892914572333</v>
      </c>
      <c r="N3" s="5">
        <f>Table1[[#This Row],[GoalsF]]-Table1[[#This Row],[xGoalsF]]</f>
        <v>-5.9642833270116995</v>
      </c>
      <c r="O3">
        <v>20</v>
      </c>
      <c r="P3">
        <v>25.964283327011699</v>
      </c>
      <c r="Q3" s="1">
        <f>Table1[[#This Row],[GoalsA]]/Table1[[#This Row],[xGoalsA]]</f>
        <v>0.59919452437870546</v>
      </c>
      <c r="R3" s="5">
        <f>Table1[[#This Row],[xGoalsA]]-Table1[[#This Row],[GoalsA]]</f>
        <v>4.0134426398860992</v>
      </c>
      <c r="S3">
        <v>6</v>
      </c>
      <c r="T3">
        <v>10.013442639886099</v>
      </c>
      <c r="U3" s="1">
        <f>Table1[[#This Row],[2HGoalsF]]/Table1[[#This Row],[x2HGoalsF]]</f>
        <v>0.40969170588870829</v>
      </c>
      <c r="V3" s="3">
        <f>Table1[[#This Row],[2HGoalsF]]-Table1[[#This Row],[x2HGoalsF]]</f>
        <v>-8.6451585759705001</v>
      </c>
      <c r="W3">
        <f>Table1[[#This Row],[GoalsF]]-Table1[[#This Row],[HTGoalsF]]</f>
        <v>6</v>
      </c>
      <c r="X3">
        <f>Table1[[#This Row],[xGoalsF]]-Table1[[#This Row],[xHTGoalsF]]</f>
        <v>14.6451585759705</v>
      </c>
      <c r="Y3" s="2">
        <f>Table1[[#This Row],[2HGoalsA]]-Table1[[#This Row],[x2HGoalsA]]</f>
        <v>-2.6107282134195389</v>
      </c>
      <c r="Z3">
        <f>Table1[[#This Row],[GoalsA]]-Table1[[#This Row],[HTGoalsA]]</f>
        <v>3</v>
      </c>
      <c r="AA3">
        <f>Table1[[#This Row],[xGoalsA]]-Table1[[#This Row],[xHTGoalsA]]</f>
        <v>5.6107282134195389</v>
      </c>
      <c r="AB3" s="1">
        <f>Table1[[#This Row],[HTGoalsF]]/Table1[[#This Row],[xHTGoalsF]]</f>
        <v>1.2368447479750762</v>
      </c>
      <c r="AC3">
        <v>14</v>
      </c>
      <c r="AD3">
        <v>11.319124751041199</v>
      </c>
      <c r="AE3">
        <v>3</v>
      </c>
      <c r="AF3">
        <v>4.4027144264665603</v>
      </c>
      <c r="AG3" s="1">
        <f>Table1[[#This Row],[ShotsF]]/Table1[[#This Row],[xShotsF]]</f>
        <v>0.9622864588390958</v>
      </c>
      <c r="AH3">
        <v>175</v>
      </c>
      <c r="AI3">
        <v>181.85852912356299</v>
      </c>
      <c r="AJ3" s="1">
        <f>Table1[[#This Row],[ShotsA]]/Table1[[#This Row],[xShotsA]]</f>
        <v>0.91809926504179507</v>
      </c>
      <c r="AK3">
        <v>98</v>
      </c>
      <c r="AL3">
        <v>106.742270396588</v>
      </c>
      <c r="AM3" s="1">
        <f>Table1[[#This Row],[ShotsTF]]/Table1[[#This Row],[xShotsTF]]</f>
        <v>0.85229013792275699</v>
      </c>
      <c r="AN3">
        <v>68</v>
      </c>
      <c r="AO3">
        <v>79.785036778359199</v>
      </c>
      <c r="AP3" s="1">
        <f>Table1[[#This Row],[ShotsTA]]/Table1[[#This Row],[xShotsTA]]</f>
        <v>0.81607464322913248</v>
      </c>
      <c r="AQ3">
        <v>34</v>
      </c>
      <c r="AR3">
        <v>41.6628555758884</v>
      </c>
      <c r="AS3" s="1">
        <f>Table1[[#This Row],[Fouls]]/Table1[[#This Row],[xFouls]]</f>
        <v>1.0205335871235375</v>
      </c>
      <c r="AT3">
        <v>147</v>
      </c>
      <c r="AU3">
        <v>144.04229498642201</v>
      </c>
      <c r="AV3" s="1">
        <f>Table1[[#This Row],[FoulsA]]/Table1[[#This Row],[xFoulsA]]</f>
        <v>1.2320433441280372</v>
      </c>
      <c r="AW3">
        <v>196</v>
      </c>
      <c r="AX3">
        <v>159.08531216384799</v>
      </c>
      <c r="AY3" s="1">
        <f>Table1[[#This Row],[YCard]]/Table1[[#This Row],[xYCard]]</f>
        <v>0.99248693919640751</v>
      </c>
      <c r="AZ3">
        <v>18</v>
      </c>
      <c r="BA3">
        <v>18.136258815228501</v>
      </c>
      <c r="BB3" s="1">
        <f>Table1[[#This Row],[YCardA]]/Table1[[#This Row],[xYCardA]]</f>
        <v>1.214920714793698</v>
      </c>
      <c r="BC3">
        <v>29</v>
      </c>
      <c r="BD3">
        <v>23.869870393085201</v>
      </c>
      <c r="BE3">
        <v>0</v>
      </c>
      <c r="BF3">
        <v>0.93465329306414402</v>
      </c>
      <c r="BG3">
        <v>1</v>
      </c>
      <c r="BH3">
        <v>1.4583327101863299</v>
      </c>
    </row>
    <row r="4" spans="1:60" x14ac:dyDescent="0.45">
      <c r="A4">
        <v>1</v>
      </c>
      <c r="B4" t="s">
        <v>40</v>
      </c>
      <c r="C4">
        <v>19</v>
      </c>
      <c r="D4">
        <v>19.683527987955699</v>
      </c>
      <c r="E4">
        <v>6</v>
      </c>
      <c r="F4">
        <v>1</v>
      </c>
      <c r="G4">
        <v>6</v>
      </c>
      <c r="H4">
        <v>5.5660471417306701</v>
      </c>
      <c r="I4">
        <v>2.9853865627637401</v>
      </c>
      <c r="J4">
        <v>4.4485662955055698</v>
      </c>
      <c r="K4">
        <v>8</v>
      </c>
      <c r="L4">
        <v>2.2417393306214999</v>
      </c>
      <c r="M4" s="1">
        <f>Table1[[#This Row],[GoalsF]]/Table1[[#This Row],[xGoalsF]]</f>
        <v>1.0264765639097833</v>
      </c>
      <c r="N4" s="5">
        <f>Table1[[#This Row],[GoalsF]]-Table1[[#This Row],[xGoalsF]]</f>
        <v>0.51587274060959842</v>
      </c>
      <c r="O4">
        <v>20</v>
      </c>
      <c r="P4">
        <v>19.484127259390402</v>
      </c>
      <c r="Q4" s="1">
        <f>Table1[[#This Row],[GoalsA]]/Table1[[#This Row],[xGoalsA]]</f>
        <v>0.69595928647319305</v>
      </c>
      <c r="R4" s="5">
        <f>Table1[[#This Row],[xGoalsA]]-Table1[[#This Row],[GoalsA]]</f>
        <v>5.242387928768899</v>
      </c>
      <c r="S4">
        <v>12</v>
      </c>
      <c r="T4">
        <v>17.242387928768899</v>
      </c>
      <c r="U4" s="1">
        <f>Table1[[#This Row],[2HGoalsF]]/Table1[[#This Row],[x2HGoalsF]]</f>
        <v>0.73437093573144618</v>
      </c>
      <c r="V4" s="3">
        <f>Table1[[#This Row],[2HGoalsF]]-Table1[[#This Row],[x2HGoalsF]]</f>
        <v>-2.8936773104069822</v>
      </c>
      <c r="W4">
        <f>Table1[[#This Row],[GoalsF]]-Table1[[#This Row],[HTGoalsF]]</f>
        <v>8</v>
      </c>
      <c r="X4">
        <f>Table1[[#This Row],[xGoalsF]]-Table1[[#This Row],[xHTGoalsF]]</f>
        <v>10.893677310406982</v>
      </c>
      <c r="Y4" s="2">
        <f>Table1[[#This Row],[2HGoalsA]]-Table1[[#This Row],[x2HGoalsA]]</f>
        <v>-1.5574356722633791</v>
      </c>
      <c r="Z4">
        <f>Table1[[#This Row],[GoalsA]]-Table1[[#This Row],[HTGoalsA]]</f>
        <v>8</v>
      </c>
      <c r="AA4">
        <f>Table1[[#This Row],[xGoalsA]]-Table1[[#This Row],[xHTGoalsA]]</f>
        <v>9.5574356722633791</v>
      </c>
      <c r="AB4" s="1">
        <f>Table1[[#This Row],[HTGoalsF]]/Table1[[#This Row],[xHTGoalsF]]</f>
        <v>1.3969000542771408</v>
      </c>
      <c r="AC4">
        <v>12</v>
      </c>
      <c r="AD4">
        <v>8.5904499489834194</v>
      </c>
      <c r="AE4">
        <v>4</v>
      </c>
      <c r="AF4">
        <v>7.6849522565055199</v>
      </c>
      <c r="AG4" s="1">
        <f>Table1[[#This Row],[ShotsF]]/Table1[[#This Row],[xShotsF]]</f>
        <v>0.90190011843953821</v>
      </c>
      <c r="AH4">
        <v>145</v>
      </c>
      <c r="AI4">
        <v>160.77168306716499</v>
      </c>
      <c r="AJ4" s="1">
        <f>Table1[[#This Row],[ShotsA]]/Table1[[#This Row],[xShotsA]]</f>
        <v>0.8810911145099749</v>
      </c>
      <c r="AK4">
        <v>130</v>
      </c>
      <c r="AL4">
        <v>147.54433208908301</v>
      </c>
      <c r="AM4" s="1">
        <f>Table1[[#This Row],[ShotsTF]]/Table1[[#This Row],[xShotsTF]]</f>
        <v>0.77069455769947082</v>
      </c>
      <c r="AN4">
        <v>53</v>
      </c>
      <c r="AO4">
        <v>68.769137488404496</v>
      </c>
      <c r="AP4" s="1">
        <f>Table1[[#This Row],[ShotsTA]]/Table1[[#This Row],[xShotsTA]]</f>
        <v>0.59403559893825775</v>
      </c>
      <c r="AQ4">
        <v>37</v>
      </c>
      <c r="AR4">
        <v>62.285829445460003</v>
      </c>
      <c r="AS4" s="1">
        <f>Table1[[#This Row],[Fouls]]/Table1[[#This Row],[xFouls]]</f>
        <v>1.0358604094035893</v>
      </c>
      <c r="AT4">
        <v>170</v>
      </c>
      <c r="AU4">
        <v>164.1147769108</v>
      </c>
      <c r="AV4" s="1">
        <f>Table1[[#This Row],[FoulsA]]/Table1[[#This Row],[xFoulsA]]</f>
        <v>0.99360686915917085</v>
      </c>
      <c r="AW4">
        <v>166</v>
      </c>
      <c r="AX4">
        <v>167.06808814684999</v>
      </c>
      <c r="AY4" s="1">
        <f>Table1[[#This Row],[YCard]]/Table1[[#This Row],[xYCard]]</f>
        <v>1.2167768037941478</v>
      </c>
      <c r="AZ4">
        <v>26</v>
      </c>
      <c r="BA4">
        <v>21.367928710447899</v>
      </c>
      <c r="BB4" s="1">
        <f>Table1[[#This Row],[YCardA]]/Table1[[#This Row],[xYCardA]]</f>
        <v>1.2206770207877129</v>
      </c>
      <c r="BC4">
        <v>28</v>
      </c>
      <c r="BD4">
        <v>22.938090521218601</v>
      </c>
      <c r="BE4">
        <v>2</v>
      </c>
      <c r="BF4">
        <v>1.2462275205717701</v>
      </c>
      <c r="BG4">
        <v>0</v>
      </c>
      <c r="BH4">
        <v>1.3064295701676401</v>
      </c>
    </row>
    <row r="5" spans="1:60" x14ac:dyDescent="0.45">
      <c r="A5">
        <v>4</v>
      </c>
      <c r="B5" t="s">
        <v>42</v>
      </c>
      <c r="C5">
        <v>16</v>
      </c>
      <c r="D5">
        <v>19.125009798603902</v>
      </c>
      <c r="E5">
        <v>4</v>
      </c>
      <c r="F5">
        <v>4</v>
      </c>
      <c r="G5">
        <v>5</v>
      </c>
      <c r="H5">
        <v>5.2330297226128097</v>
      </c>
      <c r="I5">
        <v>3.4259206307655199</v>
      </c>
      <c r="J5">
        <v>4.3410496466216602</v>
      </c>
      <c r="K5">
        <v>-4</v>
      </c>
      <c r="L5">
        <v>2.1187411076390901</v>
      </c>
      <c r="M5" s="1">
        <f>Table1[[#This Row],[GoalsF]]/Table1[[#This Row],[xGoalsF]]</f>
        <v>0.74927584816870618</v>
      </c>
      <c r="N5" s="5">
        <f>Table1[[#This Row],[GoalsF]]-Table1[[#This Row],[xGoalsF]]</f>
        <v>-4.6847074201272996</v>
      </c>
      <c r="O5">
        <v>14</v>
      </c>
      <c r="P5">
        <v>18.6847074201273</v>
      </c>
      <c r="Q5" s="1">
        <f>Table1[[#This Row],[GoalsA]]/Table1[[#This Row],[xGoalsA]]</f>
        <v>1.0865650491170418</v>
      </c>
      <c r="R5" s="5">
        <f>Table1[[#This Row],[xGoalsA]]-Table1[[#This Row],[GoalsA]]</f>
        <v>-1.4340336875117998</v>
      </c>
      <c r="S5">
        <v>18</v>
      </c>
      <c r="T5">
        <v>16.5659663124882</v>
      </c>
      <c r="U5" s="1">
        <f>Table1[[#This Row],[2HGoalsF]]/Table1[[#This Row],[x2HGoalsF]]</f>
        <v>0.86142472543369097</v>
      </c>
      <c r="V5" s="3">
        <f>Table1[[#This Row],[2HGoalsF]]-Table1[[#This Row],[x2HGoalsF]]</f>
        <v>-1.4478078400511194</v>
      </c>
      <c r="W5">
        <f>Table1[[#This Row],[GoalsF]]-Table1[[#This Row],[HTGoalsF]]</f>
        <v>9</v>
      </c>
      <c r="X5">
        <f>Table1[[#This Row],[xGoalsF]]-Table1[[#This Row],[xHTGoalsF]]</f>
        <v>10.447807840051119</v>
      </c>
      <c r="Y5" s="2">
        <f>Table1[[#This Row],[2HGoalsA]]-Table1[[#This Row],[x2HGoalsA]]</f>
        <v>-1.3046925251228103</v>
      </c>
      <c r="Z5">
        <f>Table1[[#This Row],[GoalsA]]-Table1[[#This Row],[HTGoalsA]]</f>
        <v>8</v>
      </c>
      <c r="AA5">
        <f>Table1[[#This Row],[xGoalsA]]-Table1[[#This Row],[xHTGoalsA]]</f>
        <v>9.3046925251228103</v>
      </c>
      <c r="AB5" s="1">
        <f>Table1[[#This Row],[HTGoalsF]]/Table1[[#This Row],[xHTGoalsF]]</f>
        <v>0.60702451831442106</v>
      </c>
      <c r="AC5">
        <v>5</v>
      </c>
      <c r="AD5">
        <v>8.2368995800761802</v>
      </c>
      <c r="AE5">
        <v>10</v>
      </c>
      <c r="AF5">
        <v>7.2612737873653899</v>
      </c>
      <c r="AG5" s="1">
        <f>Table1[[#This Row],[ShotsF]]/Table1[[#This Row],[xShotsF]]</f>
        <v>0.77615446771352914</v>
      </c>
      <c r="AH5">
        <v>121</v>
      </c>
      <c r="AI5">
        <v>155.89680280582999</v>
      </c>
      <c r="AJ5" s="1">
        <f>Table1[[#This Row],[ShotsA]]/Table1[[#This Row],[xShotsA]]</f>
        <v>0.99907034852355792</v>
      </c>
      <c r="AK5">
        <v>145</v>
      </c>
      <c r="AL5">
        <v>145.13492489721401</v>
      </c>
      <c r="AM5" s="1">
        <f>Table1[[#This Row],[ShotsTF]]/Table1[[#This Row],[xShotsTF]]</f>
        <v>0.63008657285785774</v>
      </c>
      <c r="AN5">
        <v>42</v>
      </c>
      <c r="AO5">
        <v>66.657506776413797</v>
      </c>
      <c r="AP5" s="1">
        <f>Table1[[#This Row],[ShotsTA]]/Table1[[#This Row],[xShotsTA]]</f>
        <v>1.0179226122388829</v>
      </c>
      <c r="AQ5">
        <v>62</v>
      </c>
      <c r="AR5">
        <v>60.908363027355598</v>
      </c>
      <c r="AS5" s="1">
        <f>Table1[[#This Row],[Fouls]]/Table1[[#This Row],[xFouls]]</f>
        <v>0.98824992006863166</v>
      </c>
      <c r="AT5">
        <v>166</v>
      </c>
      <c r="AU5">
        <v>167.97370445369901</v>
      </c>
      <c r="AV5" s="1">
        <f>Table1[[#This Row],[FoulsA]]/Table1[[#This Row],[xFoulsA]]</f>
        <v>0.9851173032764905</v>
      </c>
      <c r="AW5">
        <v>167</v>
      </c>
      <c r="AX5">
        <v>169.52295878324301</v>
      </c>
      <c r="AY5" s="1">
        <f>Table1[[#This Row],[YCard]]/Table1[[#This Row],[xYCard]]</f>
        <v>0.90178408292511358</v>
      </c>
      <c r="AZ5">
        <v>20</v>
      </c>
      <c r="BA5">
        <v>22.178257942994598</v>
      </c>
      <c r="BB5" s="1">
        <f>Table1[[#This Row],[YCardA]]/Table1[[#This Row],[xYCardA]]</f>
        <v>0.95554821183778971</v>
      </c>
      <c r="BC5">
        <v>22</v>
      </c>
      <c r="BD5">
        <v>23.023432755619702</v>
      </c>
      <c r="BE5">
        <v>1</v>
      </c>
      <c r="BF5">
        <v>1.32129125253474</v>
      </c>
      <c r="BG5">
        <v>1</v>
      </c>
      <c r="BH5">
        <v>1.4057606665519999</v>
      </c>
    </row>
    <row r="6" spans="1:60" x14ac:dyDescent="0.45">
      <c r="A6">
        <v>8</v>
      </c>
      <c r="B6" t="s">
        <v>46</v>
      </c>
      <c r="C6">
        <v>18</v>
      </c>
      <c r="D6">
        <v>19.444860760775502</v>
      </c>
      <c r="E6">
        <v>4</v>
      </c>
      <c r="F6">
        <v>6</v>
      </c>
      <c r="G6">
        <v>3</v>
      </c>
      <c r="H6">
        <v>5.2854941291112301</v>
      </c>
      <c r="I6">
        <v>3.58837837344183</v>
      </c>
      <c r="J6">
        <v>4.1261274974469302</v>
      </c>
      <c r="K6">
        <v>-1</v>
      </c>
      <c r="L6">
        <v>2.3656517339635599</v>
      </c>
      <c r="M6" s="1">
        <f>Table1[[#This Row],[GoalsF]]/Table1[[#This Row],[xGoalsF]]</f>
        <v>0.87179905213611675</v>
      </c>
      <c r="N6" s="5">
        <f>Table1[[#This Row],[GoalsF]]-Table1[[#This Row],[xGoalsF]]</f>
        <v>-2.3528531727537008</v>
      </c>
      <c r="O6">
        <v>16</v>
      </c>
      <c r="P6">
        <v>18.352853172753701</v>
      </c>
      <c r="Q6" s="1">
        <f>Table1[[#This Row],[GoalsA]]/Table1[[#This Row],[xGoalsA]]</f>
        <v>1.0633505848467273</v>
      </c>
      <c r="R6" s="5">
        <f>Table1[[#This Row],[xGoalsA]]-Table1[[#This Row],[GoalsA]]</f>
        <v>-1.0127985612098005</v>
      </c>
      <c r="S6">
        <v>17</v>
      </c>
      <c r="T6">
        <v>15.9872014387902</v>
      </c>
      <c r="U6" s="1">
        <f>Table1[[#This Row],[2HGoalsF]]/Table1[[#This Row],[x2HGoalsF]]</f>
        <v>0.77409966618891279</v>
      </c>
      <c r="V6" s="3">
        <f>Table1[[#This Row],[2HGoalsF]]-Table1[[#This Row],[x2HGoalsF]]</f>
        <v>-2.3345865518661313</v>
      </c>
      <c r="W6">
        <f>Table1[[#This Row],[GoalsF]]-Table1[[#This Row],[HTGoalsF]]</f>
        <v>8</v>
      </c>
      <c r="X6">
        <f>Table1[[#This Row],[xGoalsF]]-Table1[[#This Row],[xHTGoalsF]]</f>
        <v>10.334586551866131</v>
      </c>
      <c r="Y6" s="2">
        <f>Table1[[#This Row],[2HGoalsA]]-Table1[[#This Row],[x2HGoalsA]]</f>
        <v>-1.9662195789934884</v>
      </c>
      <c r="Z6">
        <f>Table1[[#This Row],[GoalsA]]-Table1[[#This Row],[HTGoalsA]]</f>
        <v>7</v>
      </c>
      <c r="AA6">
        <f>Table1[[#This Row],[xGoalsA]]-Table1[[#This Row],[xHTGoalsA]]</f>
        <v>8.9662195789934884</v>
      </c>
      <c r="AB6" s="1">
        <f>Table1[[#This Row],[HTGoalsF]]/Table1[[#This Row],[xHTGoalsF]]</f>
        <v>0.99772187409682977</v>
      </c>
      <c r="AC6">
        <v>8</v>
      </c>
      <c r="AD6">
        <v>8.0182666208875695</v>
      </c>
      <c r="AE6">
        <v>10</v>
      </c>
      <c r="AF6">
        <v>7.0209818597967102</v>
      </c>
      <c r="AG6" s="1">
        <f>Table1[[#This Row],[ShotsF]]/Table1[[#This Row],[xShotsF]]</f>
        <v>0.89195115303004324</v>
      </c>
      <c r="AH6">
        <v>138</v>
      </c>
      <c r="AI6">
        <v>154.71699266400501</v>
      </c>
      <c r="AJ6" s="1">
        <f>Table1[[#This Row],[ShotsA]]/Table1[[#This Row],[xShotsA]]</f>
        <v>1.0405069918609831</v>
      </c>
      <c r="AK6">
        <v>150</v>
      </c>
      <c r="AL6">
        <v>144.16049211905801</v>
      </c>
      <c r="AM6" s="1">
        <f>Table1[[#This Row],[ShotsTF]]/Table1[[#This Row],[xShotsTF]]</f>
        <v>0.76205805606610943</v>
      </c>
      <c r="AN6">
        <v>50</v>
      </c>
      <c r="AO6">
        <v>65.611798998766105</v>
      </c>
      <c r="AP6" s="1">
        <f>Table1[[#This Row],[ShotsTA]]/Table1[[#This Row],[xShotsTA]]</f>
        <v>0.93279295886084113</v>
      </c>
      <c r="AQ6">
        <v>56</v>
      </c>
      <c r="AR6">
        <v>60.034758483156999</v>
      </c>
      <c r="AS6" s="1">
        <f>Table1[[#This Row],[Fouls]]/Table1[[#This Row],[xFouls]]</f>
        <v>1.2389891147124374</v>
      </c>
      <c r="AT6">
        <v>209</v>
      </c>
      <c r="AU6">
        <v>168.68590491895301</v>
      </c>
      <c r="AV6" s="1">
        <f>Table1[[#This Row],[FoulsA]]/Table1[[#This Row],[xFoulsA]]</f>
        <v>1.1596732390524025</v>
      </c>
      <c r="AW6">
        <v>197</v>
      </c>
      <c r="AX6">
        <v>169.87543849936</v>
      </c>
      <c r="AY6" s="1">
        <f>Table1[[#This Row],[YCard]]/Table1[[#This Row],[xYCard]]</f>
        <v>1.4379742860945568</v>
      </c>
      <c r="AZ6">
        <v>32</v>
      </c>
      <c r="BA6">
        <v>22.2535272775356</v>
      </c>
      <c r="BB6" s="1">
        <f>Table1[[#This Row],[YCardA]]/Table1[[#This Row],[xYCardA]]</f>
        <v>1.5491130006199199</v>
      </c>
      <c r="BC6">
        <v>36</v>
      </c>
      <c r="BD6">
        <v>23.2391052076857</v>
      </c>
      <c r="BE6">
        <v>2</v>
      </c>
      <c r="BF6">
        <v>1.29757582397486</v>
      </c>
      <c r="BG6">
        <v>3</v>
      </c>
      <c r="BH6">
        <v>1.4210011216478999</v>
      </c>
    </row>
    <row r="7" spans="1:60" x14ac:dyDescent="0.45">
      <c r="A7">
        <v>0</v>
      </c>
      <c r="B7" t="s">
        <v>39</v>
      </c>
      <c r="C7">
        <v>16</v>
      </c>
      <c r="D7">
        <v>18.1183130724881</v>
      </c>
      <c r="E7">
        <v>4</v>
      </c>
      <c r="F7">
        <v>4</v>
      </c>
      <c r="G7">
        <v>5</v>
      </c>
      <c r="H7">
        <v>4.9009389978518696</v>
      </c>
      <c r="I7">
        <v>3.41549607893247</v>
      </c>
      <c r="J7">
        <v>4.6835649232156404</v>
      </c>
      <c r="K7">
        <v>1</v>
      </c>
      <c r="L7">
        <v>1.1340350566785999</v>
      </c>
      <c r="M7" s="1">
        <f>Table1[[#This Row],[GoalsF]]/Table1[[#This Row],[xGoalsF]]</f>
        <v>0.8341748005550651</v>
      </c>
      <c r="N7" s="5">
        <f>Table1[[#This Row],[GoalsF]]-Table1[[#This Row],[xGoalsF]]</f>
        <v>-2.9818426425959004</v>
      </c>
      <c r="O7">
        <v>15</v>
      </c>
      <c r="P7">
        <v>17.9818426425959</v>
      </c>
      <c r="Q7" s="1">
        <f>Table1[[#This Row],[GoalsA]]/Table1[[#This Row],[xGoalsA]]</f>
        <v>0.83096865444393375</v>
      </c>
      <c r="R7" s="5">
        <f>Table1[[#This Row],[xGoalsA]]-Table1[[#This Row],[GoalsA]]</f>
        <v>2.8478075859173018</v>
      </c>
      <c r="S7">
        <v>14</v>
      </c>
      <c r="T7">
        <v>16.847807585917302</v>
      </c>
      <c r="U7" s="1">
        <f>Table1[[#This Row],[2HGoalsF]]/Table1[[#This Row],[x2HGoalsF]]</f>
        <v>0.69571478513813945</v>
      </c>
      <c r="V7" s="3">
        <f>Table1[[#This Row],[2HGoalsF]]-Table1[[#This Row],[x2HGoalsF]]</f>
        <v>-3.0615944199174905</v>
      </c>
      <c r="W7">
        <f>Table1[[#This Row],[GoalsF]]-Table1[[#This Row],[HTGoalsF]]</f>
        <v>7</v>
      </c>
      <c r="X7">
        <f>Table1[[#This Row],[xGoalsF]]-Table1[[#This Row],[xHTGoalsF]]</f>
        <v>10.06159441991749</v>
      </c>
      <c r="Y7" s="2">
        <f>Table1[[#This Row],[2HGoalsA]]-Table1[[#This Row],[x2HGoalsA]]</f>
        <v>-2.4304465209125414</v>
      </c>
      <c r="Z7">
        <f>Table1[[#This Row],[GoalsA]]-Table1[[#This Row],[HTGoalsA]]</f>
        <v>7</v>
      </c>
      <c r="AA7">
        <f>Table1[[#This Row],[xGoalsA]]-Table1[[#This Row],[xHTGoalsA]]</f>
        <v>9.4304465209125414</v>
      </c>
      <c r="AB7" s="1">
        <f>Table1[[#This Row],[HTGoalsF]]/Table1[[#This Row],[xHTGoalsF]]</f>
        <v>1.0100693532676455</v>
      </c>
      <c r="AC7">
        <v>8</v>
      </c>
      <c r="AD7">
        <v>7.9202482226784099</v>
      </c>
      <c r="AE7">
        <v>7</v>
      </c>
      <c r="AF7">
        <v>7.4173610650047603</v>
      </c>
      <c r="AG7" s="1">
        <f>Table1[[#This Row],[ShotsF]]/Table1[[#This Row],[xShotsF]]</f>
        <v>0.97659638124103754</v>
      </c>
      <c r="AH7">
        <v>148</v>
      </c>
      <c r="AI7">
        <v>151.54674217809901</v>
      </c>
      <c r="AJ7" s="1">
        <f>Table1[[#This Row],[ShotsA]]/Table1[[#This Row],[xShotsA]]</f>
        <v>0.88119533402168215</v>
      </c>
      <c r="AK7">
        <v>130</v>
      </c>
      <c r="AL7">
        <v>147.526881930586</v>
      </c>
      <c r="AM7" s="1">
        <f>Table1[[#This Row],[ShotsTF]]/Table1[[#This Row],[xShotsTF]]</f>
        <v>0.72342755640488221</v>
      </c>
      <c r="AN7">
        <v>47</v>
      </c>
      <c r="AO7">
        <v>64.968495578976004</v>
      </c>
      <c r="AP7" s="1">
        <f>Table1[[#This Row],[ShotsTA]]/Table1[[#This Row],[xShotsTA]]</f>
        <v>0.74874621369726824</v>
      </c>
      <c r="AQ7">
        <v>47</v>
      </c>
      <c r="AR7">
        <v>62.771602901224099</v>
      </c>
      <c r="AS7" s="1">
        <f>Table1[[#This Row],[Fouls]]/Table1[[#This Row],[xFouls]]</f>
        <v>1.1655647728190255</v>
      </c>
      <c r="AT7">
        <v>196</v>
      </c>
      <c r="AU7">
        <v>168.15882271901199</v>
      </c>
      <c r="AV7" s="1">
        <f>Table1[[#This Row],[FoulsA]]/Table1[[#This Row],[xFoulsA]]</f>
        <v>1.1643211435676362</v>
      </c>
      <c r="AW7">
        <v>196</v>
      </c>
      <c r="AX7">
        <v>168.33843573383001</v>
      </c>
      <c r="AY7" s="1">
        <f>Table1[[#This Row],[YCard]]/Table1[[#This Row],[xYCard]]</f>
        <v>1.6508935836127201</v>
      </c>
      <c r="AZ7">
        <v>37</v>
      </c>
      <c r="BA7">
        <v>22.4121047941996</v>
      </c>
      <c r="BB7" s="1">
        <f>Table1[[#This Row],[YCardA]]/Table1[[#This Row],[xYCardA]]</f>
        <v>1.2559772886082272</v>
      </c>
      <c r="BC7">
        <v>28</v>
      </c>
      <c r="BD7">
        <v>22.293396746869</v>
      </c>
      <c r="BE7">
        <v>1</v>
      </c>
      <c r="BF7">
        <v>1.2958633326879601</v>
      </c>
      <c r="BG7">
        <v>2</v>
      </c>
      <c r="BH7">
        <v>1.34632106837389</v>
      </c>
    </row>
    <row r="8" spans="1:60" x14ac:dyDescent="0.45">
      <c r="A8">
        <v>9</v>
      </c>
      <c r="B8" t="s">
        <v>47</v>
      </c>
      <c r="C8">
        <v>12</v>
      </c>
      <c r="D8">
        <v>15.0198360896701</v>
      </c>
      <c r="E8">
        <v>2</v>
      </c>
      <c r="F8">
        <v>6</v>
      </c>
      <c r="G8">
        <v>5</v>
      </c>
      <c r="H8">
        <v>3.8658625262785602</v>
      </c>
      <c r="I8">
        <v>3.4222485108344398</v>
      </c>
      <c r="J8">
        <v>5.71188896288698</v>
      </c>
      <c r="K8">
        <v>-9</v>
      </c>
      <c r="L8">
        <v>-3.9107053644038201</v>
      </c>
      <c r="M8" s="1">
        <f>Table1[[#This Row],[GoalsF]]/Table1[[#This Row],[xGoalsF]]</f>
        <v>0.57807574308809706</v>
      </c>
      <c r="N8" s="5">
        <f>Table1[[#This Row],[GoalsF]]-Table1[[#This Row],[xGoalsF]]</f>
        <v>-6.5688940551660995</v>
      </c>
      <c r="O8">
        <v>9</v>
      </c>
      <c r="P8">
        <v>15.568894055166099</v>
      </c>
      <c r="Q8" s="1">
        <f>Table1[[#This Row],[GoalsA]]/Table1[[#This Row],[xGoalsA]]</f>
        <v>0.92404364239218173</v>
      </c>
      <c r="R8" s="5">
        <f>Table1[[#This Row],[xGoalsA]]-Table1[[#This Row],[GoalsA]]</f>
        <v>1.4795994195699009</v>
      </c>
      <c r="S8">
        <v>18</v>
      </c>
      <c r="T8">
        <v>19.479599419569901</v>
      </c>
      <c r="U8" s="1">
        <f>Table1[[#This Row],[2HGoalsF]]/Table1[[#This Row],[x2HGoalsF]]</f>
        <v>0.5792297440627967</v>
      </c>
      <c r="V8" s="3">
        <f>Table1[[#This Row],[2HGoalsF]]-Table1[[#This Row],[x2HGoalsF]]</f>
        <v>-3.6321533920708493</v>
      </c>
      <c r="W8">
        <f>Table1[[#This Row],[GoalsF]]-Table1[[#This Row],[HTGoalsF]]</f>
        <v>5</v>
      </c>
      <c r="X8">
        <f>Table1[[#This Row],[xGoalsF]]-Table1[[#This Row],[xHTGoalsF]]</f>
        <v>8.6321533920708493</v>
      </c>
      <c r="Y8" s="2">
        <f>Table1[[#This Row],[2HGoalsA]]-Table1[[#This Row],[x2HGoalsA]]</f>
        <v>2.1053610552938888</v>
      </c>
      <c r="Z8">
        <f>Table1[[#This Row],[GoalsA]]-Table1[[#This Row],[HTGoalsA]]</f>
        <v>13</v>
      </c>
      <c r="AA8">
        <f>Table1[[#This Row],[xGoalsA]]-Table1[[#This Row],[xHTGoalsA]]</f>
        <v>10.894638944706111</v>
      </c>
      <c r="AB8" s="1">
        <f>Table1[[#This Row],[HTGoalsF]]/Table1[[#This Row],[xHTGoalsF]]</f>
        <v>0.57663969207912635</v>
      </c>
      <c r="AC8">
        <v>4</v>
      </c>
      <c r="AD8">
        <v>6.9367406630952502</v>
      </c>
      <c r="AE8">
        <v>5</v>
      </c>
      <c r="AF8">
        <v>8.5849604748637898</v>
      </c>
      <c r="AG8" s="1">
        <f>Table1[[#This Row],[ShotsF]]/Table1[[#This Row],[xShotsF]]</f>
        <v>0.8180943395182837</v>
      </c>
      <c r="AH8">
        <v>116</v>
      </c>
      <c r="AI8">
        <v>141.79293804710099</v>
      </c>
      <c r="AJ8" s="1">
        <f>Table1[[#This Row],[ShotsA]]/Table1[[#This Row],[xShotsA]]</f>
        <v>1.0833613125096064</v>
      </c>
      <c r="AK8">
        <v>172</v>
      </c>
      <c r="AL8">
        <v>158.765130353014</v>
      </c>
      <c r="AM8" s="1">
        <f>Table1[[#This Row],[ShotsTF]]/Table1[[#This Row],[xShotsTF]]</f>
        <v>0.69075742552662855</v>
      </c>
      <c r="AN8">
        <v>41</v>
      </c>
      <c r="AO8">
        <v>59.355134646206501</v>
      </c>
      <c r="AP8" s="1">
        <f>Table1[[#This Row],[ShotsTA]]/Table1[[#This Row],[xShotsTA]]</f>
        <v>0.75675233831449573</v>
      </c>
      <c r="AQ8">
        <v>52</v>
      </c>
      <c r="AR8">
        <v>68.714686915694102</v>
      </c>
      <c r="AS8" s="1">
        <f>Table1[[#This Row],[Fouls]]/Table1[[#This Row],[xFouls]]</f>
        <v>1.0673580451951421</v>
      </c>
      <c r="AT8">
        <v>183</v>
      </c>
      <c r="AU8">
        <v>171.45137081581899</v>
      </c>
      <c r="AV8" s="1">
        <f>Table1[[#This Row],[FoulsA]]/Table1[[#This Row],[xFoulsA]]</f>
        <v>0.92253676750430991</v>
      </c>
      <c r="AW8">
        <v>154</v>
      </c>
      <c r="AX8">
        <v>166.931016111811</v>
      </c>
      <c r="AY8" s="1">
        <f>Table1[[#This Row],[YCard]]/Table1[[#This Row],[xYCard]]</f>
        <v>1.3597281951222122</v>
      </c>
      <c r="AZ8">
        <v>32</v>
      </c>
      <c r="BA8">
        <v>23.534115211256498</v>
      </c>
      <c r="BB8" s="1">
        <f>Table1[[#This Row],[YCardA]]/Table1[[#This Row],[xYCardA]]</f>
        <v>1.3845656302508886</v>
      </c>
      <c r="BC8">
        <v>30</v>
      </c>
      <c r="BD8">
        <v>21.667445258311002</v>
      </c>
      <c r="BE8">
        <v>1</v>
      </c>
      <c r="BF8">
        <v>1.4175284898945</v>
      </c>
      <c r="BG8">
        <v>2</v>
      </c>
      <c r="BH8">
        <v>1.2364933006677801</v>
      </c>
    </row>
    <row r="9" spans="1:60" x14ac:dyDescent="0.45">
      <c r="A9">
        <v>3</v>
      </c>
      <c r="B9" t="s">
        <v>53</v>
      </c>
      <c r="C9">
        <v>14</v>
      </c>
      <c r="D9">
        <v>13.5235088705734</v>
      </c>
      <c r="E9">
        <v>4</v>
      </c>
      <c r="F9">
        <v>2</v>
      </c>
      <c r="G9">
        <v>7</v>
      </c>
      <c r="H9">
        <v>3.4675123802740102</v>
      </c>
      <c r="I9">
        <v>3.1209717297513402</v>
      </c>
      <c r="J9">
        <v>6.4115158899746296</v>
      </c>
      <c r="K9">
        <v>-6</v>
      </c>
      <c r="L9">
        <v>-6.6276631393205498</v>
      </c>
      <c r="M9" s="1">
        <f>Table1[[#This Row],[GoalsF]]/Table1[[#This Row],[xGoalsF]]</f>
        <v>0.88932738434550274</v>
      </c>
      <c r="N9" s="5">
        <f>Table1[[#This Row],[GoalsF]]-Table1[[#This Row],[xGoalsF]]</f>
        <v>-1.6177889367112002</v>
      </c>
      <c r="O9">
        <v>13</v>
      </c>
      <c r="P9">
        <v>14.6177889367112</v>
      </c>
      <c r="Q9" s="1">
        <f>Table1[[#This Row],[GoalsA]]/Table1[[#This Row],[xGoalsA]]</f>
        <v>0.89430904703764713</v>
      </c>
      <c r="R9" s="5">
        <f>Table1[[#This Row],[xGoalsA]]-Table1[[#This Row],[GoalsA]]</f>
        <v>2.2454520760317997</v>
      </c>
      <c r="S9">
        <v>19</v>
      </c>
      <c r="T9">
        <v>21.2454520760318</v>
      </c>
      <c r="U9" s="1">
        <f>Table1[[#This Row],[2HGoalsF]]/Table1[[#This Row],[x2HGoalsF]]</f>
        <v>0.73882305277092142</v>
      </c>
      <c r="V9" s="3">
        <f>Table1[[#This Row],[2HGoalsF]]-Table1[[#This Row],[x2HGoalsF]]</f>
        <v>-2.1210243474364798</v>
      </c>
      <c r="W9">
        <f>Table1[[#This Row],[GoalsF]]-Table1[[#This Row],[HTGoalsF]]</f>
        <v>6</v>
      </c>
      <c r="X9">
        <f>Table1[[#This Row],[xGoalsF]]-Table1[[#This Row],[xHTGoalsF]]</f>
        <v>8.1210243474364798</v>
      </c>
      <c r="Y9" s="2">
        <f>Table1[[#This Row],[2HGoalsA]]-Table1[[#This Row],[x2HGoalsA]]</f>
        <v>-2.8479598921113691</v>
      </c>
      <c r="Z9">
        <f>Table1[[#This Row],[GoalsA]]-Table1[[#This Row],[HTGoalsA]]</f>
        <v>9</v>
      </c>
      <c r="AA9">
        <f>Table1[[#This Row],[xGoalsA]]-Table1[[#This Row],[xHTGoalsA]]</f>
        <v>11.847959892111369</v>
      </c>
      <c r="AB9" s="1">
        <f>Table1[[#This Row],[HTGoalsF]]/Table1[[#This Row],[xHTGoalsF]]</f>
        <v>1.0774593882555101</v>
      </c>
      <c r="AC9">
        <v>7</v>
      </c>
      <c r="AD9">
        <v>6.4967645892747203</v>
      </c>
      <c r="AE9">
        <v>10</v>
      </c>
      <c r="AF9">
        <v>9.3974921839204306</v>
      </c>
      <c r="AG9" s="1">
        <f>Table1[[#This Row],[ShotsF]]/Table1[[#This Row],[xShotsF]]</f>
        <v>0.98589341708501088</v>
      </c>
      <c r="AH9">
        <v>134</v>
      </c>
      <c r="AI9">
        <v>135.91732907214001</v>
      </c>
      <c r="AJ9" s="1">
        <f>Table1[[#This Row],[ShotsA]]/Table1[[#This Row],[xShotsA]]</f>
        <v>0.86367859141815162</v>
      </c>
      <c r="AK9">
        <v>146</v>
      </c>
      <c r="AL9">
        <v>169.044366099511</v>
      </c>
      <c r="AM9" s="1">
        <f>Table1[[#This Row],[ShotsTF]]/Table1[[#This Row],[xShotsTF]]</f>
        <v>0.91200314106674352</v>
      </c>
      <c r="AN9">
        <v>51</v>
      </c>
      <c r="AO9">
        <v>55.920860031629701</v>
      </c>
      <c r="AP9" s="1">
        <f>Table1[[#This Row],[ShotsTA]]/Table1[[#This Row],[xShotsTA]]</f>
        <v>0.71389558705273115</v>
      </c>
      <c r="AQ9">
        <v>52</v>
      </c>
      <c r="AR9">
        <v>72.839783496461195</v>
      </c>
      <c r="AS9" s="1">
        <f>Table1[[#This Row],[Fouls]]/Table1[[#This Row],[xFouls]]</f>
        <v>1.21777116311092</v>
      </c>
      <c r="AT9">
        <v>207</v>
      </c>
      <c r="AU9">
        <v>169.98267512855</v>
      </c>
      <c r="AV9" s="1">
        <f>Table1[[#This Row],[FoulsA]]/Table1[[#This Row],[xFoulsA]]</f>
        <v>1.1410493241522395</v>
      </c>
      <c r="AW9">
        <v>187</v>
      </c>
      <c r="AX9">
        <v>163.88423886840701</v>
      </c>
      <c r="AY9" s="1">
        <f>Table1[[#This Row],[YCard]]/Table1[[#This Row],[xYCard]]</f>
        <v>1.2250117605353352</v>
      </c>
      <c r="AZ9">
        <v>29</v>
      </c>
      <c r="BA9">
        <v>23.673242114285401</v>
      </c>
      <c r="BB9" s="1">
        <f>Table1[[#This Row],[YCardA]]/Table1[[#This Row],[xYCardA]]</f>
        <v>1.3100859715561357</v>
      </c>
      <c r="BC9">
        <v>28</v>
      </c>
      <c r="BD9">
        <v>21.372643176036199</v>
      </c>
      <c r="BE9">
        <v>3</v>
      </c>
      <c r="BF9">
        <v>1.42494877724803</v>
      </c>
      <c r="BG9">
        <v>3</v>
      </c>
      <c r="BH9">
        <v>1.17324091267738</v>
      </c>
    </row>
    <row r="10" spans="1:60" x14ac:dyDescent="0.45">
      <c r="A10">
        <v>5</v>
      </c>
      <c r="B10" t="s">
        <v>43</v>
      </c>
      <c r="C10">
        <v>7</v>
      </c>
      <c r="D10">
        <v>9.3655684018225802</v>
      </c>
      <c r="E10">
        <v>2</v>
      </c>
      <c r="F10">
        <v>1</v>
      </c>
      <c r="G10">
        <v>10</v>
      </c>
      <c r="H10">
        <v>2.0976006123312301</v>
      </c>
      <c r="I10">
        <v>3.07276656482887</v>
      </c>
      <c r="J10">
        <v>7.8296328228398799</v>
      </c>
      <c r="K10">
        <v>-15</v>
      </c>
      <c r="L10">
        <v>-13.446245609272999</v>
      </c>
      <c r="M10" s="1">
        <f>Table1[[#This Row],[GoalsF]]/Table1[[#This Row],[xGoalsF]]</f>
        <v>0.68873183461987197</v>
      </c>
      <c r="N10" s="5">
        <f>Table1[[#This Row],[GoalsF]]-Table1[[#This Row],[xGoalsF]]</f>
        <v>-3.6155513624768005</v>
      </c>
      <c r="O10">
        <v>8</v>
      </c>
      <c r="P10">
        <v>11.615551362476801</v>
      </c>
      <c r="Q10" s="1">
        <f>Table1[[#This Row],[GoalsA]]/Table1[[#This Row],[xGoalsA]]</f>
        <v>0.91773147894885621</v>
      </c>
      <c r="R10" s="5">
        <f>Table1[[#This Row],[xGoalsA]]-Table1[[#This Row],[GoalsA]]</f>
        <v>2.0617969717498994</v>
      </c>
      <c r="S10">
        <v>23</v>
      </c>
      <c r="T10">
        <v>25.061796971749899</v>
      </c>
      <c r="U10" s="1">
        <f>Table1[[#This Row],[2HGoalsF]]/Table1[[#This Row],[x2HGoalsF]]</f>
        <v>0.6193070298907446</v>
      </c>
      <c r="V10" s="3">
        <f>Table1[[#This Row],[2HGoalsF]]-Table1[[#This Row],[x2HGoalsF]]</f>
        <v>-2.4588318991077207</v>
      </c>
      <c r="W10">
        <f>Table1[[#This Row],[GoalsF]]-Table1[[#This Row],[HTGoalsF]]</f>
        <v>4</v>
      </c>
      <c r="X10">
        <f>Table1[[#This Row],[xGoalsF]]-Table1[[#This Row],[xHTGoalsF]]</f>
        <v>6.4588318991077207</v>
      </c>
      <c r="Y10" s="2">
        <f>Table1[[#This Row],[2HGoalsA]]-Table1[[#This Row],[x2HGoalsA]]</f>
        <v>-3.0071273794336992</v>
      </c>
      <c r="Z10">
        <f>Table1[[#This Row],[GoalsA]]-Table1[[#This Row],[HTGoalsA]]</f>
        <v>11</v>
      </c>
      <c r="AA10">
        <f>Table1[[#This Row],[xGoalsA]]-Table1[[#This Row],[xHTGoalsA]]</f>
        <v>14.007127379433699</v>
      </c>
      <c r="AB10" s="1">
        <f>Table1[[#This Row],[HTGoalsF]]/Table1[[#This Row],[xHTGoalsF]]</f>
        <v>0.77568695144541544</v>
      </c>
      <c r="AC10">
        <v>4</v>
      </c>
      <c r="AD10">
        <v>5.1567194633690798</v>
      </c>
      <c r="AE10">
        <v>12</v>
      </c>
      <c r="AF10">
        <v>11.0546695923162</v>
      </c>
      <c r="AG10" s="1">
        <f>Table1[[#This Row],[ShotsF]]/Table1[[#This Row],[xShotsF]]</f>
        <v>1.1322364647434926</v>
      </c>
      <c r="AH10">
        <v>136</v>
      </c>
      <c r="AI10">
        <v>120.116251538331</v>
      </c>
      <c r="AJ10" s="1">
        <f>Table1[[#This Row],[ShotsA]]/Table1[[#This Row],[xShotsA]]</f>
        <v>0.82371473793978112</v>
      </c>
      <c r="AK10">
        <v>153</v>
      </c>
      <c r="AL10">
        <v>185.743914674482</v>
      </c>
      <c r="AM10" s="1">
        <f>Table1[[#This Row],[ShotsTF]]/Table1[[#This Row],[xShotsTF]]</f>
        <v>0.787519452124121</v>
      </c>
      <c r="AN10">
        <v>38</v>
      </c>
      <c r="AO10">
        <v>48.252776356831902</v>
      </c>
      <c r="AP10" s="1">
        <f>Table1[[#This Row],[ShotsTA]]/Table1[[#This Row],[xShotsTA]]</f>
        <v>0.7243417153593027</v>
      </c>
      <c r="AQ10">
        <v>59</v>
      </c>
      <c r="AR10">
        <v>81.453268186733695</v>
      </c>
      <c r="AS10" s="1">
        <f>Table1[[#This Row],[Fouls]]/Table1[[#This Row],[xFouls]]</f>
        <v>1.0497452630219586</v>
      </c>
      <c r="AT10">
        <v>182</v>
      </c>
      <c r="AU10">
        <v>173.37539535645701</v>
      </c>
      <c r="AV10" s="1">
        <f>Table1[[#This Row],[FoulsA]]/Table1[[#This Row],[xFoulsA]]</f>
        <v>1.0408286452486306</v>
      </c>
      <c r="AW10">
        <v>166</v>
      </c>
      <c r="AX10">
        <v>159.48830843365801</v>
      </c>
      <c r="AY10" s="1">
        <f>Table1[[#This Row],[YCard]]/Table1[[#This Row],[xYCard]]</f>
        <v>1.1903990006651941</v>
      </c>
      <c r="AZ10">
        <v>30</v>
      </c>
      <c r="BA10">
        <v>25.201634059870699</v>
      </c>
      <c r="BB10" s="1">
        <f>Table1[[#This Row],[YCardA]]/Table1[[#This Row],[xYCardA]]</f>
        <v>1.0073528011456625</v>
      </c>
      <c r="BC10">
        <v>20</v>
      </c>
      <c r="BD10">
        <v>19.854017358421</v>
      </c>
      <c r="BE10">
        <v>2</v>
      </c>
      <c r="BF10">
        <v>1.52475943717688</v>
      </c>
      <c r="BG10">
        <v>0</v>
      </c>
      <c r="BH10">
        <v>1.02264921174685</v>
      </c>
    </row>
    <row r="11" spans="1:60" x14ac:dyDescent="0.45">
      <c r="A11">
        <v>7</v>
      </c>
      <c r="B11" t="s">
        <v>45</v>
      </c>
      <c r="C11">
        <v>12</v>
      </c>
      <c r="D11">
        <v>8.97847132815299</v>
      </c>
      <c r="E11">
        <v>3</v>
      </c>
      <c r="F11">
        <v>3</v>
      </c>
      <c r="G11">
        <v>7</v>
      </c>
      <c r="H11">
        <v>2.17778994837037</v>
      </c>
      <c r="I11">
        <v>2.44510148304188</v>
      </c>
      <c r="J11">
        <v>8.3771085685877402</v>
      </c>
      <c r="K11">
        <v>-11</v>
      </c>
      <c r="L11">
        <v>-17.161661264008</v>
      </c>
      <c r="M11" s="1">
        <f>Table1[[#This Row],[GoalsF]]/Table1[[#This Row],[xGoalsF]]</f>
        <v>1.3872044113774078</v>
      </c>
      <c r="N11" s="5">
        <f>Table1[[#This Row],[GoalsF]]-Table1[[#This Row],[xGoalsF]]</f>
        <v>4.4660113039051001</v>
      </c>
      <c r="O11">
        <v>16</v>
      </c>
      <c r="P11">
        <v>11.5339886960949</v>
      </c>
      <c r="Q11" s="1">
        <f>Table1[[#This Row],[GoalsA]]/Table1[[#This Row],[xGoalsA]]</f>
        <v>0.94090916349828446</v>
      </c>
      <c r="R11" s="5">
        <f>Table1[[#This Row],[xGoalsA]]-Table1[[#This Row],[GoalsA]]</f>
        <v>1.6956499601029016</v>
      </c>
      <c r="S11">
        <v>27</v>
      </c>
      <c r="T11">
        <v>28.695649960102902</v>
      </c>
      <c r="U11" s="1">
        <f>Table1[[#This Row],[2HGoalsF]]/Table1[[#This Row],[x2HGoalsF]]</f>
        <v>1.5517646414200124</v>
      </c>
      <c r="V11" s="3">
        <f>Table1[[#This Row],[2HGoalsF]]-Table1[[#This Row],[x2HGoalsF]]</f>
        <v>3.5557237656549203</v>
      </c>
      <c r="W11">
        <f>Table1[[#This Row],[GoalsF]]-Table1[[#This Row],[HTGoalsF]]</f>
        <v>10</v>
      </c>
      <c r="X11">
        <f>Table1[[#This Row],[xGoalsF]]-Table1[[#This Row],[xHTGoalsF]]</f>
        <v>6.4442762343450797</v>
      </c>
      <c r="Y11" s="2">
        <f>Table1[[#This Row],[2HGoalsA]]-Table1[[#This Row],[x2HGoalsA]]</f>
        <v>-4.1217111355976002</v>
      </c>
      <c r="Z11">
        <f>Table1[[#This Row],[GoalsA]]-Table1[[#This Row],[HTGoalsA]]</f>
        <v>12</v>
      </c>
      <c r="AA11">
        <f>Table1[[#This Row],[xGoalsA]]-Table1[[#This Row],[xHTGoalsA]]</f>
        <v>16.1217111355976</v>
      </c>
      <c r="AB11" s="1">
        <f>Table1[[#This Row],[HTGoalsF]]/Table1[[#This Row],[xHTGoalsF]]</f>
        <v>1.1788485194578608</v>
      </c>
      <c r="AC11">
        <v>6</v>
      </c>
      <c r="AD11">
        <v>5.0897124617498202</v>
      </c>
      <c r="AE11">
        <v>15</v>
      </c>
      <c r="AF11">
        <v>12.5739388245053</v>
      </c>
      <c r="AG11" s="1">
        <f>Table1[[#This Row],[ShotsF]]/Table1[[#This Row],[xShotsF]]</f>
        <v>1.2930803208317001</v>
      </c>
      <c r="AH11">
        <v>154</v>
      </c>
      <c r="AI11">
        <v>119.095463382312</v>
      </c>
      <c r="AJ11" s="1">
        <f>Table1[[#This Row],[ShotsA]]/Table1[[#This Row],[xShotsA]]</f>
        <v>1.0758240154547754</v>
      </c>
      <c r="AK11">
        <v>214</v>
      </c>
      <c r="AL11">
        <v>198.917292164683</v>
      </c>
      <c r="AM11" s="1">
        <f>Table1[[#This Row],[ShotsTF]]/Table1[[#This Row],[xShotsTF]]</f>
        <v>0.95774203032430505</v>
      </c>
      <c r="AN11">
        <v>45</v>
      </c>
      <c r="AO11">
        <v>46.985512356351698</v>
      </c>
      <c r="AP11" s="1">
        <f>Table1[[#This Row],[ShotsTA]]/Table1[[#This Row],[xShotsTA]]</f>
        <v>0.93043412613082999</v>
      </c>
      <c r="AQ11">
        <v>81</v>
      </c>
      <c r="AR11">
        <v>87.056136189710699</v>
      </c>
      <c r="AS11" s="1">
        <f>Table1[[#This Row],[Fouls]]/Table1[[#This Row],[xFouls]]</f>
        <v>0.91047609210640923</v>
      </c>
      <c r="AT11">
        <v>155</v>
      </c>
      <c r="AU11">
        <v>170.240604167215</v>
      </c>
      <c r="AV11" s="1">
        <f>Table1[[#This Row],[FoulsA]]/Table1[[#This Row],[xFoulsA]]</f>
        <v>0.95938256666128663</v>
      </c>
      <c r="AW11">
        <v>149</v>
      </c>
      <c r="AX11">
        <v>155.30822132669101</v>
      </c>
      <c r="AY11" s="1">
        <f>Table1[[#This Row],[YCard]]/Table1[[#This Row],[xYCard]]</f>
        <v>1.3707768850999424</v>
      </c>
      <c r="AZ11">
        <v>34</v>
      </c>
      <c r="BA11">
        <v>24.803452968585098</v>
      </c>
      <c r="BB11" s="1">
        <f>Table1[[#This Row],[YCardA]]/Table1[[#This Row],[xYCardA]]</f>
        <v>1.0286862083062025</v>
      </c>
      <c r="BC11">
        <v>20</v>
      </c>
      <c r="BD11">
        <v>19.442274853603099</v>
      </c>
      <c r="BE11">
        <v>3</v>
      </c>
      <c r="BF11">
        <v>1.51014553462491</v>
      </c>
      <c r="BG11">
        <v>0</v>
      </c>
      <c r="BH11">
        <v>1.0212744526051101</v>
      </c>
    </row>
    <row r="12" spans="1:60" x14ac:dyDescent="0.45">
      <c r="C12">
        <f>SUM(Table1[Points])</f>
        <v>176</v>
      </c>
      <c r="D12">
        <f>SUBTOTAL(109,Table1[xPoints])</f>
        <v>176.77637133266924</v>
      </c>
      <c r="E12">
        <f>SUBTOTAL(109,Table1[Wins])</f>
        <v>48</v>
      </c>
      <c r="F12">
        <f>SUBTOTAL(109,Table1[Draws])</f>
        <v>32</v>
      </c>
      <c r="G12">
        <f>SUBTOTAL(109,Table1[Losses])</f>
        <v>48</v>
      </c>
      <c r="H12">
        <f>SUBTOTAL(109,Table1[xWins])</f>
        <v>48.776371332669605</v>
      </c>
      <c r="I12">
        <f>SUBTOTAL(109,Table1[xDraws])</f>
        <v>30.44725733466062</v>
      </c>
      <c r="J12">
        <f>SUBTOTAL(109,Table1[xLosses])</f>
        <v>48.776371332669626</v>
      </c>
      <c r="K12">
        <f>SUBTOTAL(107,Table1[GoalDiff])</f>
        <v>11.879019787470307</v>
      </c>
      <c r="L12">
        <f>SUBTOTAL(107,Table1[xGoalDiff])</f>
        <v>11.08493117692481</v>
      </c>
      <c r="O12">
        <f>SUBTOTAL(109,Table1[GoalsF])</f>
        <v>158</v>
      </c>
      <c r="P12">
        <f>SUBTOTAL(109,Table1[xGoalsF])</f>
        <v>180.79949966357501</v>
      </c>
      <c r="S12">
        <f>SUBTOTAL(109,Table1[GoalsA])</f>
        <v>158</v>
      </c>
      <c r="T12">
        <f>SUBTOTAL(109,Table1[xGoalsA])</f>
        <v>180.79949966357509</v>
      </c>
      <c r="W12">
        <f>SUBTOTAL(109,Table1[2HGoalsF])</f>
        <v>80</v>
      </c>
      <c r="X12">
        <f>SUBTOTAL(109,Table1[x2HGoalsF])</f>
        <v>101.16094530563916</v>
      </c>
      <c r="Z12">
        <f>SUBTOTAL(109,Table1[2HGoalsA])</f>
        <v>80</v>
      </c>
      <c r="AA12">
        <f>SUBTOTAL(109,Table1[x2HGoalsA])</f>
        <v>101.16094530563922</v>
      </c>
      <c r="AC12">
        <f>SUBTOTAL(109,Table1[HTGoalsF])</f>
        <v>78</v>
      </c>
      <c r="AD12">
        <f>SUBTOTAL(109,Table1[xHTGoalsF])</f>
        <v>79.63855435793586</v>
      </c>
      <c r="AE12">
        <f>SUBTOTAL(109,Table1[HTGoalsA])</f>
        <v>78</v>
      </c>
      <c r="AF12">
        <f>SUBTOTAL(109,Table1[xHTGoalsA])</f>
        <v>79.638554357935888</v>
      </c>
      <c r="AH12">
        <f>SUBTOTAL(109,Table1[ShotsF])</f>
        <v>1425</v>
      </c>
      <c r="AI12">
        <f>SUBTOTAL(109,Table1[xShotsF])</f>
        <v>1508.959092984825</v>
      </c>
      <c r="AK12">
        <f>SUBTOTAL(109,Table1[ShotsA])</f>
        <v>1425</v>
      </c>
      <c r="AL12">
        <f>SUBTOTAL(109,Table1[xShotsA])</f>
        <v>1508.9590929848241</v>
      </c>
      <c r="AN12">
        <f>SUBTOTAL(109,Table1[ShotsTF])</f>
        <v>507</v>
      </c>
      <c r="AO12">
        <f>SUBTOTAL(109,Table1[xShotsTF])</f>
        <v>638.35533238346386</v>
      </c>
      <c r="AQ12">
        <f>SUBTOTAL(109,Table1[ShotsTA])</f>
        <v>507</v>
      </c>
      <c r="AR12">
        <f>SUBTOTAL(109,Table1[xShotsTA])</f>
        <v>638.35533238346386</v>
      </c>
      <c r="AS12" s="4">
        <f>SUBTOTAL(101,Table1[%Fouls])</f>
        <v>1.0790192635451956</v>
      </c>
      <c r="AT12">
        <f>SUBTOTAL(109,Table1[Fouls])</f>
        <v>1772</v>
      </c>
      <c r="AU12">
        <f>SUBTOTAL(109,Table1[xFouls])</f>
        <v>1641.3202342384279</v>
      </c>
      <c r="AW12">
        <f>SUBTOTAL(109,Table1[FoulsA])</f>
        <v>1772</v>
      </c>
      <c r="AX12">
        <f>SUBTOTAL(109,Table1[xFoulsA])</f>
        <v>1641.32023423843</v>
      </c>
      <c r="AY12" s="4">
        <f>SUBTOTAL(101,Table1[%Ycard])</f>
        <v>1.2633693238347301</v>
      </c>
      <c r="AZ12">
        <f>SUBTOTAL(109,Table1[YCard])</f>
        <v>281</v>
      </c>
      <c r="BA12">
        <f>SUBTOTAL(109,Table1[xYCard])</f>
        <v>221.41958236398179</v>
      </c>
      <c r="BB12" s="4">
        <f>SUBTOTAL(101,Table1[%YCardA])</f>
        <v>1.2613316822509315</v>
      </c>
      <c r="BC12">
        <f>SUBTOTAL(109,Table1[YCardA])</f>
        <v>281</v>
      </c>
      <c r="BD12">
        <f>SUBTOTAL(109,Table1[xYCardA])</f>
        <v>221.41958236398182</v>
      </c>
      <c r="BE12">
        <f>SUBTOTAL(109,Table1[RCard])</f>
        <v>15</v>
      </c>
      <c r="BF12">
        <f>SUBTOTAL(109,Table1[xRCard])</f>
        <v>12.873355356852271</v>
      </c>
      <c r="BG12">
        <f>SUBTOTAL(109,Table1[RCardA])</f>
        <v>15</v>
      </c>
      <c r="BH12">
        <f>SUBTOTAL(109,Table1[xRCardA])</f>
        <v>12.873355356852272</v>
      </c>
    </row>
    <row r="14" spans="1:60" x14ac:dyDescent="0.45">
      <c r="C14">
        <v>176</v>
      </c>
      <c r="D14">
        <v>176.77637133266924</v>
      </c>
      <c r="E14">
        <v>48</v>
      </c>
      <c r="F14">
        <v>32</v>
      </c>
      <c r="G14">
        <v>48</v>
      </c>
      <c r="H14">
        <v>48.776371332669605</v>
      </c>
      <c r="I14">
        <v>30.44725733466062</v>
      </c>
      <c r="J14">
        <v>48.776371332669619</v>
      </c>
      <c r="K14">
        <v>11.879019787470307</v>
      </c>
      <c r="L14">
        <v>11.084931176924812</v>
      </c>
      <c r="O14">
        <v>158</v>
      </c>
      <c r="P14">
        <v>180.79949966357501</v>
      </c>
      <c r="S14">
        <v>158</v>
      </c>
      <c r="T14">
        <v>180.79949966357509</v>
      </c>
      <c r="W14">
        <v>80</v>
      </c>
      <c r="X14">
        <v>101.16094530563916</v>
      </c>
      <c r="AC14">
        <v>78</v>
      </c>
      <c r="AD14">
        <v>79.638554357935845</v>
      </c>
      <c r="AE14">
        <v>78</v>
      </c>
      <c r="AF14">
        <v>79.638554357935888</v>
      </c>
      <c r="AH14">
        <v>1425</v>
      </c>
      <c r="AI14">
        <v>1508.959092984825</v>
      </c>
      <c r="AK14">
        <v>1425</v>
      </c>
      <c r="AL14">
        <v>1508.9590929848241</v>
      </c>
      <c r="AN14">
        <v>507</v>
      </c>
      <c r="AO14">
        <v>638.35533238346375</v>
      </c>
      <c r="AQ14">
        <v>507</v>
      </c>
      <c r="AR14">
        <v>638.35533238346375</v>
      </c>
      <c r="AT14">
        <v>1772</v>
      </c>
      <c r="AU14">
        <v>1641.3202342384279</v>
      </c>
      <c r="AW14">
        <v>1772</v>
      </c>
      <c r="AX14">
        <v>1641.3202342384297</v>
      </c>
      <c r="AZ14">
        <v>281</v>
      </c>
      <c r="BA14">
        <v>221.41958236398179</v>
      </c>
      <c r="BC14">
        <v>281</v>
      </c>
      <c r="BD14">
        <v>221.41958236398179</v>
      </c>
      <c r="BE14">
        <v>15</v>
      </c>
      <c r="BF14">
        <v>12.873355356852272</v>
      </c>
      <c r="BG14">
        <v>15</v>
      </c>
      <c r="BH14">
        <v>12.873355356852269</v>
      </c>
    </row>
    <row r="16" spans="1:60" x14ac:dyDescent="0.45">
      <c r="C16" s="1">
        <f>C14/D14</f>
        <v>0.99560817247906841</v>
      </c>
      <c r="D16" s="1"/>
      <c r="E16" s="1">
        <f>E14/H14</f>
        <v>0.98408304448532025</v>
      </c>
      <c r="F16" s="1">
        <f>F14/I14</f>
        <v>1.0509977844070626</v>
      </c>
      <c r="G16" s="1"/>
      <c r="H16" s="1"/>
      <c r="I16" s="1"/>
      <c r="J16" s="1"/>
      <c r="K16" s="1"/>
      <c r="L16" s="1"/>
      <c r="M16" s="1"/>
      <c r="N16" s="1"/>
      <c r="O16" s="1">
        <f>O14/P14</f>
        <v>0.87389622368424991</v>
      </c>
      <c r="P16" s="1"/>
      <c r="Q16" s="1"/>
      <c r="R16" s="1"/>
      <c r="S16" s="1"/>
      <c r="T16" s="1"/>
      <c r="U16" s="1"/>
      <c r="V16" s="1"/>
      <c r="W16" s="1">
        <f>W14/X14</f>
        <v>0.79081902366861778</v>
      </c>
      <c r="X16" s="1"/>
      <c r="Y16" s="1"/>
      <c r="Z16" s="1"/>
      <c r="AA16" s="1"/>
      <c r="AB16" s="1"/>
      <c r="AC16" s="1">
        <f>AC14/AD14</f>
        <v>0.9794251117295355</v>
      </c>
      <c r="AD16" s="1"/>
      <c r="AE16" s="1"/>
      <c r="AF16" s="1"/>
      <c r="AG16" s="1"/>
      <c r="AH16" s="1">
        <f>AH14/AI14</f>
        <v>0.94435959637663325</v>
      </c>
      <c r="AI16" s="1"/>
      <c r="AJ16" s="1"/>
      <c r="AK16" s="1"/>
      <c r="AL16" s="1"/>
      <c r="AM16" s="1"/>
      <c r="AN16" s="1">
        <f>AN14/AO14</f>
        <v>0.79422850296712511</v>
      </c>
      <c r="AO16" s="1"/>
      <c r="AP16" s="1"/>
      <c r="AQ16" s="1"/>
      <c r="AR16" s="1"/>
      <c r="AS16" s="1"/>
      <c r="AT16" s="1">
        <f>AT14/AU14</f>
        <v>1.0796186892938704</v>
      </c>
      <c r="AU16" s="1"/>
      <c r="AV16" s="1"/>
      <c r="AW16" s="1"/>
      <c r="AX16" s="1"/>
      <c r="AY16" s="1"/>
      <c r="AZ16" s="1">
        <f>AZ14/BA14</f>
        <v>1.2690837775047223</v>
      </c>
      <c r="BA16" s="1"/>
      <c r="BB16" s="1"/>
      <c r="BC16" s="1"/>
      <c r="BD16" s="1"/>
      <c r="BE16" s="1">
        <f>BE14/BF14</f>
        <v>1.1651973851569124</v>
      </c>
    </row>
  </sheetData>
  <phoneticPr fontId="18" type="noConversion"/>
  <pageMargins left="0.7" right="0.7" top="0.75" bottom="0.75" header="0.3" footer="0.3"/>
  <pageSetup orientation="portrait" horizontalDpi="360" verticalDpi="36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1"/>
  <sheetViews>
    <sheetView workbookViewId="0">
      <selection activeCell="C17" sqref="C17"/>
    </sheetView>
  </sheetViews>
  <sheetFormatPr defaultRowHeight="14.25" x14ac:dyDescent="0.45"/>
  <sheetData>
    <row r="1" spans="1:3" x14ac:dyDescent="0.45">
      <c r="A1" t="s">
        <v>0</v>
      </c>
      <c r="B1" t="s">
        <v>76</v>
      </c>
      <c r="C1" t="s">
        <v>77</v>
      </c>
    </row>
    <row r="2" spans="1:3" x14ac:dyDescent="0.45">
      <c r="A2" t="s">
        <v>41</v>
      </c>
      <c r="B2">
        <v>34</v>
      </c>
      <c r="C2" s="2">
        <v>27.24275163375</v>
      </c>
    </row>
    <row r="3" spans="1:3" x14ac:dyDescent="0.45">
      <c r="A3" t="s">
        <v>44</v>
      </c>
      <c r="B3">
        <v>28</v>
      </c>
      <c r="C3" s="2">
        <v>26.274523388877</v>
      </c>
    </row>
    <row r="4" spans="1:3" x14ac:dyDescent="0.45">
      <c r="A4" t="s">
        <v>40</v>
      </c>
      <c r="B4">
        <v>19</v>
      </c>
      <c r="C4" s="2">
        <v>19.683527987955699</v>
      </c>
    </row>
    <row r="5" spans="1:3" x14ac:dyDescent="0.45">
      <c r="A5" t="s">
        <v>46</v>
      </c>
      <c r="B5">
        <v>18</v>
      </c>
      <c r="C5" s="2">
        <v>19.444860760775502</v>
      </c>
    </row>
    <row r="6" spans="1:3" x14ac:dyDescent="0.45">
      <c r="A6" t="s">
        <v>42</v>
      </c>
      <c r="B6">
        <v>16</v>
      </c>
      <c r="C6" s="2">
        <v>19.125009798603902</v>
      </c>
    </row>
    <row r="7" spans="1:3" x14ac:dyDescent="0.45">
      <c r="A7" t="s">
        <v>39</v>
      </c>
      <c r="B7">
        <v>16</v>
      </c>
      <c r="C7" s="2">
        <v>18.1183130724881</v>
      </c>
    </row>
    <row r="8" spans="1:3" x14ac:dyDescent="0.45">
      <c r="A8" t="s">
        <v>47</v>
      </c>
      <c r="B8">
        <v>12</v>
      </c>
      <c r="C8" s="2">
        <v>15.0198360896701</v>
      </c>
    </row>
    <row r="9" spans="1:3" x14ac:dyDescent="0.45">
      <c r="A9" t="s">
        <v>53</v>
      </c>
      <c r="B9">
        <v>14</v>
      </c>
      <c r="C9" s="2">
        <v>13.5235088705734</v>
      </c>
    </row>
    <row r="10" spans="1:3" x14ac:dyDescent="0.45">
      <c r="A10" t="s">
        <v>43</v>
      </c>
      <c r="B10">
        <v>7</v>
      </c>
      <c r="C10" s="2">
        <v>9.3655684018225802</v>
      </c>
    </row>
    <row r="11" spans="1:3" x14ac:dyDescent="0.45">
      <c r="A11" t="s">
        <v>45</v>
      </c>
      <c r="B11">
        <v>12</v>
      </c>
      <c r="C11" s="2">
        <v>8.97847132815299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1"/>
  <sheetViews>
    <sheetView workbookViewId="0">
      <selection activeCell="D19" sqref="D19"/>
    </sheetView>
  </sheetViews>
  <sheetFormatPr defaultRowHeight="14.25" x14ac:dyDescent="0.45"/>
  <cols>
    <col min="3" max="3" width="12.19921875" bestFit="1" customWidth="1"/>
  </cols>
  <sheetData>
    <row r="1" spans="1:3" x14ac:dyDescent="0.45">
      <c r="A1" t="s">
        <v>0</v>
      </c>
      <c r="B1" t="s">
        <v>74</v>
      </c>
      <c r="C1" t="s">
        <v>75</v>
      </c>
    </row>
    <row r="2" spans="1:3" x14ac:dyDescent="0.45">
      <c r="A2" t="s">
        <v>41</v>
      </c>
      <c r="B2">
        <v>27</v>
      </c>
      <c r="C2" s="2">
        <v>26.995462791247</v>
      </c>
    </row>
    <row r="3" spans="1:3" x14ac:dyDescent="0.45">
      <c r="A3" t="s">
        <v>44</v>
      </c>
      <c r="B3">
        <v>20</v>
      </c>
      <c r="C3" s="2">
        <v>25.964283327011699</v>
      </c>
    </row>
    <row r="4" spans="1:3" x14ac:dyDescent="0.45">
      <c r="A4" t="s">
        <v>40</v>
      </c>
      <c r="B4">
        <v>20</v>
      </c>
      <c r="C4" s="2">
        <v>19.484127259390402</v>
      </c>
    </row>
    <row r="5" spans="1:3" x14ac:dyDescent="0.45">
      <c r="A5" t="s">
        <v>42</v>
      </c>
      <c r="B5">
        <v>14</v>
      </c>
      <c r="C5" s="2">
        <v>18.6847074201273</v>
      </c>
    </row>
    <row r="6" spans="1:3" x14ac:dyDescent="0.45">
      <c r="A6" t="s">
        <v>46</v>
      </c>
      <c r="B6">
        <v>16</v>
      </c>
      <c r="C6" s="2">
        <v>18.352853172753701</v>
      </c>
    </row>
    <row r="7" spans="1:3" x14ac:dyDescent="0.45">
      <c r="A7" t="s">
        <v>39</v>
      </c>
      <c r="B7">
        <v>15</v>
      </c>
      <c r="C7" s="2">
        <v>17.9818426425959</v>
      </c>
    </row>
    <row r="8" spans="1:3" x14ac:dyDescent="0.45">
      <c r="A8" t="s">
        <v>47</v>
      </c>
      <c r="B8">
        <v>9</v>
      </c>
      <c r="C8" s="2">
        <v>15.568894055166099</v>
      </c>
    </row>
    <row r="9" spans="1:3" x14ac:dyDescent="0.45">
      <c r="A9" t="s">
        <v>53</v>
      </c>
      <c r="B9">
        <v>13</v>
      </c>
      <c r="C9" s="2">
        <v>14.6177889367112</v>
      </c>
    </row>
    <row r="10" spans="1:3" x14ac:dyDescent="0.45">
      <c r="A10" t="s">
        <v>43</v>
      </c>
      <c r="B10">
        <v>8</v>
      </c>
      <c r="C10" s="2">
        <v>11.615551362476801</v>
      </c>
    </row>
    <row r="11" spans="1:3" x14ac:dyDescent="0.45">
      <c r="A11" t="s">
        <v>45</v>
      </c>
      <c r="B11">
        <v>16</v>
      </c>
      <c r="C11" s="2">
        <v>11.5339886960949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1"/>
  <sheetViews>
    <sheetView workbookViewId="0">
      <selection activeCell="S6" sqref="S6"/>
    </sheetView>
  </sheetViews>
  <sheetFormatPr defaultRowHeight="14.25" x14ac:dyDescent="0.45"/>
  <sheetData>
    <row r="1" spans="1:3" x14ac:dyDescent="0.45">
      <c r="A1" t="s">
        <v>0</v>
      </c>
      <c r="B1" t="s">
        <v>78</v>
      </c>
      <c r="C1" t="s">
        <v>79</v>
      </c>
    </row>
    <row r="2" spans="1:3" x14ac:dyDescent="0.45">
      <c r="A2" t="s">
        <v>41</v>
      </c>
      <c r="B2">
        <v>4</v>
      </c>
      <c r="C2" s="2">
        <v>9.6601953302699002</v>
      </c>
    </row>
    <row r="3" spans="1:3" x14ac:dyDescent="0.45">
      <c r="A3" t="s">
        <v>44</v>
      </c>
      <c r="B3">
        <v>6</v>
      </c>
      <c r="C3" s="2">
        <v>10.013442639886099</v>
      </c>
    </row>
    <row r="4" spans="1:3" x14ac:dyDescent="0.45">
      <c r="A4" t="s">
        <v>40</v>
      </c>
      <c r="B4">
        <v>12</v>
      </c>
      <c r="C4" s="2">
        <v>17.242387928768899</v>
      </c>
    </row>
    <row r="5" spans="1:3" x14ac:dyDescent="0.45">
      <c r="A5" t="s">
        <v>42</v>
      </c>
      <c r="B5">
        <v>18</v>
      </c>
      <c r="C5" s="2">
        <v>16.5659663124882</v>
      </c>
    </row>
    <row r="6" spans="1:3" x14ac:dyDescent="0.45">
      <c r="A6" t="s">
        <v>46</v>
      </c>
      <c r="B6">
        <v>17</v>
      </c>
      <c r="C6" s="2">
        <v>15.9872014387902</v>
      </c>
    </row>
    <row r="7" spans="1:3" x14ac:dyDescent="0.45">
      <c r="A7" t="s">
        <v>39</v>
      </c>
      <c r="B7">
        <v>14</v>
      </c>
      <c r="C7" s="2">
        <v>16.847807585917302</v>
      </c>
    </row>
    <row r="8" spans="1:3" x14ac:dyDescent="0.45">
      <c r="A8" t="s">
        <v>47</v>
      </c>
      <c r="B8">
        <v>18</v>
      </c>
      <c r="C8" s="2">
        <v>19.479599419569901</v>
      </c>
    </row>
    <row r="9" spans="1:3" x14ac:dyDescent="0.45">
      <c r="A9" t="s">
        <v>53</v>
      </c>
      <c r="B9">
        <v>19</v>
      </c>
      <c r="C9" s="2">
        <v>21.2454520760318</v>
      </c>
    </row>
    <row r="10" spans="1:3" x14ac:dyDescent="0.45">
      <c r="A10" t="s">
        <v>43</v>
      </c>
      <c r="B10">
        <v>23</v>
      </c>
      <c r="C10" s="2">
        <v>25.061796971749899</v>
      </c>
    </row>
    <row r="11" spans="1:3" x14ac:dyDescent="0.45">
      <c r="A11" t="s">
        <v>45</v>
      </c>
      <c r="B11">
        <v>27</v>
      </c>
      <c r="C11" s="2">
        <v>28.695649960102902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7"/>
  <sheetViews>
    <sheetView topLeftCell="C1" zoomScale="110" zoomScaleNormal="110" workbookViewId="0">
      <selection activeCell="T15" sqref="T15"/>
    </sheetView>
  </sheetViews>
  <sheetFormatPr defaultRowHeight="14.25" x14ac:dyDescent="0.45"/>
  <sheetData>
    <row r="1" spans="1:3" x14ac:dyDescent="0.45">
      <c r="A1" t="s">
        <v>0</v>
      </c>
      <c r="B1" t="s">
        <v>80</v>
      </c>
      <c r="C1" t="s">
        <v>81</v>
      </c>
    </row>
    <row r="2" spans="1:3" x14ac:dyDescent="0.45">
      <c r="A2" t="s">
        <v>41</v>
      </c>
      <c r="B2" s="6">
        <v>4.5372087529997884E-3</v>
      </c>
      <c r="C2" s="6">
        <v>5.6601953302699002</v>
      </c>
    </row>
    <row r="3" spans="1:3" x14ac:dyDescent="0.45">
      <c r="A3" t="s">
        <v>44</v>
      </c>
      <c r="B3" s="6">
        <v>-5.9642833270116995</v>
      </c>
      <c r="C3" s="6">
        <v>4.0134426398860992</v>
      </c>
    </row>
    <row r="4" spans="1:3" x14ac:dyDescent="0.45">
      <c r="A4" t="s">
        <v>40</v>
      </c>
      <c r="B4" s="6">
        <v>0.51587274060959842</v>
      </c>
      <c r="C4" s="6">
        <v>5.242387928768899</v>
      </c>
    </row>
    <row r="5" spans="1:3" x14ac:dyDescent="0.45">
      <c r="A5" t="s">
        <v>42</v>
      </c>
      <c r="B5" s="6">
        <v>-4.6847074201272996</v>
      </c>
      <c r="C5" s="6">
        <v>-1.4340336875117998</v>
      </c>
    </row>
    <row r="6" spans="1:3" x14ac:dyDescent="0.45">
      <c r="A6" t="s">
        <v>46</v>
      </c>
      <c r="B6" s="6">
        <v>-2.3528531727537008</v>
      </c>
      <c r="C6" s="6">
        <v>-1.0127985612098005</v>
      </c>
    </row>
    <row r="7" spans="1:3" x14ac:dyDescent="0.45">
      <c r="A7" t="s">
        <v>39</v>
      </c>
      <c r="B7" s="6">
        <v>-2.9818426425959004</v>
      </c>
      <c r="C7" s="6">
        <v>2.8478075859173018</v>
      </c>
    </row>
    <row r="8" spans="1:3" x14ac:dyDescent="0.45">
      <c r="A8" t="s">
        <v>47</v>
      </c>
      <c r="B8" s="6">
        <v>-6.5688940551660995</v>
      </c>
      <c r="C8" s="6">
        <v>1.4795994195699009</v>
      </c>
    </row>
    <row r="9" spans="1:3" x14ac:dyDescent="0.45">
      <c r="A9" t="s">
        <v>53</v>
      </c>
      <c r="B9" s="6">
        <v>-1.6177889367112002</v>
      </c>
      <c r="C9" s="6">
        <v>2.2454520760317997</v>
      </c>
    </row>
    <row r="10" spans="1:3" x14ac:dyDescent="0.45">
      <c r="A10" t="s">
        <v>43</v>
      </c>
      <c r="B10" s="6">
        <v>-3.6155513624768005</v>
      </c>
      <c r="C10" s="6">
        <v>2.0617969717498994</v>
      </c>
    </row>
    <row r="11" spans="1:3" x14ac:dyDescent="0.45">
      <c r="A11" t="s">
        <v>45</v>
      </c>
      <c r="B11" s="6">
        <v>4.4660113039051001</v>
      </c>
      <c r="C11" s="6">
        <v>1.6956499601029016</v>
      </c>
    </row>
    <row r="16" spans="1:3" x14ac:dyDescent="0.45">
      <c r="A16" t="s">
        <v>82</v>
      </c>
    </row>
    <row r="17" spans="1:1" x14ac:dyDescent="0.45">
      <c r="A17" t="s">
        <v>83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1"/>
  <sheetViews>
    <sheetView workbookViewId="0">
      <selection activeCell="C2" sqref="C2"/>
    </sheetView>
  </sheetViews>
  <sheetFormatPr defaultRowHeight="14.25" x14ac:dyDescent="0.45"/>
  <sheetData>
    <row r="1" spans="1:3" x14ac:dyDescent="0.45">
      <c r="A1" t="s">
        <v>0</v>
      </c>
      <c r="B1" t="s">
        <v>71</v>
      </c>
      <c r="C1" t="s">
        <v>72</v>
      </c>
    </row>
    <row r="2" spans="1:3" x14ac:dyDescent="0.45">
      <c r="A2" t="s">
        <v>41</v>
      </c>
      <c r="B2" s="1">
        <v>0.84380812031012398</v>
      </c>
      <c r="C2" s="1">
        <v>0.82558761136557945</v>
      </c>
    </row>
    <row r="3" spans="1:3" x14ac:dyDescent="0.45">
      <c r="A3" t="s">
        <v>44</v>
      </c>
      <c r="B3" s="1">
        <v>0.9622864588390958</v>
      </c>
      <c r="C3" s="1">
        <v>0.91809926504179507</v>
      </c>
    </row>
    <row r="4" spans="1:3" x14ac:dyDescent="0.45">
      <c r="A4" t="s">
        <v>40</v>
      </c>
      <c r="B4" s="1">
        <v>0.90190011843953821</v>
      </c>
      <c r="C4" s="1">
        <v>0.8810911145099749</v>
      </c>
    </row>
    <row r="5" spans="1:3" x14ac:dyDescent="0.45">
      <c r="A5" t="s">
        <v>42</v>
      </c>
      <c r="B5" s="1">
        <v>0.77615446771352914</v>
      </c>
      <c r="C5" s="1">
        <v>0.99907034852355792</v>
      </c>
    </row>
    <row r="6" spans="1:3" x14ac:dyDescent="0.45">
      <c r="A6" t="s">
        <v>46</v>
      </c>
      <c r="B6" s="1">
        <v>0.89195115303004324</v>
      </c>
      <c r="C6" s="1">
        <v>1.0405069918609831</v>
      </c>
    </row>
    <row r="7" spans="1:3" x14ac:dyDescent="0.45">
      <c r="A7" t="s">
        <v>39</v>
      </c>
      <c r="B7" s="1">
        <v>0.97659638124103754</v>
      </c>
      <c r="C7" s="1">
        <v>0.88119533402168215</v>
      </c>
    </row>
    <row r="8" spans="1:3" x14ac:dyDescent="0.45">
      <c r="A8" t="s">
        <v>47</v>
      </c>
      <c r="B8" s="1">
        <v>0.8180943395182837</v>
      </c>
      <c r="C8" s="1">
        <v>1.0833613125096064</v>
      </c>
    </row>
    <row r="9" spans="1:3" x14ac:dyDescent="0.45">
      <c r="A9" t="s">
        <v>53</v>
      </c>
      <c r="B9" s="1">
        <v>0.98589341708501088</v>
      </c>
      <c r="C9" s="1">
        <v>0.86367859141815162</v>
      </c>
    </row>
    <row r="10" spans="1:3" x14ac:dyDescent="0.45">
      <c r="A10" t="s">
        <v>43</v>
      </c>
      <c r="B10" s="1">
        <v>1.1322364647434926</v>
      </c>
      <c r="C10" s="1">
        <v>0.82371473793978112</v>
      </c>
    </row>
    <row r="11" spans="1:3" x14ac:dyDescent="0.45">
      <c r="A11" t="s">
        <v>45</v>
      </c>
      <c r="B11" s="1">
        <v>1.2930803208317001</v>
      </c>
      <c r="C11" s="1">
        <v>1.0758240154547754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11"/>
  <sheetViews>
    <sheetView workbookViewId="0">
      <selection activeCell="B2" sqref="B2"/>
    </sheetView>
  </sheetViews>
  <sheetFormatPr defaultRowHeight="14.25" x14ac:dyDescent="0.45"/>
  <sheetData>
    <row r="1" spans="1:3" x14ac:dyDescent="0.45">
      <c r="A1" t="s">
        <v>0</v>
      </c>
      <c r="B1" t="s">
        <v>73</v>
      </c>
      <c r="C1" t="s">
        <v>70</v>
      </c>
    </row>
    <row r="2" spans="1:3" x14ac:dyDescent="0.45">
      <c r="A2" t="s">
        <v>41</v>
      </c>
      <c r="B2" s="1">
        <v>0.87752362143053786</v>
      </c>
      <c r="C2" s="1">
        <v>0.66456552115147782</v>
      </c>
    </row>
    <row r="3" spans="1:3" x14ac:dyDescent="0.45">
      <c r="A3" t="s">
        <v>44</v>
      </c>
      <c r="B3" s="1">
        <v>0.85229013792275699</v>
      </c>
      <c r="C3" s="1">
        <v>0.81607464322913248</v>
      </c>
    </row>
    <row r="4" spans="1:3" x14ac:dyDescent="0.45">
      <c r="A4" t="s">
        <v>40</v>
      </c>
      <c r="B4" s="1">
        <v>0.77069455769947082</v>
      </c>
      <c r="C4" s="1">
        <v>0.59403559893825775</v>
      </c>
    </row>
    <row r="5" spans="1:3" x14ac:dyDescent="0.45">
      <c r="A5" t="s">
        <v>42</v>
      </c>
      <c r="B5" s="1">
        <v>0.63008657285785774</v>
      </c>
      <c r="C5" s="1">
        <v>1.0179226122388829</v>
      </c>
    </row>
    <row r="6" spans="1:3" x14ac:dyDescent="0.45">
      <c r="A6" t="s">
        <v>46</v>
      </c>
      <c r="B6" s="1">
        <v>0.76205805606610943</v>
      </c>
      <c r="C6" s="1">
        <v>0.93279295886084113</v>
      </c>
    </row>
    <row r="7" spans="1:3" x14ac:dyDescent="0.45">
      <c r="A7" t="s">
        <v>39</v>
      </c>
      <c r="B7" s="1">
        <v>0.72342755640488221</v>
      </c>
      <c r="C7" s="1">
        <v>0.74874621369726824</v>
      </c>
    </row>
    <row r="8" spans="1:3" x14ac:dyDescent="0.45">
      <c r="A8" t="s">
        <v>47</v>
      </c>
      <c r="B8" s="1">
        <v>0.69075742552662855</v>
      </c>
      <c r="C8" s="1">
        <v>0.75675233831449573</v>
      </c>
    </row>
    <row r="9" spans="1:3" x14ac:dyDescent="0.45">
      <c r="A9" t="s">
        <v>53</v>
      </c>
      <c r="B9" s="1">
        <v>0.91200314106674352</v>
      </c>
      <c r="C9" s="1">
        <v>0.71389558705273115</v>
      </c>
    </row>
    <row r="10" spans="1:3" x14ac:dyDescent="0.45">
      <c r="A10" t="s">
        <v>43</v>
      </c>
      <c r="B10" s="1">
        <v>0.787519452124121</v>
      </c>
      <c r="C10" s="1">
        <v>0.7243417153593027</v>
      </c>
    </row>
    <row r="11" spans="1:3" x14ac:dyDescent="0.45">
      <c r="A11" t="s">
        <v>45</v>
      </c>
      <c r="B11" s="1">
        <v>0.95774203032430505</v>
      </c>
      <c r="C11" s="1">
        <v>0.93043412613082999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1"/>
  <sheetViews>
    <sheetView workbookViewId="0">
      <selection activeCell="C2" sqref="C2"/>
    </sheetView>
  </sheetViews>
  <sheetFormatPr defaultRowHeight="14.25" x14ac:dyDescent="0.45"/>
  <sheetData>
    <row r="1" spans="1:3" x14ac:dyDescent="0.45">
      <c r="A1" t="s">
        <v>0</v>
      </c>
      <c r="B1" t="s">
        <v>68</v>
      </c>
      <c r="C1" t="s">
        <v>69</v>
      </c>
    </row>
    <row r="2" spans="1:3" x14ac:dyDescent="0.45">
      <c r="A2" t="s">
        <v>41</v>
      </c>
      <c r="B2" s="1">
        <v>1.0956442678903071</v>
      </c>
      <c r="C2" s="1">
        <v>1.1988761499837168</v>
      </c>
    </row>
    <row r="3" spans="1:3" x14ac:dyDescent="0.45">
      <c r="A3" t="s">
        <v>44</v>
      </c>
      <c r="B3" s="1">
        <v>1.0205335871235375</v>
      </c>
      <c r="C3" s="1">
        <v>1.2320433441280372</v>
      </c>
    </row>
    <row r="4" spans="1:3" x14ac:dyDescent="0.45">
      <c r="A4" t="s">
        <v>40</v>
      </c>
      <c r="B4" s="1">
        <v>1.0358604094035893</v>
      </c>
      <c r="C4" s="1">
        <v>0.99360686915917085</v>
      </c>
    </row>
    <row r="5" spans="1:3" x14ac:dyDescent="0.45">
      <c r="A5" t="s">
        <v>42</v>
      </c>
      <c r="B5" s="1">
        <v>0.98824992006863166</v>
      </c>
      <c r="C5" s="1">
        <v>0.9851173032764905</v>
      </c>
    </row>
    <row r="6" spans="1:3" x14ac:dyDescent="0.45">
      <c r="A6" t="s">
        <v>46</v>
      </c>
      <c r="B6" s="1">
        <v>1.2389891147124374</v>
      </c>
      <c r="C6" s="1">
        <v>1.1596732390524025</v>
      </c>
    </row>
    <row r="7" spans="1:3" x14ac:dyDescent="0.45">
      <c r="A7" t="s">
        <v>39</v>
      </c>
      <c r="B7" s="1">
        <v>1.1655647728190255</v>
      </c>
      <c r="C7" s="1">
        <v>1.1643211435676362</v>
      </c>
    </row>
    <row r="8" spans="1:3" x14ac:dyDescent="0.45">
      <c r="A8" t="s">
        <v>47</v>
      </c>
      <c r="B8" s="1">
        <v>1.0673580451951421</v>
      </c>
      <c r="C8" s="1">
        <v>0.92253676750430991</v>
      </c>
    </row>
    <row r="9" spans="1:3" x14ac:dyDescent="0.45">
      <c r="A9" t="s">
        <v>53</v>
      </c>
      <c r="B9" s="1">
        <v>1.21777116311092</v>
      </c>
      <c r="C9" s="1">
        <v>1.1410493241522395</v>
      </c>
    </row>
    <row r="10" spans="1:3" x14ac:dyDescent="0.45">
      <c r="A10" t="s">
        <v>43</v>
      </c>
      <c r="B10" s="1">
        <v>1.0497452630219586</v>
      </c>
      <c r="C10" s="1">
        <v>1.0408286452486306</v>
      </c>
    </row>
    <row r="11" spans="1:3" x14ac:dyDescent="0.45">
      <c r="A11" t="s">
        <v>45</v>
      </c>
      <c r="B11" s="1">
        <v>0.91047609210640923</v>
      </c>
      <c r="C11" s="1">
        <v>0.95938256666128663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11"/>
  <sheetViews>
    <sheetView workbookViewId="0">
      <selection activeCell="S21" sqref="S21"/>
    </sheetView>
  </sheetViews>
  <sheetFormatPr defaultRowHeight="14.25" x14ac:dyDescent="0.45"/>
  <sheetData>
    <row r="1" spans="1:3" x14ac:dyDescent="0.45">
      <c r="A1" t="s">
        <v>0</v>
      </c>
      <c r="B1" t="s">
        <v>66</v>
      </c>
      <c r="C1" t="s">
        <v>67</v>
      </c>
    </row>
    <row r="2" spans="1:3" x14ac:dyDescent="0.45">
      <c r="A2" t="s">
        <v>41</v>
      </c>
      <c r="B2" s="1">
        <v>1.2878617013016702</v>
      </c>
      <c r="C2" s="1">
        <v>1.6863899746030775</v>
      </c>
    </row>
    <row r="3" spans="1:3" x14ac:dyDescent="0.45">
      <c r="A3" t="s">
        <v>44</v>
      </c>
      <c r="B3" s="1">
        <v>0.99248693919640751</v>
      </c>
      <c r="C3" s="1">
        <v>1.214920714793698</v>
      </c>
    </row>
    <row r="4" spans="1:3" x14ac:dyDescent="0.45">
      <c r="A4" t="s">
        <v>40</v>
      </c>
      <c r="B4" s="1">
        <v>1.2167768037941478</v>
      </c>
      <c r="C4" s="1">
        <v>1.2206770207877129</v>
      </c>
    </row>
    <row r="5" spans="1:3" x14ac:dyDescent="0.45">
      <c r="A5" t="s">
        <v>42</v>
      </c>
      <c r="B5" s="1">
        <v>0.90178408292511358</v>
      </c>
      <c r="C5" s="1">
        <v>0.95554821183778971</v>
      </c>
    </row>
    <row r="6" spans="1:3" x14ac:dyDescent="0.45">
      <c r="A6" t="s">
        <v>46</v>
      </c>
      <c r="B6" s="1">
        <v>1.4379742860945568</v>
      </c>
      <c r="C6" s="1">
        <v>1.5491130006199199</v>
      </c>
    </row>
    <row r="7" spans="1:3" x14ac:dyDescent="0.45">
      <c r="A7" t="s">
        <v>39</v>
      </c>
      <c r="B7" s="1">
        <v>1.6508935836127201</v>
      </c>
      <c r="C7" s="1">
        <v>1.2559772886082272</v>
      </c>
    </row>
    <row r="8" spans="1:3" x14ac:dyDescent="0.45">
      <c r="A8" t="s">
        <v>47</v>
      </c>
      <c r="B8" s="1">
        <v>1.3597281951222122</v>
      </c>
      <c r="C8" s="1">
        <v>1.3845656302508886</v>
      </c>
    </row>
    <row r="9" spans="1:3" x14ac:dyDescent="0.45">
      <c r="A9" t="s">
        <v>53</v>
      </c>
      <c r="B9" s="1">
        <v>1.2250117605353352</v>
      </c>
      <c r="C9" s="1">
        <v>1.3100859715561357</v>
      </c>
    </row>
    <row r="10" spans="1:3" x14ac:dyDescent="0.45">
      <c r="A10" t="s">
        <v>43</v>
      </c>
      <c r="B10" s="1">
        <v>1.1903990006651941</v>
      </c>
      <c r="C10" s="1">
        <v>1.0073528011456625</v>
      </c>
    </row>
    <row r="11" spans="1:3" x14ac:dyDescent="0.45">
      <c r="A11" t="s">
        <v>45</v>
      </c>
      <c r="B11" s="1">
        <v>1.3707768850999424</v>
      </c>
      <c r="C11" s="1">
        <v>1.0286862083062025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WCQ2022_CONMEBOL_13-11-2021</vt:lpstr>
      <vt:lpstr>PtsvsxPts</vt:lpstr>
      <vt:lpstr>GvsxG</vt:lpstr>
      <vt:lpstr>GCvsxGC</vt:lpstr>
      <vt:lpstr>Scatter Dif G</vt:lpstr>
      <vt:lpstr>Shots</vt:lpstr>
      <vt:lpstr>ShotsT</vt:lpstr>
      <vt:lpstr>Fouls</vt:lpstr>
      <vt:lpstr>YCards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Jaime Eduardo González Meléndez</cp:lastModifiedBy>
  <dcterms:created xsi:type="dcterms:W3CDTF">2021-11-14T02:48:13Z</dcterms:created>
  <dcterms:modified xsi:type="dcterms:W3CDTF">2021-11-18T00:55:15Z</dcterms:modified>
</cp:coreProperties>
</file>