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WCQ 2022 07 11 2021\"/>
    </mc:Choice>
  </mc:AlternateContent>
  <xr:revisionPtr revIDLastSave="0" documentId="13_ncr:1_{C3545CD1-0397-45AE-8E61-91CB753899CD}" xr6:coauthVersionLast="47" xr6:coauthVersionMax="47" xr10:uidLastSave="{00000000-0000-0000-0000-000000000000}"/>
  <bookViews>
    <workbookView minimized="1" xWindow="16170" yWindow="172" windowWidth="6330" windowHeight="14228" firstSheet="4" activeTab="8" xr2:uid="{00000000-000D-0000-FFFF-FFFF00000000}"/>
  </bookViews>
  <sheets>
    <sheet name="WCQ2022_CONMEBOL_18-11-2021" sheetId="1" r:id="rId1"/>
    <sheet name="PtsvsxPts" sheetId="2" r:id="rId2"/>
    <sheet name="GvsxG" sheetId="4" r:id="rId3"/>
    <sheet name="GCvsxGC" sheetId="3" r:id="rId4"/>
    <sheet name="Scatter Dif G" sheetId="5" r:id="rId5"/>
    <sheet name="Scatter Dif St" sheetId="11" r:id="rId6"/>
    <sheet name="Shots" sheetId="6" r:id="rId7"/>
    <sheet name="ShotsT" sheetId="7" r:id="rId8"/>
    <sheet name="Scatter GDiff" sheetId="12" r:id="rId9"/>
    <sheet name="Scatter Dif Shots" sheetId="10" r:id="rId10"/>
    <sheet name="Fouls" sheetId="8" r:id="rId11"/>
    <sheet name="YCards" sheetId="9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X2" i="1"/>
  <c r="X3" i="1"/>
  <c r="X4" i="1"/>
  <c r="X5" i="1"/>
  <c r="X6" i="1"/>
  <c r="X7" i="1"/>
  <c r="X8" i="1"/>
  <c r="X9" i="1"/>
  <c r="X10" i="1"/>
  <c r="X11" i="1"/>
  <c r="C11" i="9" l="1"/>
  <c r="C10" i="9"/>
  <c r="C9" i="9"/>
  <c r="C8" i="9"/>
  <c r="C7" i="9"/>
  <c r="C6" i="9"/>
  <c r="C5" i="9"/>
  <c r="C4" i="9"/>
  <c r="C3" i="9"/>
  <c r="C2" i="9"/>
  <c r="B11" i="9"/>
  <c r="B10" i="9"/>
  <c r="B9" i="9"/>
  <c r="B8" i="9"/>
  <c r="B7" i="9"/>
  <c r="B6" i="9"/>
  <c r="B5" i="9"/>
  <c r="B4" i="9"/>
  <c r="B3" i="9"/>
  <c r="B2" i="9"/>
  <c r="B11" i="8"/>
  <c r="B10" i="8"/>
  <c r="B9" i="8"/>
  <c r="B8" i="8"/>
  <c r="B7" i="8"/>
  <c r="B6" i="8"/>
  <c r="B5" i="8"/>
  <c r="B4" i="8"/>
  <c r="B3" i="8"/>
  <c r="B2" i="8"/>
  <c r="B11" i="7"/>
  <c r="B10" i="7"/>
  <c r="B9" i="7"/>
  <c r="B8" i="7"/>
  <c r="B7" i="7"/>
  <c r="B6" i="7"/>
  <c r="B5" i="7"/>
  <c r="B4" i="7"/>
  <c r="B3" i="7"/>
  <c r="B2" i="7"/>
  <c r="C11" i="6"/>
  <c r="C10" i="6"/>
  <c r="C9" i="6"/>
  <c r="C8" i="6"/>
  <c r="C7" i="6"/>
  <c r="C6" i="6"/>
  <c r="C5" i="6"/>
  <c r="C4" i="6"/>
  <c r="C3" i="6"/>
  <c r="C2" i="6"/>
  <c r="B11" i="6"/>
  <c r="B10" i="6"/>
  <c r="B9" i="6"/>
  <c r="B8" i="6"/>
  <c r="B7" i="6"/>
  <c r="B6" i="6"/>
  <c r="B5" i="6"/>
  <c r="B4" i="6"/>
  <c r="B3" i="6"/>
  <c r="B2" i="6"/>
  <c r="P2" i="1"/>
  <c r="P3" i="1"/>
  <c r="P4" i="1"/>
  <c r="P5" i="1"/>
  <c r="P6" i="1"/>
  <c r="P7" i="1"/>
  <c r="P8" i="1"/>
  <c r="P9" i="1"/>
  <c r="P10" i="1"/>
  <c r="P11" i="1"/>
  <c r="M2" i="1"/>
  <c r="M3" i="1"/>
  <c r="M4" i="1"/>
  <c r="M5" i="1"/>
  <c r="M6" i="1"/>
  <c r="M7" i="1"/>
  <c r="M8" i="1"/>
  <c r="M9" i="1"/>
  <c r="M10" i="1"/>
  <c r="M11" i="1"/>
  <c r="AR18" i="1" l="1"/>
  <c r="AL18" i="1"/>
  <c r="AF18" i="1"/>
  <c r="Y18" i="1"/>
  <c r="S18" i="1"/>
  <c r="N18" i="1"/>
  <c r="F18" i="1"/>
  <c r="E18" i="1"/>
  <c r="C18" i="1"/>
  <c r="AT7" i="1"/>
  <c r="AT2" i="1"/>
  <c r="AT8" i="1"/>
  <c r="AT3" i="1"/>
  <c r="AT9" i="1"/>
  <c r="AT10" i="1"/>
  <c r="AT5" i="1"/>
  <c r="AT11" i="1"/>
  <c r="AT6" i="1"/>
  <c r="AT4" i="1"/>
  <c r="AQ7" i="1"/>
  <c r="AQ2" i="1"/>
  <c r="AQ8" i="1"/>
  <c r="AQ3" i="1"/>
  <c r="AQ9" i="1"/>
  <c r="AQ10" i="1"/>
  <c r="AQ5" i="1"/>
  <c r="AQ11" i="1"/>
  <c r="AQ6" i="1"/>
  <c r="AQ4" i="1"/>
  <c r="AN7" i="1"/>
  <c r="AN2" i="1"/>
  <c r="AN8" i="1"/>
  <c r="AN3" i="1"/>
  <c r="AN9" i="1"/>
  <c r="AN10" i="1"/>
  <c r="AN5" i="1"/>
  <c r="AN11" i="1"/>
  <c r="AN6" i="1"/>
  <c r="AN4" i="1"/>
  <c r="AK7" i="1"/>
  <c r="AK2" i="1"/>
  <c r="AK8" i="1"/>
  <c r="AK3" i="1"/>
  <c r="AK9" i="1"/>
  <c r="AK10" i="1"/>
  <c r="AK5" i="1"/>
  <c r="AK11" i="1"/>
  <c r="AK6" i="1"/>
  <c r="AK4" i="1"/>
  <c r="AH7" i="1"/>
  <c r="AH2" i="1"/>
  <c r="AH8" i="1"/>
  <c r="AH3" i="1"/>
  <c r="AH9" i="1"/>
  <c r="AH10" i="1"/>
  <c r="AH5" i="1"/>
  <c r="AH11" i="1"/>
  <c r="AH6" i="1"/>
  <c r="AH4" i="1"/>
  <c r="AE7" i="1"/>
  <c r="AE2" i="1"/>
  <c r="AE8" i="1"/>
  <c r="AE3" i="1"/>
  <c r="AE9" i="1"/>
  <c r="AE10" i="1"/>
  <c r="AE5" i="1"/>
  <c r="AE11" i="1"/>
  <c r="AE6" i="1"/>
  <c r="AE4" i="1"/>
  <c r="AA7" i="1"/>
  <c r="AA2" i="1"/>
  <c r="AA8" i="1"/>
  <c r="AA3" i="1"/>
  <c r="AA9" i="1"/>
  <c r="AA10" i="1"/>
  <c r="AA5" i="1"/>
  <c r="AA11" i="1"/>
  <c r="AA6" i="1"/>
  <c r="AA4" i="1"/>
  <c r="W7" i="1"/>
  <c r="W2" i="1"/>
  <c r="W8" i="1"/>
  <c r="W3" i="1"/>
  <c r="W9" i="1"/>
  <c r="W10" i="1"/>
  <c r="W5" i="1"/>
  <c r="W11" i="1"/>
  <c r="W6" i="1"/>
  <c r="W4" i="1"/>
  <c r="AZ12" i="1"/>
  <c r="AY12" i="1"/>
  <c r="AX12" i="1"/>
  <c r="AW12" i="1"/>
  <c r="AV12" i="1"/>
  <c r="AU12" i="1"/>
  <c r="AS12" i="1"/>
  <c r="AR12" i="1"/>
  <c r="AP12" i="1"/>
  <c r="AO12" i="1"/>
  <c r="AM12" i="1"/>
  <c r="AL12" i="1"/>
  <c r="AJ12" i="1"/>
  <c r="AI12" i="1"/>
  <c r="AG12" i="1"/>
  <c r="AF12" i="1"/>
  <c r="AD12" i="1"/>
  <c r="AC12" i="1"/>
  <c r="Z12" i="1"/>
  <c r="Y12" i="1"/>
  <c r="V12" i="1"/>
  <c r="U12" i="1"/>
  <c r="T12" i="1"/>
  <c r="S12" i="1"/>
  <c r="R12" i="1"/>
  <c r="Q12" i="1"/>
  <c r="O12" i="1"/>
  <c r="N12" i="1"/>
  <c r="L12" i="1"/>
  <c r="K12" i="1"/>
  <c r="J12" i="1"/>
  <c r="I12" i="1"/>
  <c r="H12" i="1"/>
  <c r="G12" i="1"/>
  <c r="F12" i="1"/>
  <c r="E12" i="1"/>
  <c r="D12" i="1"/>
  <c r="C12" i="1"/>
  <c r="AE12" i="1" l="1"/>
  <c r="AH12" i="1"/>
  <c r="W12" i="1"/>
</calcChain>
</file>

<file path=xl/sharedStrings.xml><?xml version="1.0" encoding="utf-8"?>
<sst xmlns="http://schemas.openxmlformats.org/spreadsheetml/2006/main" count="218" uniqueCount="85">
  <si>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</si>
  <si>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</si>
  <si>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</si>
  <si>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</si>
  <si>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</si>
  <si>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</si>
  <si>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</si>
  <si>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</si>
  <si>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</si>
  <si>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</si>
  <si>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</si>
  <si>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</si>
  <si>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</si>
  <si>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</si>
  <si>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</si>
  <si>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</si>
  <si>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</si>
  <si>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</si>
  <si>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</si>
  <si>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</t>
  </si>
  <si>
    <t>xShotsF</t>
  </si>
  <si>
    <t>ShotsA</t>
  </si>
  <si>
    <t>xShotsA</t>
  </si>
  <si>
    <t>ShotsTF</t>
  </si>
  <si>
    <t>xShotsTF</t>
  </si>
  <si>
    <t>ShotsTA</t>
  </si>
  <si>
    <t>xShotsTA</t>
  </si>
  <si>
    <t>Fouls</t>
  </si>
  <si>
    <t>xFouls</t>
  </si>
  <si>
    <t>FoulsA</t>
  </si>
  <si>
    <t>xFoulsA</t>
  </si>
  <si>
    <t>YCard</t>
  </si>
  <si>
    <t>xYCard</t>
  </si>
  <si>
    <t>YCardA</t>
  </si>
  <si>
    <t>xYCardA</t>
  </si>
  <si>
    <t>RCard</t>
  </si>
  <si>
    <t>xRCard</t>
  </si>
  <si>
    <t>RCardA</t>
  </si>
  <si>
    <t>xRCardA</t>
  </si>
  <si>
    <t>Chile</t>
  </si>
  <si>
    <t>Brasil</t>
  </si>
  <si>
    <t>Uruguay</t>
  </si>
  <si>
    <t>Argentina</t>
  </si>
  <si>
    <t>Bolivia</t>
  </si>
  <si>
    <t>Paraguay</t>
  </si>
  <si>
    <t>Colombia</t>
  </si>
  <si>
    <t>Venezuela</t>
  </si>
  <si>
    <t>Ecuador</t>
  </si>
  <si>
    <t>Rank</t>
  </si>
  <si>
    <t>Perú</t>
  </si>
  <si>
    <t>%Shots</t>
  </si>
  <si>
    <t>%ShotsF</t>
  </si>
  <si>
    <t>%YCardA</t>
  </si>
  <si>
    <t>%Ycard</t>
  </si>
  <si>
    <t>%FoulsA</t>
  </si>
  <si>
    <t>%Fouls</t>
  </si>
  <si>
    <t>%ShotsTA</t>
  </si>
  <si>
    <t>%ShotsTF</t>
  </si>
  <si>
    <t>%ShotsA</t>
  </si>
  <si>
    <t>%Points</t>
  </si>
  <si>
    <t>%Wins</t>
  </si>
  <si>
    <t>%Draws</t>
  </si>
  <si>
    <t>%Goals</t>
  </si>
  <si>
    <t>%HTGoals</t>
  </si>
  <si>
    <t>%ShotsT</t>
  </si>
  <si>
    <t>%YCard</t>
  </si>
  <si>
    <t>Expected Points</t>
  </si>
  <si>
    <t>Points Obtained</t>
  </si>
  <si>
    <t>Expected Goals Against</t>
  </si>
  <si>
    <t>Goals Against</t>
  </si>
  <si>
    <t>Goals Scored</t>
  </si>
  <si>
    <t>Expected Goals</t>
  </si>
  <si>
    <t>GoalsF_Diff</t>
  </si>
  <si>
    <t>GoalsA_Diff</t>
  </si>
  <si>
    <t>Si Brasil recibe 5 de 10 goles esperados decimos, "qué bueno es Brasil"</t>
  </si>
  <si>
    <t>Pero si Bolivia recibe 10 de 15 goles esperados decimos lo mismo que diríamos antes de Bolivia, "qué malo"</t>
  </si>
  <si>
    <t>Shots in Favor</t>
  </si>
  <si>
    <t>Shots Against</t>
  </si>
  <si>
    <t>Shots on Target in Favor</t>
  </si>
  <si>
    <t>Shots on Target Against</t>
  </si>
  <si>
    <t>Fouls Committed</t>
  </si>
  <si>
    <t>Fouls Received</t>
  </si>
  <si>
    <t>ShotsF_Diff</t>
  </si>
  <si>
    <t>ShotsA_Diff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</si>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</sst>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Font="1" applyBorder="1"/>
    <xf numFmtId="0" fontId="0" fillId="33" borderId="0" xfId="0" applyFill="1"/>
    <xf numFmtId="9" fontId="0" fillId="0" borderId="0" xfId="1" applyFont="1"/>
    <xf numFmtId="1" fontId="0" fillId="0" borderId="0" xfId="0" applyNumberFormat="1"/>
    <xf numFmtId="1" fontId="0" fillId="0" borderId="10" xfId="0" applyNumberFormat="1" applyFont="1" applyBorder="1"/>
    <xf numFmtId="0" fontId="0" fillId="34" borderId="0" xfId="0" applyFill="1"/>
    <xf numFmtId="9" fontId="0" fillId="0" borderId="10" xfId="1" applyNumberFormat="1" applyFont="1" applyBorder="1"/>
    <xf numFmtId="9" fontId="0" fillId="0" borderId="0" xfId="0" applyNumberFormat="1"/>
    <xf numFmtId="1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Qatar 2022 World Cup </a:t>
            </a:r>
            <a:r>
              <a:rPr lang="es-MX" sz="2000" b="0" i="0" u="none" strike="noStrike" baseline="0">
                <a:effectLst/>
              </a:rPr>
              <a:t>CONMEBOL </a:t>
            </a:r>
            <a:r>
              <a:rPr lang="es-MX" sz="2000"/>
              <a:t>Qualifiers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PtsvsxPts!$B$1</c:f>
              <c:strCache>
                <c:ptCount val="1"/>
                <c:pt idx="0">
                  <c:v>Points Obtained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PtsvsxPts!$A$2:$A$11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Colombia</c:v>
                </c:pt>
                <c:pt idx="4">
                  <c:v>Perú</c:v>
                </c:pt>
                <c:pt idx="5">
                  <c:v>Chile</c:v>
                </c:pt>
                <c:pt idx="6">
                  <c:v>Uruguay</c:v>
                </c:pt>
                <c:pt idx="7">
                  <c:v>Bolivia</c:v>
                </c:pt>
                <c:pt idx="8">
                  <c:v>Paraguay</c:v>
                </c:pt>
                <c:pt idx="9">
                  <c:v>Venezuela</c:v>
                </c:pt>
              </c:strCache>
            </c:strRef>
          </c:cat>
          <c:val>
            <c:numRef>
              <c:f>PtsvsxPts!$B$2:$B$11</c:f>
              <c:numCache>
                <c:formatCode>General</c:formatCode>
                <c:ptCount val="10"/>
                <c:pt idx="0">
                  <c:v>35</c:v>
                </c:pt>
                <c:pt idx="1">
                  <c:v>29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0-4785-B8D6-F7695CF4FACF}"/>
            </c:ext>
          </c:extLst>
        </c:ser>
        <c:ser>
          <c:idx val="1"/>
          <c:order val="1"/>
          <c:tx>
            <c:strRef>
              <c:f>PtsvsxPts!$C$1</c:f>
              <c:strCache>
                <c:ptCount val="1"/>
                <c:pt idx="0">
                  <c:v>Expected Points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PtsvsxPts!$A$2:$A$11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Colombia</c:v>
                </c:pt>
                <c:pt idx="4">
                  <c:v>Perú</c:v>
                </c:pt>
                <c:pt idx="5">
                  <c:v>Chile</c:v>
                </c:pt>
                <c:pt idx="6">
                  <c:v>Uruguay</c:v>
                </c:pt>
                <c:pt idx="7">
                  <c:v>Bolivia</c:v>
                </c:pt>
                <c:pt idx="8">
                  <c:v>Paraguay</c:v>
                </c:pt>
                <c:pt idx="9">
                  <c:v>Venezuela</c:v>
                </c:pt>
              </c:strCache>
            </c:strRef>
          </c:cat>
          <c:val>
            <c:numRef>
              <c:f>PtsvsxPts!$C$2:$C$11</c:f>
              <c:numCache>
                <c:formatCode>0</c:formatCode>
                <c:ptCount val="10"/>
                <c:pt idx="0">
                  <c:v>28.3790440188668</c:v>
                </c:pt>
                <c:pt idx="1">
                  <c:v>27.832810658904201</c:v>
                </c:pt>
                <c:pt idx="2">
                  <c:v>20.490250677031401</c:v>
                </c:pt>
                <c:pt idx="3">
                  <c:v>21.7041200200348</c:v>
                </c:pt>
                <c:pt idx="4">
                  <c:v>15.042293792379899</c:v>
                </c:pt>
                <c:pt idx="5">
                  <c:v>20.039321475849398</c:v>
                </c:pt>
                <c:pt idx="6">
                  <c:v>20.515651415052002</c:v>
                </c:pt>
                <c:pt idx="7">
                  <c:v>10.2866953621834</c:v>
                </c:pt>
                <c:pt idx="8">
                  <c:v>15.529095348929401</c:v>
                </c:pt>
                <c:pt idx="9">
                  <c:v>10.5416074618959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0-4785-B8D6-F7695CF4FA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3262496"/>
        <c:axId val="589097320"/>
      </c:barChart>
      <c:catAx>
        <c:axId val="4632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9097320"/>
        <c:crosses val="autoZero"/>
        <c:auto val="1"/>
        <c:lblAlgn val="ctr"/>
        <c:lblOffset val="100"/>
        <c:noMultiLvlLbl val="0"/>
      </c:catAx>
      <c:valAx>
        <c:axId val="5890973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32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effectLst/>
              </a:rPr>
              <a:t>Qatar 2022 World Cup Qualifiers</a:t>
            </a:r>
            <a:endParaRPr lang="es-MX" sz="2000">
              <a:effectLst/>
            </a:endParaRPr>
          </a:p>
          <a:p>
            <a:pPr>
              <a:defRPr sz="2000"/>
            </a:pPr>
            <a:r>
              <a:rPr lang="es-MX" sz="2000" b="0" i="0" baseline="0">
                <a:effectLst/>
              </a:rPr>
              <a:t>Fouls Committed vs Fouls Received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Fouls!$B$1</c:f>
              <c:strCache>
                <c:ptCount val="1"/>
                <c:pt idx="0">
                  <c:v>Fouls Committed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Fouls!$A$2:$A$11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Colombia</c:v>
                </c:pt>
                <c:pt idx="4">
                  <c:v>Perú</c:v>
                </c:pt>
                <c:pt idx="5">
                  <c:v>Chile</c:v>
                </c:pt>
                <c:pt idx="6">
                  <c:v>Uruguay</c:v>
                </c:pt>
                <c:pt idx="7">
                  <c:v>Bolivia</c:v>
                </c:pt>
                <c:pt idx="8">
                  <c:v>Paraguay</c:v>
                </c:pt>
                <c:pt idx="9">
                  <c:v>Venezuela</c:v>
                </c:pt>
              </c:strCache>
            </c:strRef>
          </c:cat>
          <c:val>
            <c:numRef>
              <c:f>Fouls!$B$2:$B$11</c:f>
              <c:numCache>
                <c:formatCode>0%</c:formatCode>
                <c:ptCount val="10"/>
                <c:pt idx="0">
                  <c:v>1.1358863762619282</c:v>
                </c:pt>
                <c:pt idx="1">
                  <c:v>1.0713417029343946</c:v>
                </c:pt>
                <c:pt idx="2">
                  <c:v>1.0411231189698749</c:v>
                </c:pt>
                <c:pt idx="3">
                  <c:v>1.2317148008005196</c:v>
                </c:pt>
                <c:pt idx="4">
                  <c:v>1.2059034087224929</c:v>
                </c:pt>
                <c:pt idx="5">
                  <c:v>1.1452085457836136</c:v>
                </c:pt>
                <c:pt idx="6">
                  <c:v>0.95580057645813254</c:v>
                </c:pt>
                <c:pt idx="7">
                  <c:v>0.92386942165347286</c:v>
                </c:pt>
                <c:pt idx="8">
                  <c:v>1.0682151613180402</c:v>
                </c:pt>
                <c:pt idx="9">
                  <c:v>1.072426438717309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2-49CB-94D0-ECFB5E4A5064}"/>
            </c:ext>
          </c:extLst>
        </c:ser>
        <c:ser>
          <c:idx val="1"/>
          <c:order val="1"/>
          <c:tx>
            <c:strRef>
              <c:f>Fouls!$C$1</c:f>
              <c:strCache>
                <c:ptCount val="1"/>
                <c:pt idx="0">
                  <c:v>Fouls Received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Fouls!$A$2:$A$11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Colombia</c:v>
                </c:pt>
                <c:pt idx="4">
                  <c:v>Perú</c:v>
                </c:pt>
                <c:pt idx="5">
                  <c:v>Chile</c:v>
                </c:pt>
                <c:pt idx="6">
                  <c:v>Uruguay</c:v>
                </c:pt>
                <c:pt idx="7">
                  <c:v>Bolivia</c:v>
                </c:pt>
                <c:pt idx="8">
                  <c:v>Paraguay</c:v>
                </c:pt>
                <c:pt idx="9">
                  <c:v>Venezuela</c:v>
                </c:pt>
              </c:strCache>
            </c:strRef>
          </c:cat>
          <c:val>
            <c:numRef>
              <c:f>Fouls!$C$2:$C$11</c:f>
              <c:numCache>
                <c:formatCode>0%</c:formatCode>
                <c:ptCount val="10"/>
                <c:pt idx="0">
                  <c:v>1.231466182436795</c:v>
                </c:pt>
                <c:pt idx="1">
                  <c:v>1.2579969614389508</c:v>
                </c:pt>
                <c:pt idx="2">
                  <c:v>0.9851812598729135</c:v>
                </c:pt>
                <c:pt idx="3">
                  <c:v>1.1535532621069979</c:v>
                </c:pt>
                <c:pt idx="4">
                  <c:v>1.1581801730094812</c:v>
                </c:pt>
                <c:pt idx="5">
                  <c:v>1.1598735644381117</c:v>
                </c:pt>
                <c:pt idx="6">
                  <c:v>0.99336673384126517</c:v>
                </c:pt>
                <c:pt idx="7">
                  <c:v>0.92672560652896374</c:v>
                </c:pt>
                <c:pt idx="8">
                  <c:v>0.93701101770591566</c:v>
                </c:pt>
                <c:pt idx="9">
                  <c:v>1.0418431649309117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2-49CB-94D0-ECFB5E4A50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2456600"/>
        <c:axId val="642462832"/>
      </c:barChart>
      <c:catAx>
        <c:axId val="64245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2462832"/>
        <c:crosses val="autoZero"/>
        <c:auto val="1"/>
        <c:lblAlgn val="ctr"/>
        <c:lblOffset val="100"/>
        <c:noMultiLvlLbl val="0"/>
      </c:catAx>
      <c:valAx>
        <c:axId val="642462832"/>
        <c:scaling>
          <c:orientation val="minMax"/>
          <c:max val="1.6"/>
        </c:scaling>
        <c:delete val="1"/>
        <c:axPos val="l"/>
        <c:numFmt formatCode="0%" sourceLinked="1"/>
        <c:majorTickMark val="none"/>
        <c:minorTickMark val="none"/>
        <c:tickLblPos val="nextTo"/>
        <c:crossAx val="64245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YCards!$B$1</c:f>
              <c:strCache>
                <c:ptCount val="1"/>
                <c:pt idx="0">
                  <c:v>%Ycard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YCards!$A$2:$A$11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Colombia</c:v>
                </c:pt>
                <c:pt idx="4">
                  <c:v>Perú</c:v>
                </c:pt>
                <c:pt idx="5">
                  <c:v>Chile</c:v>
                </c:pt>
                <c:pt idx="6">
                  <c:v>Uruguay</c:v>
                </c:pt>
                <c:pt idx="7">
                  <c:v>Bolivia</c:v>
                </c:pt>
                <c:pt idx="8">
                  <c:v>Paraguay</c:v>
                </c:pt>
                <c:pt idx="9">
                  <c:v>Venezuela</c:v>
                </c:pt>
              </c:strCache>
            </c:strRef>
          </c:cat>
          <c:val>
            <c:numRef>
              <c:f>YCards!$B$2:$B$11</c:f>
              <c:numCache>
                <c:formatCode>0%</c:formatCode>
                <c:ptCount val="10"/>
                <c:pt idx="0">
                  <c:v>1.3150912402794359</c:v>
                </c:pt>
                <c:pt idx="1">
                  <c:v>1.1171822701721152</c:v>
                </c:pt>
                <c:pt idx="2">
                  <c:v>1.201257144263687</c:v>
                </c:pt>
                <c:pt idx="3">
                  <c:v>1.4826404361240495</c:v>
                </c:pt>
                <c:pt idx="4">
                  <c:v>1.255876001075753</c:v>
                </c:pt>
                <c:pt idx="5">
                  <c:v>1.5939733642825289</c:v>
                </c:pt>
                <c:pt idx="6">
                  <c:v>0.87370670879041723</c:v>
                </c:pt>
                <c:pt idx="7">
                  <c:v>1.3231726704661435</c:v>
                </c:pt>
                <c:pt idx="8">
                  <c:v>1.2914489338665338</c:v>
                </c:pt>
                <c:pt idx="9">
                  <c:v>1.185438664792418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B-40F8-9494-110B9925F946}"/>
            </c:ext>
          </c:extLst>
        </c:ser>
        <c:ser>
          <c:idx val="1"/>
          <c:order val="1"/>
          <c:tx>
            <c:strRef>
              <c:f>YCards!$C$1</c:f>
              <c:strCache>
                <c:ptCount val="1"/>
                <c:pt idx="0">
                  <c:v>%YCardA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YCards!$A$2:$A$11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Colombia</c:v>
                </c:pt>
                <c:pt idx="4">
                  <c:v>Perú</c:v>
                </c:pt>
                <c:pt idx="5">
                  <c:v>Chile</c:v>
                </c:pt>
                <c:pt idx="6">
                  <c:v>Uruguay</c:v>
                </c:pt>
                <c:pt idx="7">
                  <c:v>Bolivia</c:v>
                </c:pt>
                <c:pt idx="8">
                  <c:v>Paraguay</c:v>
                </c:pt>
                <c:pt idx="9">
                  <c:v>Venezuela</c:v>
                </c:pt>
              </c:strCache>
            </c:strRef>
          </c:cat>
          <c:val>
            <c:numRef>
              <c:f>YCards!$C$2:$C$11</c:f>
              <c:numCache>
                <c:formatCode>0%</c:formatCode>
                <c:ptCount val="10"/>
                <c:pt idx="0">
                  <c:v>1.74081984504211</c:v>
                </c:pt>
                <c:pt idx="1">
                  <c:v>1.2412096523548011</c:v>
                </c:pt>
                <c:pt idx="2">
                  <c:v>1.1901936987246309</c:v>
                </c:pt>
                <c:pt idx="3">
                  <c:v>1.4649007150279254</c:v>
                </c:pt>
                <c:pt idx="4">
                  <c:v>1.29504401766664</c:v>
                </c:pt>
                <c:pt idx="5">
                  <c:v>1.2379106430770419</c:v>
                </c:pt>
                <c:pt idx="6">
                  <c:v>0.93224772395728228</c:v>
                </c:pt>
                <c:pt idx="7">
                  <c:v>0.98593666747537778</c:v>
                </c:pt>
                <c:pt idx="8">
                  <c:v>1.4335079880659169</c:v>
                </c:pt>
                <c:pt idx="9">
                  <c:v>1.0618162755382021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B-40F8-9494-110B9925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096008"/>
        <c:axId val="698634776"/>
      </c:barChart>
      <c:catAx>
        <c:axId val="58909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8634776"/>
        <c:crosses val="autoZero"/>
        <c:auto val="1"/>
        <c:lblAlgn val="ctr"/>
        <c:lblOffset val="100"/>
        <c:noMultiLvlLbl val="0"/>
      </c:catAx>
      <c:valAx>
        <c:axId val="69863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909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effectLst/>
              </a:rPr>
              <a:t>Qatar 2022 World Cup CONMEBOL Qualifiers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GvsxG!$B$1</c:f>
              <c:strCache>
                <c:ptCount val="1"/>
                <c:pt idx="0">
                  <c:v>Goals Scored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GvsxG!$A$2:$A$11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Colombia</c:v>
                </c:pt>
                <c:pt idx="4">
                  <c:v>Perú</c:v>
                </c:pt>
                <c:pt idx="5">
                  <c:v>Chile</c:v>
                </c:pt>
                <c:pt idx="6">
                  <c:v>Uruguay</c:v>
                </c:pt>
                <c:pt idx="7">
                  <c:v>Bolivia</c:v>
                </c:pt>
                <c:pt idx="8">
                  <c:v>Paraguay</c:v>
                </c:pt>
                <c:pt idx="9">
                  <c:v>Venezuela</c:v>
                </c:pt>
              </c:strCache>
            </c:strRef>
          </c:cat>
          <c:val>
            <c:numRef>
              <c:f>GvsxG!$B$2:$B$11</c:f>
              <c:numCache>
                <c:formatCode>General</c:formatCode>
                <c:ptCount val="10"/>
                <c:pt idx="0">
                  <c:v>27</c:v>
                </c:pt>
                <c:pt idx="1">
                  <c:v>20</c:v>
                </c:pt>
                <c:pt idx="2">
                  <c:v>22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7-4814-AC85-D22F9E8742CB}"/>
            </c:ext>
          </c:extLst>
        </c:ser>
        <c:ser>
          <c:idx val="1"/>
          <c:order val="1"/>
          <c:tx>
            <c:strRef>
              <c:f>GvsxG!$C$1</c:f>
              <c:strCache>
                <c:ptCount val="1"/>
                <c:pt idx="0">
                  <c:v>Expected Goals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GvsxG!$A$2:$A$11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Colombia</c:v>
                </c:pt>
                <c:pt idx="4">
                  <c:v>Perú</c:v>
                </c:pt>
                <c:pt idx="5">
                  <c:v>Chile</c:v>
                </c:pt>
                <c:pt idx="6">
                  <c:v>Uruguay</c:v>
                </c:pt>
                <c:pt idx="7">
                  <c:v>Bolivia</c:v>
                </c:pt>
                <c:pt idx="8">
                  <c:v>Paraguay</c:v>
                </c:pt>
                <c:pt idx="9">
                  <c:v>Venezuela</c:v>
                </c:pt>
              </c:strCache>
            </c:strRef>
          </c:cat>
          <c:val>
            <c:numRef>
              <c:f>GvsxG!$C$2:$C$11</c:f>
              <c:numCache>
                <c:formatCode>0</c:formatCode>
                <c:ptCount val="10"/>
                <c:pt idx="0">
                  <c:v>28.086966784148501</c:v>
                </c:pt>
                <c:pt idx="1">
                  <c:v>27.361244285308</c:v>
                </c:pt>
                <c:pt idx="2">
                  <c:v>20.435139895706801</c:v>
                </c:pt>
                <c:pt idx="3">
                  <c:v>20.488786978900301</c:v>
                </c:pt>
                <c:pt idx="4">
                  <c:v>16.033583418157502</c:v>
                </c:pt>
                <c:pt idx="5">
                  <c:v>19.666800233040799</c:v>
                </c:pt>
                <c:pt idx="6">
                  <c:v>19.978758685643999</c:v>
                </c:pt>
                <c:pt idx="7">
                  <c:v>12.7629101856967</c:v>
                </c:pt>
                <c:pt idx="8">
                  <c:v>16.343716750201601</c:v>
                </c:pt>
                <c:pt idx="9">
                  <c:v>12.744317616837799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7-4814-AC85-D22F9E8742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0772224"/>
        <c:axId val="630772552"/>
      </c:barChart>
      <c:catAx>
        <c:axId val="6307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772552"/>
        <c:crosses val="autoZero"/>
        <c:auto val="1"/>
        <c:lblAlgn val="ctr"/>
        <c:lblOffset val="100"/>
        <c:noMultiLvlLbl val="0"/>
      </c:catAx>
      <c:valAx>
        <c:axId val="630772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07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Qatar 2022 World Cup CONMEBOL Qualifiers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GCvsxGC!$B$1</c:f>
              <c:strCache>
                <c:ptCount val="1"/>
                <c:pt idx="0">
                  <c:v>Goals Against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GCvsxGC!$A$2:$A$11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Colombia</c:v>
                </c:pt>
                <c:pt idx="4">
                  <c:v>Perú</c:v>
                </c:pt>
                <c:pt idx="5">
                  <c:v>Chile</c:v>
                </c:pt>
                <c:pt idx="6">
                  <c:v>Uruguay</c:v>
                </c:pt>
                <c:pt idx="7">
                  <c:v>Bolivia</c:v>
                </c:pt>
                <c:pt idx="8">
                  <c:v>Paraguay</c:v>
                </c:pt>
                <c:pt idx="9">
                  <c:v>Venezuela</c:v>
                </c:pt>
              </c:strCache>
            </c:strRef>
          </c:cat>
          <c:val>
            <c:numRef>
              <c:f>GCvsxGC!$B$2:$B$11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16</c:v>
                </c:pt>
                <c:pt idx="6">
                  <c:v>21</c:v>
                </c:pt>
                <c:pt idx="7">
                  <c:v>27</c:v>
                </c:pt>
                <c:pt idx="8">
                  <c:v>18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F-4943-82A9-F40FBF0884E3}"/>
            </c:ext>
          </c:extLst>
        </c:ser>
        <c:ser>
          <c:idx val="1"/>
          <c:order val="1"/>
          <c:tx>
            <c:strRef>
              <c:f>GCvsxGC!$C$1</c:f>
              <c:strCache>
                <c:ptCount val="1"/>
                <c:pt idx="0">
                  <c:v>Expected Goals Against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GCvsxGC!$A$2:$A$11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Colombia</c:v>
                </c:pt>
                <c:pt idx="4">
                  <c:v>Perú</c:v>
                </c:pt>
                <c:pt idx="5">
                  <c:v>Chile</c:v>
                </c:pt>
                <c:pt idx="6">
                  <c:v>Uruguay</c:v>
                </c:pt>
                <c:pt idx="7">
                  <c:v>Bolivia</c:v>
                </c:pt>
                <c:pt idx="8">
                  <c:v>Paraguay</c:v>
                </c:pt>
                <c:pt idx="9">
                  <c:v>Venezuela</c:v>
                </c:pt>
              </c:strCache>
            </c:strRef>
          </c:cat>
          <c:val>
            <c:numRef>
              <c:f>GCvsxGC!$C$2:$C$11</c:f>
              <c:numCache>
                <c:formatCode>0</c:formatCode>
                <c:ptCount val="10"/>
                <c:pt idx="0">
                  <c:v>11.057156288566199</c:v>
                </c:pt>
                <c:pt idx="1">
                  <c:v>11.1049466327876</c:v>
                </c:pt>
                <c:pt idx="2">
                  <c:v>18.927345519213802</c:v>
                </c:pt>
                <c:pt idx="3">
                  <c:v>16.762024133825602</c:v>
                </c:pt>
                <c:pt idx="4">
                  <c:v>22.374218330392701</c:v>
                </c:pt>
                <c:pt idx="5">
                  <c:v>17.7988202222338</c:v>
                </c:pt>
                <c:pt idx="6">
                  <c:v>17.794887802090098</c:v>
                </c:pt>
                <c:pt idx="7">
                  <c:v>29.989701225619601</c:v>
                </c:pt>
                <c:pt idx="8">
                  <c:v>21.615533225716501</c:v>
                </c:pt>
                <c:pt idx="9">
                  <c:v>26.477591453196201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F-4943-82A9-F40FBF0884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6063928"/>
        <c:axId val="686058024"/>
      </c:barChart>
      <c:catAx>
        <c:axId val="68606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6058024"/>
        <c:crosses val="autoZero"/>
        <c:auto val="1"/>
        <c:lblAlgn val="ctr"/>
        <c:lblOffset val="100"/>
        <c:noMultiLvlLbl val="0"/>
      </c:catAx>
      <c:valAx>
        <c:axId val="686058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8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Qatar</a:t>
            </a:r>
            <a:r>
              <a:rPr lang="en-US" sz="2000" baseline="0"/>
              <a:t> 2022 World Cup CONMEBOL Qualifiers </a:t>
            </a:r>
            <a:br>
              <a:rPr lang="en-US" sz="2000" baseline="0"/>
            </a:br>
            <a:r>
              <a:rPr lang="en-US" sz="2000" baseline="0"/>
              <a:t>Goals vs Expected Goals for Betting Houses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Dif G'!$C$1</c:f>
              <c:strCache>
                <c:ptCount val="1"/>
                <c:pt idx="0">
                  <c:v>GoalsA_Diff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Dif G'!$B$2:$B$11</c:f>
              <c:numCache>
                <c:formatCode>0</c:formatCode>
                <c:ptCount val="10"/>
                <c:pt idx="0">
                  <c:v>-1.0869667841485011</c:v>
                </c:pt>
                <c:pt idx="1">
                  <c:v>-7.3612442853080005</c:v>
                </c:pt>
                <c:pt idx="2">
                  <c:v>1.5648601042931993</c:v>
                </c:pt>
                <c:pt idx="3">
                  <c:v>-4.4887869789003005</c:v>
                </c:pt>
                <c:pt idx="4">
                  <c:v>-1.0335834181575017</c:v>
                </c:pt>
                <c:pt idx="5">
                  <c:v>-4.6668002330407994</c:v>
                </c:pt>
                <c:pt idx="6">
                  <c:v>-5.9787586856439994</c:v>
                </c:pt>
                <c:pt idx="7">
                  <c:v>6.2370898143032996</c:v>
                </c:pt>
                <c:pt idx="8">
                  <c:v>-7.343716750201601</c:v>
                </c:pt>
                <c:pt idx="9">
                  <c:v>-3.7443176168377992</c:v>
                </c:pt>
              </c:numCache>
            </c:numRef>
          </c:xVal>
          <c:yVal>
            <c:numRef>
              <c:f>'Scatter Dif G'!$C$2:$C$11</c:f>
              <c:numCache>
                <c:formatCode>0</c:formatCode>
                <c:ptCount val="10"/>
                <c:pt idx="0">
                  <c:v>0.36175666650712479</c:v>
                </c:pt>
                <c:pt idx="1">
                  <c:v>0.54029975995425927</c:v>
                </c:pt>
                <c:pt idx="2">
                  <c:v>0.63400332539068338</c:v>
                </c:pt>
                <c:pt idx="3">
                  <c:v>1.0141973227263268</c:v>
                </c:pt>
                <c:pt idx="4">
                  <c:v>0.89388597646928258</c:v>
                </c:pt>
                <c:pt idx="5">
                  <c:v>0.89893598565669186</c:v>
                </c:pt>
                <c:pt idx="6">
                  <c:v>1.1801142122139958</c:v>
                </c:pt>
                <c:pt idx="7">
                  <c:v>0.90030906933258947</c:v>
                </c:pt>
                <c:pt idx="8">
                  <c:v>0.83273448829774799</c:v>
                </c:pt>
                <c:pt idx="9">
                  <c:v>0.94419464263552433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9-4111-8B47-07C2D54DC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71112"/>
        <c:axId val="468669800"/>
      </c:scatterChart>
      <c:valAx>
        <c:axId val="468671112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8669800"/>
        <c:crosses val="autoZero"/>
        <c:crossBetween val="midCat"/>
        <c:majorUnit val="1"/>
      </c:valAx>
      <c:valAx>
        <c:axId val="468669800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8671112"/>
        <c:crosses val="autoZero"/>
        <c:crossBetween val="midCat"/>
        <c:majorUnit val="1"/>
        <c:minorUnit val="0.60000000000000009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Qatar</a:t>
            </a:r>
            <a:r>
              <a:rPr lang="en-US" sz="2000" baseline="0"/>
              <a:t> 2022 World Cup CONMEBOL Qualifiers </a:t>
            </a:r>
            <a:br>
              <a:rPr lang="en-US" sz="2000" baseline="0"/>
            </a:br>
            <a:r>
              <a:rPr lang="en-US" sz="2000" baseline="0"/>
              <a:t>Goals vs Expected Goals for Betting Houses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Dif St'!$C$1</c:f>
              <c:strCache>
                <c:ptCount val="1"/>
                <c:pt idx="0">
                  <c:v>GoalsA_Diff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Dif St'!$B$2:$B$11</c:f>
              <c:numCache>
                <c:formatCode>0</c:formatCode>
                <c:ptCount val="10"/>
                <c:pt idx="0">
                  <c:v>-30.293593732163004</c:v>
                </c:pt>
                <c:pt idx="1">
                  <c:v>-10.153576980409014</c:v>
                </c:pt>
                <c:pt idx="2">
                  <c:v>-10.024699152956003</c:v>
                </c:pt>
                <c:pt idx="3">
                  <c:v>-18.500716186858995</c:v>
                </c:pt>
                <c:pt idx="4">
                  <c:v>-1.3057364394209969</c:v>
                </c:pt>
                <c:pt idx="5">
                  <c:v>-3.8855491486089875</c:v>
                </c:pt>
                <c:pt idx="6">
                  <c:v>-28.659889853392002</c:v>
                </c:pt>
                <c:pt idx="7">
                  <c:v>34.486648493248993</c:v>
                </c:pt>
                <c:pt idx="8">
                  <c:v>-26.375992673632993</c:v>
                </c:pt>
                <c:pt idx="9">
                  <c:v>21.839328093304999</c:v>
                </c:pt>
              </c:numCache>
            </c:numRef>
          </c:xVal>
          <c:yVal>
            <c:numRef>
              <c:f>'Scatter Dif St'!$C$2:$C$11</c:f>
              <c:numCache>
                <c:formatCode>0</c:formatCode>
                <c:ptCount val="10"/>
                <c:pt idx="0">
                  <c:v>21.674536117450998</c:v>
                </c:pt>
                <c:pt idx="1">
                  <c:v>9.7895030224720045</c:v>
                </c:pt>
                <c:pt idx="2">
                  <c:v>17.883139059591997</c:v>
                </c:pt>
                <c:pt idx="3">
                  <c:v>-5.2564532544089957</c:v>
                </c:pt>
                <c:pt idx="4">
                  <c:v>17.088786467874996</c:v>
                </c:pt>
                <c:pt idx="5">
                  <c:v>11.77989801637699</c:v>
                </c:pt>
                <c:pt idx="6">
                  <c:v>0.55281302165400348</c:v>
                </c:pt>
                <c:pt idx="7">
                  <c:v>-21.319620787755014</c:v>
                </c:pt>
                <c:pt idx="8">
                  <c:v>-11.451146124132009</c:v>
                </c:pt>
                <c:pt idx="9">
                  <c:v>32.13232204176299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C-4858-B529-E94026F5E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71112"/>
        <c:axId val="468669800"/>
      </c:scatterChart>
      <c:valAx>
        <c:axId val="468671112"/>
        <c:scaling>
          <c:orientation val="minMax"/>
          <c:max val="40"/>
          <c:min val="-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8669800"/>
        <c:crosses val="autoZero"/>
        <c:crossBetween val="midCat"/>
      </c:valAx>
      <c:valAx>
        <c:axId val="468669800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8671112"/>
        <c:crosses val="autoZero"/>
        <c:crossBetween val="midCat"/>
        <c:majorUnit val="1"/>
        <c:minorUnit val="0.60000000000000009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effectLst/>
              </a:rPr>
              <a:t>Qatar 2022 World Cup Qualifiers</a:t>
            </a:r>
            <a:br>
              <a:rPr lang="es-MX" sz="2000" b="0" i="0" baseline="0">
                <a:effectLst/>
              </a:rPr>
            </a:br>
            <a:r>
              <a:rPr lang="es-MX" sz="2000" b="0" i="0" baseline="0">
                <a:effectLst/>
              </a:rPr>
              <a:t>Shots in Favor vs Shots Against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Shots!$B$1</c:f>
              <c:strCache>
                <c:ptCount val="1"/>
                <c:pt idx="0">
                  <c:v>Shots in Favor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Shots!$A$2:$A$11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Colombia</c:v>
                </c:pt>
                <c:pt idx="4">
                  <c:v>Perú</c:v>
                </c:pt>
                <c:pt idx="5">
                  <c:v>Chile</c:v>
                </c:pt>
                <c:pt idx="6">
                  <c:v>Uruguay</c:v>
                </c:pt>
                <c:pt idx="7">
                  <c:v>Bolivia</c:v>
                </c:pt>
                <c:pt idx="8">
                  <c:v>Paraguay</c:v>
                </c:pt>
                <c:pt idx="9">
                  <c:v>Venezuela</c:v>
                </c:pt>
              </c:strCache>
            </c:strRef>
          </c:cat>
          <c:val>
            <c:numRef>
              <c:f>Shots!$B$2:$B$11</c:f>
              <c:numCache>
                <c:formatCode>0%</c:formatCode>
                <c:ptCount val="10"/>
                <c:pt idx="0">
                  <c:v>0.84645424537560887</c:v>
                </c:pt>
                <c:pt idx="1">
                  <c:v>0.94770337411072492</c:v>
                </c:pt>
                <c:pt idx="2">
                  <c:v>0.94103974773725274</c:v>
                </c:pt>
                <c:pt idx="3">
                  <c:v>0.89149185645306461</c:v>
                </c:pt>
                <c:pt idx="4">
                  <c:v>0.9911358751466004</c:v>
                </c:pt>
                <c:pt idx="5">
                  <c:v>0.976434871529542</c:v>
                </c:pt>
                <c:pt idx="6">
                  <c:v>0.82803366857734251</c:v>
                </c:pt>
                <c:pt idx="7">
                  <c:v>1.2642384713526043</c:v>
                </c:pt>
                <c:pt idx="8">
                  <c:v>0.82459971033489465</c:v>
                </c:pt>
                <c:pt idx="9">
                  <c:v>1.1665082053623592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A-49ED-87E3-FC4A693D71D4}"/>
            </c:ext>
          </c:extLst>
        </c:ser>
        <c:ser>
          <c:idx val="1"/>
          <c:order val="1"/>
          <c:tx>
            <c:strRef>
              <c:f>Shots!$C$1</c:f>
              <c:strCache>
                <c:ptCount val="1"/>
                <c:pt idx="0">
                  <c:v>Shots Against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Shots!$A$2:$A$11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Colombia</c:v>
                </c:pt>
                <c:pt idx="4">
                  <c:v>Perú</c:v>
                </c:pt>
                <c:pt idx="5">
                  <c:v>Chile</c:v>
                </c:pt>
                <c:pt idx="6">
                  <c:v>Uruguay</c:v>
                </c:pt>
                <c:pt idx="7">
                  <c:v>Bolivia</c:v>
                </c:pt>
                <c:pt idx="8">
                  <c:v>Paraguay</c:v>
                </c:pt>
                <c:pt idx="9">
                  <c:v>Venezuela</c:v>
                </c:pt>
              </c:strCache>
            </c:strRef>
          </c:cat>
          <c:val>
            <c:numRef>
              <c:f>Shots!$C$2:$C$11</c:f>
              <c:numCache>
                <c:formatCode>0%</c:formatCode>
                <c:ptCount val="10"/>
                <c:pt idx="0">
                  <c:v>0.81580946199084536</c:v>
                </c:pt>
                <c:pt idx="1">
                  <c:v>0.91617822861538878</c:v>
                </c:pt>
                <c:pt idx="2">
                  <c:v>0.88884392010173308</c:v>
                </c:pt>
                <c:pt idx="3">
                  <c:v>1.0344135864748782</c:v>
                </c:pt>
                <c:pt idx="4">
                  <c:v>0.90510910310940784</c:v>
                </c:pt>
                <c:pt idx="5">
                  <c:v>0.92486346677463405</c:v>
                </c:pt>
                <c:pt idx="6">
                  <c:v>0.99646884006116487</c:v>
                </c:pt>
                <c:pt idx="7">
                  <c:v>1.1016767561554943</c:v>
                </c:pt>
                <c:pt idx="8">
                  <c:v>1.0656042470051141</c:v>
                </c:pt>
                <c:pt idx="9">
                  <c:v>0.83700125018080151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A-49ED-87E3-FC4A693D71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0736832"/>
        <c:axId val="640737160"/>
      </c:barChart>
      <c:catAx>
        <c:axId val="6407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737160"/>
        <c:crosses val="autoZero"/>
        <c:auto val="1"/>
        <c:lblAlgn val="ctr"/>
        <c:lblOffset val="100"/>
        <c:noMultiLvlLbl val="0"/>
      </c:catAx>
      <c:valAx>
        <c:axId val="64073716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6407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effectLst/>
              </a:rPr>
              <a:t>Qatar 2022 World Cup Qualifiers</a:t>
            </a:r>
            <a:endParaRPr lang="es-MX" sz="2000">
              <a:effectLst/>
            </a:endParaRPr>
          </a:p>
          <a:p>
            <a:pPr>
              <a:defRPr sz="2000"/>
            </a:pPr>
            <a:r>
              <a:rPr lang="es-MX" sz="2000" b="0" i="0" baseline="0">
                <a:effectLst/>
              </a:rPr>
              <a:t>Shots on Target in Favor vs Shots in Target Against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ShotsT!$B$1</c:f>
              <c:strCache>
                <c:ptCount val="1"/>
                <c:pt idx="0">
                  <c:v>Shots on Target in Favor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ShotsT!$A$2:$A$11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Colombia</c:v>
                </c:pt>
                <c:pt idx="4">
                  <c:v>Perú</c:v>
                </c:pt>
                <c:pt idx="5">
                  <c:v>Chile</c:v>
                </c:pt>
                <c:pt idx="6">
                  <c:v>Uruguay</c:v>
                </c:pt>
                <c:pt idx="7">
                  <c:v>Bolivia</c:v>
                </c:pt>
                <c:pt idx="8">
                  <c:v>Paraguay</c:v>
                </c:pt>
                <c:pt idx="9">
                  <c:v>Venezuela</c:v>
                </c:pt>
              </c:strCache>
            </c:strRef>
          </c:cat>
          <c:val>
            <c:numRef>
              <c:f>ShotsT!$B$2:$B$11</c:f>
              <c:numCache>
                <c:formatCode>0%</c:formatCode>
                <c:ptCount val="10"/>
                <c:pt idx="0">
                  <c:v>0.85740274279991979</c:v>
                </c:pt>
                <c:pt idx="1">
                  <c:v>0.83454051785803496</c:v>
                </c:pt>
                <c:pt idx="2">
                  <c:v>0.81103692772535885</c:v>
                </c:pt>
                <c:pt idx="3">
                  <c:v>0.71877151166995989</c:v>
                </c:pt>
                <c:pt idx="4">
                  <c:v>0.92152202533842742</c:v>
                </c:pt>
                <c:pt idx="5">
                  <c:v>0.67643739396999281</c:v>
                </c:pt>
                <c:pt idx="6">
                  <c:v>0.64491339442274243</c:v>
                </c:pt>
                <c:pt idx="7">
                  <c:v>0.94563050043274222</c:v>
                </c:pt>
                <c:pt idx="8">
                  <c:v>0.65454018837149519</c:v>
                </c:pt>
                <c:pt idx="9">
                  <c:v>0.83347960652341979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C-40F9-8F2A-FB607B7CCED8}"/>
            </c:ext>
          </c:extLst>
        </c:ser>
        <c:ser>
          <c:idx val="1"/>
          <c:order val="1"/>
          <c:tx>
            <c:strRef>
              <c:f>ShotsT!$C$1</c:f>
              <c:strCache>
                <c:ptCount val="1"/>
                <c:pt idx="0">
                  <c:v>Shots on Target Against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ShotsT!$A$2:$A$11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Colombia</c:v>
                </c:pt>
                <c:pt idx="4">
                  <c:v>Perú</c:v>
                </c:pt>
                <c:pt idx="5">
                  <c:v>Chile</c:v>
                </c:pt>
                <c:pt idx="6">
                  <c:v>Uruguay</c:v>
                </c:pt>
                <c:pt idx="7">
                  <c:v>Bolivia</c:v>
                </c:pt>
                <c:pt idx="8">
                  <c:v>Paraguay</c:v>
                </c:pt>
                <c:pt idx="9">
                  <c:v>Venezuela</c:v>
                </c:pt>
              </c:strCache>
            </c:strRef>
          </c:cat>
          <c:val>
            <c:numRef>
              <c:f>ShotsT!$C$2:$C$11</c:f>
              <c:numCache>
                <c:formatCode>0%</c:formatCode>
                <c:ptCount val="10"/>
                <c:pt idx="0">
                  <c:v>0.65331341418334887</c:v>
                </c:pt>
                <c:pt idx="1">
                  <c:v>0.78395595444846555</c:v>
                </c:pt>
                <c:pt idx="2">
                  <c:v>0.55655362873019909</c:v>
                </c:pt>
                <c:pt idx="3">
                  <c:v>0.88441044924630108</c:v>
                </c:pt>
                <c:pt idx="4">
                  <c:v>0.74956957036732186</c:v>
                </c:pt>
                <c:pt idx="5">
                  <c:v>0.79402123286566928</c:v>
                </c:pt>
                <c:pt idx="6">
                  <c:v>1.0039529853310991</c:v>
                </c:pt>
                <c:pt idx="7">
                  <c:v>0.92667255186182673</c:v>
                </c:pt>
                <c:pt idx="8">
                  <c:v>0.71571953197775051</c:v>
                </c:pt>
                <c:pt idx="9">
                  <c:v>0.74158671105640395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C-40F9-8F2A-FB607B7CCE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915896"/>
        <c:axId val="689907696"/>
      </c:barChart>
      <c:catAx>
        <c:axId val="68991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907696"/>
        <c:crosses val="autoZero"/>
        <c:auto val="1"/>
        <c:lblAlgn val="ctr"/>
        <c:lblOffset val="100"/>
        <c:noMultiLvlLbl val="0"/>
      </c:catAx>
      <c:valAx>
        <c:axId val="68990769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6899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Qatar 2022 World Cup CONMEBOL Qualifiers </a:t>
            </a:r>
            <a:br>
              <a:rPr lang="en-US" sz="2000" b="0" i="0" baseline="0">
                <a:effectLst/>
              </a:rPr>
            </a:br>
            <a:r>
              <a:rPr lang="en-US" sz="2000" b="0" i="0" baseline="0">
                <a:effectLst/>
              </a:rPr>
              <a:t>Goals vs Goals Expected by Betting Houses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GDiff'!$C$1</c:f>
              <c:strCache>
                <c:ptCount val="1"/>
                <c:pt idx="0">
                  <c:v>GoalsA_Diff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GDiff'!$B$2:$B$11</c:f>
              <c:numCache>
                <c:formatCode>0</c:formatCode>
                <c:ptCount val="10"/>
                <c:pt idx="0">
                  <c:v>-1.0869667841485011</c:v>
                </c:pt>
                <c:pt idx="1">
                  <c:v>-7.3612442853080005</c:v>
                </c:pt>
                <c:pt idx="2">
                  <c:v>1.5648601042931993</c:v>
                </c:pt>
                <c:pt idx="3">
                  <c:v>-4.4887869789003005</c:v>
                </c:pt>
                <c:pt idx="4">
                  <c:v>-1.0335834181575017</c:v>
                </c:pt>
                <c:pt idx="5">
                  <c:v>-4.6668002330407994</c:v>
                </c:pt>
                <c:pt idx="6">
                  <c:v>-5.9787586856439994</c:v>
                </c:pt>
                <c:pt idx="7">
                  <c:v>6.2370898143032996</c:v>
                </c:pt>
                <c:pt idx="8">
                  <c:v>-7.343716750201601</c:v>
                </c:pt>
                <c:pt idx="9">
                  <c:v>-3.7443176168377992</c:v>
                </c:pt>
              </c:numCache>
            </c:numRef>
          </c:xVal>
          <c:yVal>
            <c:numRef>
              <c:f>'Scatter GDiff'!$C$2:$C$11</c:f>
              <c:numCache>
                <c:formatCode>0</c:formatCode>
                <c:ptCount val="10"/>
                <c:pt idx="0">
                  <c:v>0.36175666650712479</c:v>
                </c:pt>
                <c:pt idx="1">
                  <c:v>0.54029975995425927</c:v>
                </c:pt>
                <c:pt idx="2">
                  <c:v>0.63400332539068338</c:v>
                </c:pt>
                <c:pt idx="3">
                  <c:v>1.0141973227263268</c:v>
                </c:pt>
                <c:pt idx="4">
                  <c:v>0.89388597646928258</c:v>
                </c:pt>
                <c:pt idx="5">
                  <c:v>0.89893598565669186</c:v>
                </c:pt>
                <c:pt idx="6">
                  <c:v>1.1801142122139958</c:v>
                </c:pt>
                <c:pt idx="7">
                  <c:v>0.90030906933258947</c:v>
                </c:pt>
                <c:pt idx="8">
                  <c:v>0.83273448829774799</c:v>
                </c:pt>
                <c:pt idx="9">
                  <c:v>0.94419464263552433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B-4BBC-8409-2828FF37E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31184"/>
        <c:axId val="697337088"/>
      </c:scatterChart>
      <c:valAx>
        <c:axId val="697331184"/>
        <c:scaling>
          <c:orientation val="minMax"/>
          <c:max val="9"/>
          <c:min val="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8100" cap="flat" cmpd="sng" algn="ctr">
            <a:gradFill flip="none" rotWithShape="1">
              <a:gsLst>
                <a:gs pos="100000">
                  <a:srgbClr val="FF0000"/>
                </a:gs>
                <a:gs pos="3000">
                  <a:srgbClr val="0070C0"/>
                </a:gs>
                <a:gs pos="77000">
                  <a:srgbClr val="FF0000"/>
                </a:gs>
                <a:gs pos="38000">
                  <a:srgbClr val="0070C0"/>
                </a:gs>
              </a:gsLst>
              <a:lin ang="10800000" scaled="1"/>
              <a:tileRect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7337088"/>
        <c:crosses val="autoZero"/>
        <c:crossBetween val="midCat"/>
        <c:majorUnit val="1"/>
      </c:valAx>
      <c:valAx>
        <c:axId val="697337088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8100" cap="flat" cmpd="sng" algn="ctr">
            <a:gradFill>
              <a:gsLst>
                <a:gs pos="33350">
                  <a:srgbClr val="D21422"/>
                </a:gs>
                <a:gs pos="0">
                  <a:srgbClr val="FF0000"/>
                </a:gs>
                <a:gs pos="26000">
                  <a:srgbClr val="FF0000"/>
                </a:gs>
                <a:gs pos="68000">
                  <a:srgbClr val="0070C0"/>
                </a:gs>
                <a:gs pos="100000">
                  <a:srgbClr val="0070C0"/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7331184"/>
        <c:crosses val="autoZero"/>
        <c:crossBetween val="midCat"/>
        <c:majorUnit val="1"/>
      </c:valAx>
      <c:spPr>
        <a:noFill/>
        <a:ln w="12700" cap="flat" cmpd="sng" algn="ctr">
          <a:noFill/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Dif Shots'!$C$1</c:f>
              <c:strCache>
                <c:ptCount val="1"/>
                <c:pt idx="0">
                  <c:v>ShotsA_Diff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Dif Shots'!$B$2:$B$11</c:f>
              <c:numCache>
                <c:formatCode>0</c:formatCode>
                <c:ptCount val="10"/>
                <c:pt idx="0">
                  <c:v>-30.293593732163004</c:v>
                </c:pt>
                <c:pt idx="1">
                  <c:v>-10.153576980409014</c:v>
                </c:pt>
                <c:pt idx="2">
                  <c:v>-10.024699152956003</c:v>
                </c:pt>
                <c:pt idx="3">
                  <c:v>-18.500716186858995</c:v>
                </c:pt>
                <c:pt idx="4">
                  <c:v>-1.3057364394209969</c:v>
                </c:pt>
                <c:pt idx="5">
                  <c:v>-3.8855491486089875</c:v>
                </c:pt>
                <c:pt idx="6">
                  <c:v>-28.659889853392002</c:v>
                </c:pt>
                <c:pt idx="7">
                  <c:v>34.486648493248993</c:v>
                </c:pt>
                <c:pt idx="8">
                  <c:v>-26.375992673632993</c:v>
                </c:pt>
                <c:pt idx="9">
                  <c:v>21.839328093304999</c:v>
                </c:pt>
              </c:numCache>
            </c:numRef>
          </c:xVal>
          <c:yVal>
            <c:numRef>
              <c:f>'Scatter Dif Shots'!$C$2:$C$11</c:f>
              <c:numCache>
                <c:formatCode>0</c:formatCode>
                <c:ptCount val="10"/>
                <c:pt idx="0">
                  <c:v>21.674536117450998</c:v>
                </c:pt>
                <c:pt idx="1">
                  <c:v>9.7895030224720045</c:v>
                </c:pt>
                <c:pt idx="2">
                  <c:v>17.883139059591997</c:v>
                </c:pt>
                <c:pt idx="3">
                  <c:v>-5.2564532544089957</c:v>
                </c:pt>
                <c:pt idx="4">
                  <c:v>17.088786467874996</c:v>
                </c:pt>
                <c:pt idx="5">
                  <c:v>11.77989801637699</c:v>
                </c:pt>
                <c:pt idx="6">
                  <c:v>0.55281302165400348</c:v>
                </c:pt>
                <c:pt idx="7">
                  <c:v>-21.319620787755014</c:v>
                </c:pt>
                <c:pt idx="8">
                  <c:v>-11.451146124132009</c:v>
                </c:pt>
                <c:pt idx="9">
                  <c:v>32.13232204176299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F-469C-8B1D-D33DF489974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47430776"/>
        <c:axId val="747431104"/>
      </c:scatterChart>
      <c:valAx>
        <c:axId val="74743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8100" cap="rnd" cmpd="sng" algn="ctr">
            <a:gradFill>
              <a:gsLst>
                <a:gs pos="9768">
                  <a:srgbClr val="FF0000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7431104"/>
        <c:crosses val="autoZero"/>
        <c:crossBetween val="midCat"/>
      </c:valAx>
      <c:valAx>
        <c:axId val="747431104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8100" cap="flat" cmpd="sng" algn="ctr">
            <a:gradFill>
              <a:gsLst>
                <a:gs pos="0">
                  <a:srgbClr val="FF0000"/>
                </a:gs>
                <a:gs pos="38000">
                  <a:schemeClr val="accent2">
                    <a:lumMod val="60000"/>
                    <a:lumOff val="40000"/>
                  </a:schemeClr>
                </a:gs>
                <a:gs pos="69000">
                  <a:schemeClr val="accent1">
                    <a:lumMod val="60000"/>
                    <a:lumOff val="40000"/>
                  </a:schemeClr>
                </a:gs>
                <a:gs pos="100000">
                  <a:schemeClr val="accent1"/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7430776"/>
        <c:crosses val="autoZero"/>
        <c:crossBetween val="midCat"/>
      </c:valAx>
      <c:spPr>
        <a:noFill/>
        <a:ln cmpd="sng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eg"/><Relationship Id="rId13" Type="http://schemas.openxmlformats.org/officeDocument/2006/relationships/hyperlink" Target="https://en.wikipedia.org/wiki/Flag_of_Colombia" TargetMode="External"/><Relationship Id="rId18" Type="http://schemas.openxmlformats.org/officeDocument/2006/relationships/image" Target="../media/image13.png"/><Relationship Id="rId3" Type="http://schemas.openxmlformats.org/officeDocument/2006/relationships/hyperlink" Target="https://commons.wikimedia.org/wiki/File:Flag_of_Bolivia_(state).svg" TargetMode="External"/><Relationship Id="rId21" Type="http://schemas.openxmlformats.org/officeDocument/2006/relationships/hyperlink" Target="http://www.all-flags-world.com/country-flag/flag-argentina.php" TargetMode="External"/><Relationship Id="rId7" Type="http://schemas.openxmlformats.org/officeDocument/2006/relationships/hyperlink" Target="https://en.wikipedia.org/wiki/Military_of_Peru" TargetMode="External"/><Relationship Id="rId12" Type="http://schemas.openxmlformats.org/officeDocument/2006/relationships/image" Target="../media/image3.png"/><Relationship Id="rId17" Type="http://schemas.openxmlformats.org/officeDocument/2006/relationships/hyperlink" Target="https://en.wikipedia.org/wiki/Flag_of_Uruguay" TargetMode="External"/><Relationship Id="rId2" Type="http://schemas.openxmlformats.org/officeDocument/2006/relationships/image" Target="../media/image10.png"/><Relationship Id="rId16" Type="http://schemas.openxmlformats.org/officeDocument/2006/relationships/image" Target="../media/image8.png"/><Relationship Id="rId20" Type="http://schemas.openxmlformats.org/officeDocument/2006/relationships/image" Target="../media/image14.jpeg"/><Relationship Id="rId1" Type="http://schemas.openxmlformats.org/officeDocument/2006/relationships/chart" Target="../charts/chart8.xml"/><Relationship Id="rId6" Type="http://schemas.openxmlformats.org/officeDocument/2006/relationships/image" Target="../media/image11.png"/><Relationship Id="rId11" Type="http://schemas.openxmlformats.org/officeDocument/2006/relationships/hyperlink" Target="https://es.wikipedia.org/wiki/Venezuela_en_los_Juegos_Ol%C3%ADmpicos_de_Tokio_2020" TargetMode="External"/><Relationship Id="rId5" Type="http://schemas.openxmlformats.org/officeDocument/2006/relationships/hyperlink" Target="http://www.all-flags-world.com/country-flag/Ecuador/national-ecuadorian-flag.php" TargetMode="External"/><Relationship Id="rId15" Type="http://schemas.openxmlformats.org/officeDocument/2006/relationships/hyperlink" Target="https://en.wikipedia.org/wiki/File:Flag_of_Chile.svg" TargetMode="External"/><Relationship Id="rId10" Type="http://schemas.openxmlformats.org/officeDocument/2006/relationships/image" Target="../media/image9.png"/><Relationship Id="rId19" Type="http://schemas.openxmlformats.org/officeDocument/2006/relationships/hyperlink" Target="https://en.wikipedia.org/wiki/File:Flag_of_Paraguay_(reverse).svg" TargetMode="External"/><Relationship Id="rId4" Type="http://schemas.openxmlformats.org/officeDocument/2006/relationships/image" Target="../media/image7.jpeg"/><Relationship Id="rId9" Type="http://schemas.openxmlformats.org/officeDocument/2006/relationships/hyperlink" Target="http://www.all-flags-world.com/country-flag/Brazil/national-brazilian-flag.php" TargetMode="External"/><Relationship Id="rId1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hyperlink" Target="http://www.all-flags-world.com/country-flag/Ecuador/national-ecuadorian-flag.php" TargetMode="External"/><Relationship Id="rId7" Type="http://schemas.openxmlformats.org/officeDocument/2006/relationships/hyperlink" Target="https://es.wikipedia.org/wiki/Venezuela_en_los_Juegos_Ol%C3%ADmpicos_de_Tokio_2020" TargetMode="External"/><Relationship Id="rId2" Type="http://schemas.openxmlformats.org/officeDocument/2006/relationships/image" Target="../media/image7.jpeg"/><Relationship Id="rId1" Type="http://schemas.openxmlformats.org/officeDocument/2006/relationships/chart" Target="../charts/chart4.xml"/><Relationship Id="rId6" Type="http://schemas.openxmlformats.org/officeDocument/2006/relationships/image" Target="../media/image9.png"/><Relationship Id="rId5" Type="http://schemas.openxmlformats.org/officeDocument/2006/relationships/hyperlink" Target="https://en.wikipedia.org/wiki/Flag_of_Uruguay" TargetMode="External"/><Relationship Id="rId4" Type="http://schemas.openxmlformats.org/officeDocument/2006/relationships/image" Target="../media/image8.png"/><Relationship Id="rId9" Type="http://schemas.openxmlformats.org/officeDocument/2006/relationships/hyperlink" Target="https://commons.wikimedia.org/wiki/File:Flag_of_Bolivia_(state).svg" TargetMode="Externa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File:Flag_of_Chile.svg" TargetMode="External"/><Relationship Id="rId3" Type="http://schemas.openxmlformats.org/officeDocument/2006/relationships/image" Target="../media/image2.jpg"/><Relationship Id="rId7" Type="http://schemas.openxmlformats.org/officeDocument/2006/relationships/image" Target="../media/image4.png"/><Relationship Id="rId12" Type="http://schemas.openxmlformats.org/officeDocument/2006/relationships/hyperlink" Target="https://en.wikipedia.org/wiki/Military_of_Peru" TargetMode="External"/><Relationship Id="rId2" Type="http://schemas.openxmlformats.org/officeDocument/2006/relationships/hyperlink" Target="http://www.all-flags-world.com/country-flag/Brazil/national-brazilian-flag.php" TargetMode="External"/><Relationship Id="rId1" Type="http://schemas.openxmlformats.org/officeDocument/2006/relationships/image" Target="../media/image1.jpg"/><Relationship Id="rId6" Type="http://schemas.openxmlformats.org/officeDocument/2006/relationships/hyperlink" Target="https://en.wikipedia.org/wiki/Flag_of_Colombia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hyperlink" Target="https://en.wikipedia.org/wiki/File:Flag_of_Paraguay_(reverse).svg" TargetMode="External"/><Relationship Id="rId4" Type="http://schemas.openxmlformats.org/officeDocument/2006/relationships/hyperlink" Target="http://www.all-flags-world.com/country-flag/flag-argentina.php" TargetMode="External"/><Relationship Id="rId9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hyperlink" Target="http://www.all-flags-world.com/country-flag/Ecuador/national-ecuadorian-flag.php" TargetMode="External"/><Relationship Id="rId7" Type="http://schemas.openxmlformats.org/officeDocument/2006/relationships/hyperlink" Target="https://es.wikipedia.org/wiki/Venezuela_en_los_Juegos_Ol%C3%ADmpicos_de_Tokio_2020" TargetMode="External"/><Relationship Id="rId2" Type="http://schemas.openxmlformats.org/officeDocument/2006/relationships/image" Target="../media/image7.jpeg"/><Relationship Id="rId1" Type="http://schemas.openxmlformats.org/officeDocument/2006/relationships/chart" Target="../charts/chart5.xml"/><Relationship Id="rId6" Type="http://schemas.openxmlformats.org/officeDocument/2006/relationships/image" Target="../media/image9.png"/><Relationship Id="rId5" Type="http://schemas.openxmlformats.org/officeDocument/2006/relationships/hyperlink" Target="https://en.wikipedia.org/wiki/Flag_of_Uruguay" TargetMode="External"/><Relationship Id="rId4" Type="http://schemas.openxmlformats.org/officeDocument/2006/relationships/image" Target="../media/image8.png"/><Relationship Id="rId9" Type="http://schemas.openxmlformats.org/officeDocument/2006/relationships/hyperlink" Target="https://commons.wikimedia.org/wiki/File:Flag_of_Bolivia_(state).svg" TargetMode="Externa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File:Flag_of_Chile.svg" TargetMode="External"/><Relationship Id="rId3" Type="http://schemas.openxmlformats.org/officeDocument/2006/relationships/image" Target="../media/image2.jpg"/><Relationship Id="rId7" Type="http://schemas.openxmlformats.org/officeDocument/2006/relationships/image" Target="../media/image4.png"/><Relationship Id="rId12" Type="http://schemas.openxmlformats.org/officeDocument/2006/relationships/hyperlink" Target="https://en.wikipedia.org/wiki/Military_of_Peru" TargetMode="External"/><Relationship Id="rId2" Type="http://schemas.openxmlformats.org/officeDocument/2006/relationships/hyperlink" Target="http://www.all-flags-world.com/country-flag/Brazil/national-brazilian-flag.php" TargetMode="External"/><Relationship Id="rId1" Type="http://schemas.openxmlformats.org/officeDocument/2006/relationships/image" Target="../media/image1.jpg"/><Relationship Id="rId6" Type="http://schemas.openxmlformats.org/officeDocument/2006/relationships/hyperlink" Target="https://en.wikipedia.org/wiki/Flag_of_Colombia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hyperlink" Target="https://en.wikipedia.org/wiki/File:Flag_of_Paraguay_(reverse).svg" TargetMode="External"/><Relationship Id="rId4" Type="http://schemas.openxmlformats.org/officeDocument/2006/relationships/hyperlink" Target="http://www.all-flags-world.com/country-flag/flag-argentina.php" TargetMode="External"/><Relationship Id="rId9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</xdr:colOff>
      <xdr:row>1</xdr:row>
      <xdr:rowOff>2380</xdr:rowOff>
    </xdr:from>
    <xdr:to>
      <xdr:col>16</xdr:col>
      <xdr:colOff>628650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FBA29-BD03-43D2-AAE2-AB36A3793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357621</xdr:colOff>
      <xdr:row>6</xdr:row>
      <xdr:rowOff>110839</xdr:rowOff>
    </xdr:from>
    <xdr:to>
      <xdr:col>16</xdr:col>
      <xdr:colOff>467591</xdr:colOff>
      <xdr:row>17</xdr:row>
      <xdr:rowOff>71873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F4A0E50-78C5-4353-8327-F84F0B8C11FA}"/>
            </a:ext>
          </a:extLst>
        </xdr:cNvPr>
        <xdr:cNvSpPr/>
      </xdr:nvSpPr>
      <xdr:spPr>
        <a:xfrm>
          <a:off x="6851939" y="1201884"/>
          <a:ext cx="4006561" cy="1961284"/>
        </a:xfrm>
        <a:prstGeom prst="rect">
          <a:avLst/>
        </a:prstGeom>
        <a:gradFill flip="none" rotWithShape="1">
          <a:gsLst>
            <a:gs pos="0">
              <a:schemeClr val="accent6">
                <a:lumMod val="75000"/>
                <a:tint val="66000"/>
                <a:satMod val="160000"/>
              </a:schemeClr>
            </a:gs>
            <a:gs pos="50000">
              <a:schemeClr val="accent6">
                <a:lumMod val="75000"/>
                <a:tint val="44500"/>
                <a:satMod val="160000"/>
              </a:schemeClr>
            </a:gs>
            <a:gs pos="100000">
              <a:schemeClr val="accent6">
                <a:lumMod val="75000"/>
                <a:tint val="23500"/>
                <a:satMod val="160000"/>
              </a:schemeClr>
            </a:gs>
          </a:gsLst>
          <a:path path="circle">
            <a:fillToRect l="100000" b="100000"/>
          </a:path>
          <a:tileRect t="-100000" r="-100000"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640554</xdr:colOff>
      <xdr:row>1</xdr:row>
      <xdr:rowOff>169068</xdr:rowOff>
    </xdr:from>
    <xdr:to>
      <xdr:col>16</xdr:col>
      <xdr:colOff>647699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60D67-1CAB-49F0-8135-35F080458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519546</xdr:colOff>
      <xdr:row>29</xdr:row>
      <xdr:rowOff>77932</xdr:rowOff>
    </xdr:from>
    <xdr:to>
      <xdr:col>6</xdr:col>
      <xdr:colOff>632114</xdr:colOff>
      <xdr:row>40</xdr:row>
      <xdr:rowOff>38966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2F3777D-DD57-4531-8F7C-2C7411A9F977}"/>
            </a:ext>
          </a:extLst>
        </xdr:cNvPr>
        <xdr:cNvSpPr/>
      </xdr:nvSpPr>
      <xdr:spPr>
        <a:xfrm>
          <a:off x="519546" y="5326207"/>
          <a:ext cx="3998768" cy="1951759"/>
        </a:xfrm>
        <a:prstGeom prst="rect">
          <a:avLst/>
        </a:prstGeom>
        <a:solidFill>
          <a:srgbClr val="FFCCCC">
            <a:alpha val="4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235527</xdr:colOff>
      <xdr:row>29</xdr:row>
      <xdr:rowOff>131620</xdr:rowOff>
    </xdr:from>
    <xdr:to>
      <xdr:col>13</xdr:col>
      <xdr:colOff>348095</xdr:colOff>
      <xdr:row>40</xdr:row>
      <xdr:rowOff>92654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48CF1E1-A623-4CFB-AD2D-AF9D0A2BE187}"/>
            </a:ext>
          </a:extLst>
        </xdr:cNvPr>
        <xdr:cNvSpPr/>
      </xdr:nvSpPr>
      <xdr:spPr>
        <a:xfrm>
          <a:off x="4769427" y="5379895"/>
          <a:ext cx="3998768" cy="1951759"/>
        </a:xfrm>
        <a:prstGeom prst="rect">
          <a:avLst/>
        </a:prstGeom>
        <a:solidFill>
          <a:schemeClr val="accent4">
            <a:lumMod val="40000"/>
            <a:lumOff val="60000"/>
            <a:alpha val="49804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484909</xdr:colOff>
      <xdr:row>6</xdr:row>
      <xdr:rowOff>47625</xdr:rowOff>
    </xdr:from>
    <xdr:to>
      <xdr:col>11</xdr:col>
      <xdr:colOff>173182</xdr:colOff>
      <xdr:row>9</xdr:row>
      <xdr:rowOff>25977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E655A57-F576-4EAD-8D77-CCB4D6DBBC4C}"/>
            </a:ext>
          </a:extLst>
        </xdr:cNvPr>
        <xdr:cNvSpPr/>
      </xdr:nvSpPr>
      <xdr:spPr>
        <a:xfrm>
          <a:off x="6329795" y="1138670"/>
          <a:ext cx="987137" cy="523875"/>
        </a:xfrm>
        <a:prstGeom prst="roundRect">
          <a:avLst/>
        </a:prstGeom>
        <a:ln>
          <a:solidFill>
            <a:srgbClr val="0070C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s-MX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Less Shots Against</a:t>
          </a:r>
          <a:endParaRPr lang="es-MX" sz="1100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15</xdr:col>
      <xdr:colOff>428628</xdr:colOff>
      <xdr:row>16</xdr:row>
      <xdr:rowOff>12989</xdr:rowOff>
    </xdr:from>
    <xdr:to>
      <xdr:col>16</xdr:col>
      <xdr:colOff>558514</xdr:colOff>
      <xdr:row>18</xdr:row>
      <xdr:rowOff>160194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701C955-D9DF-44B4-9F84-580633C1A372}"/>
            </a:ext>
          </a:extLst>
        </xdr:cNvPr>
        <xdr:cNvSpPr/>
      </xdr:nvSpPr>
      <xdr:spPr>
        <a:xfrm>
          <a:off x="10170105" y="2922444"/>
          <a:ext cx="779318" cy="510886"/>
        </a:xfrm>
        <a:prstGeom prst="roundRect">
          <a:avLst/>
        </a:prstGeom>
        <a:ln>
          <a:solidFill>
            <a:srgbClr val="0070C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es-MX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→ Good Offence</a:t>
          </a:r>
          <a:endParaRPr lang="es-MX" sz="1200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9</xdr:col>
      <xdr:colOff>407841</xdr:colOff>
      <xdr:row>26</xdr:row>
      <xdr:rowOff>30306</xdr:rowOff>
    </xdr:from>
    <xdr:to>
      <xdr:col>11</xdr:col>
      <xdr:colOff>194828</xdr:colOff>
      <xdr:row>28</xdr:row>
      <xdr:rowOff>152400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6D63EA1-1983-4361-B703-98BA09D4BE84}"/>
            </a:ext>
          </a:extLst>
        </xdr:cNvPr>
        <xdr:cNvSpPr/>
      </xdr:nvSpPr>
      <xdr:spPr>
        <a:xfrm>
          <a:off x="6252727" y="4758170"/>
          <a:ext cx="1085851" cy="485775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s-MX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More Shots</a:t>
          </a:r>
          <a:r>
            <a:rPr lang="es-MX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Against</a:t>
          </a:r>
          <a:endParaRPr lang="es-MX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</xdr:col>
      <xdr:colOff>75332</xdr:colOff>
      <xdr:row>16</xdr:row>
      <xdr:rowOff>1730</xdr:rowOff>
    </xdr:from>
    <xdr:to>
      <xdr:col>5</xdr:col>
      <xdr:colOff>151532</xdr:colOff>
      <xdr:row>18</xdr:row>
      <xdr:rowOff>155864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AE5EE3A9-1F57-43FE-ABF4-FBD392D131B6}"/>
            </a:ext>
          </a:extLst>
        </xdr:cNvPr>
        <xdr:cNvSpPr/>
      </xdr:nvSpPr>
      <xdr:spPr>
        <a:xfrm>
          <a:off x="2673059" y="2911185"/>
          <a:ext cx="725632" cy="517815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es-MX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← Poor Offence</a:t>
          </a:r>
          <a:endParaRPr lang="es-MX">
            <a:solidFill>
              <a:srgbClr val="FF0000"/>
            </a:solidFill>
            <a:effectLst/>
          </a:endParaRPr>
        </a:p>
      </xdr:txBody>
    </xdr:sp>
    <xdr:clientData/>
  </xdr:twoCellAnchor>
  <xdr:twoCellAnchor editAs="oneCell">
    <xdr:from>
      <xdr:col>14</xdr:col>
      <xdr:colOff>376671</xdr:colOff>
      <xdr:row>15</xdr:row>
      <xdr:rowOff>112567</xdr:rowOff>
    </xdr:from>
    <xdr:to>
      <xdr:col>15</xdr:col>
      <xdr:colOff>63138</xdr:colOff>
      <xdr:row>16</xdr:row>
      <xdr:rowOff>157376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E28792E-0057-4498-B5CC-30EDD9506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9468716" y="2840181"/>
          <a:ext cx="335899" cy="2266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216476</xdr:colOff>
      <xdr:row>16</xdr:row>
      <xdr:rowOff>17317</xdr:rowOff>
    </xdr:from>
    <xdr:to>
      <xdr:col>11</xdr:col>
      <xdr:colOff>528564</xdr:colOff>
      <xdr:row>17</xdr:row>
      <xdr:rowOff>41129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E7FBFF0-D184-4F2B-89DE-A0A3AF5DB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7360226" y="2926772"/>
          <a:ext cx="312088" cy="20565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329046</xdr:colOff>
      <xdr:row>15</xdr:row>
      <xdr:rowOff>51953</xdr:rowOff>
    </xdr:from>
    <xdr:to>
      <xdr:col>10</xdr:col>
      <xdr:colOff>849</xdr:colOff>
      <xdr:row>16</xdr:row>
      <xdr:rowOff>73323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DFE0438-E285-4C78-ADEB-3BE205ABB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6173932" y="2779567"/>
          <a:ext cx="321235" cy="20321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342035</xdr:colOff>
      <xdr:row>16</xdr:row>
      <xdr:rowOff>108238</xdr:rowOff>
    </xdr:from>
    <xdr:to>
      <xdr:col>10</xdr:col>
      <xdr:colOff>6158</xdr:colOff>
      <xdr:row>17</xdr:row>
      <xdr:rowOff>124969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6ADD157-0F57-471C-BA8D-83A1C3EB7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6186921" y="3017693"/>
          <a:ext cx="313555" cy="19857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147205</xdr:colOff>
      <xdr:row>15</xdr:row>
      <xdr:rowOff>69271</xdr:rowOff>
    </xdr:from>
    <xdr:to>
      <xdr:col>7</xdr:col>
      <xdr:colOff>468672</xdr:colOff>
      <xdr:row>16</xdr:row>
      <xdr:rowOff>85146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855848B-86EE-4996-B895-FBCBEA5AC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4693228" y="2796885"/>
          <a:ext cx="321467" cy="19771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554181</xdr:colOff>
      <xdr:row>15</xdr:row>
      <xdr:rowOff>77932</xdr:rowOff>
    </xdr:from>
    <xdr:to>
      <xdr:col>8</xdr:col>
      <xdr:colOff>228264</xdr:colOff>
      <xdr:row>16</xdr:row>
      <xdr:rowOff>103251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9F947D5-569B-4C28-A7B9-3DAFDA910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5100204" y="2805546"/>
          <a:ext cx="323515" cy="20716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480580</xdr:colOff>
      <xdr:row>16</xdr:row>
      <xdr:rowOff>17319</xdr:rowOff>
    </xdr:from>
    <xdr:to>
      <xdr:col>7</xdr:col>
      <xdr:colOff>138795</xdr:colOff>
      <xdr:row>17</xdr:row>
      <xdr:rowOff>30052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95B86FC-0945-45BD-B28E-5F6609BA6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5"/>
            </a:ext>
          </a:extLst>
        </a:blip>
        <a:stretch>
          <a:fillRect/>
        </a:stretch>
      </xdr:blipFill>
      <xdr:spPr>
        <a:xfrm>
          <a:off x="4377171" y="2926774"/>
          <a:ext cx="307647" cy="19457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73603</xdr:colOff>
      <xdr:row>14</xdr:row>
      <xdr:rowOff>173181</xdr:rowOff>
    </xdr:from>
    <xdr:to>
      <xdr:col>6</xdr:col>
      <xdr:colOff>389662</xdr:colOff>
      <xdr:row>16</xdr:row>
      <xdr:rowOff>34996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10CC36B-3E14-4509-984E-DA8B4703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970194" y="2718954"/>
          <a:ext cx="316059" cy="22549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186170</xdr:colOff>
      <xdr:row>15</xdr:row>
      <xdr:rowOff>43294</xdr:rowOff>
    </xdr:from>
    <xdr:to>
      <xdr:col>5</xdr:col>
      <xdr:colOff>505718</xdr:colOff>
      <xdr:row>16</xdr:row>
      <xdr:rowOff>68612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23CF7DA-D8AA-4B73-8C8B-AEF4A7AD0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9"/>
            </a:ext>
          </a:extLst>
        </a:blip>
        <a:stretch>
          <a:fillRect/>
        </a:stretch>
      </xdr:blipFill>
      <xdr:spPr>
        <a:xfrm>
          <a:off x="3433329" y="2770908"/>
          <a:ext cx="319548" cy="20715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194830</xdr:colOff>
      <xdr:row>16</xdr:row>
      <xdr:rowOff>116898</xdr:rowOff>
    </xdr:from>
    <xdr:to>
      <xdr:col>5</xdr:col>
      <xdr:colOff>509481</xdr:colOff>
      <xdr:row>17</xdr:row>
      <xdr:rowOff>134320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AC2366A-4838-435F-871B-6795CBADA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3441989" y="3026353"/>
          <a:ext cx="314651" cy="19926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7142</xdr:colOff>
      <xdr:row>1</xdr:row>
      <xdr:rowOff>11906</xdr:rowOff>
    </xdr:from>
    <xdr:to>
      <xdr:col>16</xdr:col>
      <xdr:colOff>628649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13840-993F-4487-A974-6AEF1DA1C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15</xdr:row>
      <xdr:rowOff>166688</xdr:rowOff>
    </xdr:from>
    <xdr:to>
      <xdr:col>10</xdr:col>
      <xdr:colOff>332509</xdr:colOff>
      <xdr:row>28</xdr:row>
      <xdr:rowOff>57149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DF1A6BA-715E-4254-8C6C-6F997D103939}"/>
            </a:ext>
          </a:extLst>
        </xdr:cNvPr>
        <xdr:cNvSpPr/>
      </xdr:nvSpPr>
      <xdr:spPr>
        <a:xfrm>
          <a:off x="2800350" y="2881313"/>
          <a:ext cx="4009159" cy="2243136"/>
        </a:xfrm>
        <a:prstGeom prst="rect">
          <a:avLst/>
        </a:prstGeom>
        <a:solidFill>
          <a:srgbClr val="FFCCCC">
            <a:alpha val="4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2380</xdr:colOff>
      <xdr:row>1</xdr:row>
      <xdr:rowOff>16668</xdr:rowOff>
    </xdr:from>
    <xdr:to>
      <xdr:col>17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D72D8-370E-4932-B54E-C5F7DE92A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11904</xdr:colOff>
      <xdr:row>1</xdr:row>
      <xdr:rowOff>11905</xdr:rowOff>
    </xdr:from>
    <xdr:to>
      <xdr:col>17</xdr:col>
      <xdr:colOff>52387</xdr:colOff>
      <xdr:row>29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C1D328-B0ED-4371-8D30-6A73E288C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7142</xdr:colOff>
      <xdr:row>1</xdr:row>
      <xdr:rowOff>11906</xdr:rowOff>
    </xdr:from>
    <xdr:to>
      <xdr:col>16</xdr:col>
      <xdr:colOff>647699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6A5DA-865F-424A-9225-6675D31DB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645317</xdr:colOff>
      <xdr:row>0</xdr:row>
      <xdr:rowOff>178593</xdr:rowOff>
    </xdr:from>
    <xdr:to>
      <xdr:col>17</xdr:col>
      <xdr:colOff>4762</xdr:colOff>
      <xdr:row>28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EC3E4-7275-428B-915D-51B0114A2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</xdr:colOff>
      <xdr:row>1</xdr:row>
      <xdr:rowOff>2380</xdr:rowOff>
    </xdr:from>
    <xdr:to>
      <xdr:col>17</xdr:col>
      <xdr:colOff>4763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9704D-C58C-457A-9E64-F2CD35C1F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492486</xdr:colOff>
      <xdr:row>15</xdr:row>
      <xdr:rowOff>16960</xdr:rowOff>
    </xdr:from>
    <xdr:to>
      <xdr:col>12</xdr:col>
      <xdr:colOff>155142</xdr:colOff>
      <xdr:row>16</xdr:row>
      <xdr:rowOff>40771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CFBA6D-474E-430D-9A72-23F45E220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7636236" y="2744574"/>
          <a:ext cx="312088" cy="20565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161995</xdr:colOff>
      <xdr:row>14</xdr:row>
      <xdr:rowOff>24172</xdr:rowOff>
    </xdr:from>
    <xdr:to>
      <xdr:col>6</xdr:col>
      <xdr:colOff>478054</xdr:colOff>
      <xdr:row>15</xdr:row>
      <xdr:rowOff>67828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B559EC-CA2E-4A57-842F-C97006ED8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4058586" y="2569945"/>
          <a:ext cx="316059" cy="22549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20928</xdr:colOff>
      <xdr:row>14</xdr:row>
      <xdr:rowOff>86591</xdr:rowOff>
    </xdr:from>
    <xdr:to>
      <xdr:col>8</xdr:col>
      <xdr:colOff>342395</xdr:colOff>
      <xdr:row>15</xdr:row>
      <xdr:rowOff>102466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CDCD51-9744-4A39-BB50-809B7EA2C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5216383" y="2632364"/>
          <a:ext cx="321467" cy="19771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129526</xdr:colOff>
      <xdr:row>14</xdr:row>
      <xdr:rowOff>120506</xdr:rowOff>
    </xdr:from>
    <xdr:to>
      <xdr:col>15</xdr:col>
      <xdr:colOff>465425</xdr:colOff>
      <xdr:row>15</xdr:row>
      <xdr:rowOff>165315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E7C3BC3-08AB-4C8A-825B-B75E05506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9871003" y="2666279"/>
          <a:ext cx="335899" cy="2266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0.45338</cdr:x>
      <cdr:y>0.54697</cdr:y>
    </cdr:from>
    <cdr:to>
      <cdr:x>0.49053</cdr:x>
      <cdr:y>0.5872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A56A785E-0D38-4753-A968-06FFA94DE91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826592" y="2699809"/>
          <a:ext cx="313554" cy="19857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0.09277</cdr:x>
      <cdr:y>0.53545</cdr:y>
    </cdr:from>
    <cdr:to>
      <cdr:x>0.13005</cdr:x>
      <cdr:y>0.57582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10ABC400-C83F-4C39-8462-E4F1B68D7E1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83028" y="2642905"/>
          <a:ext cx="314652" cy="19926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0.267</cdr:x>
      <cdr:y>0.49293</cdr:y>
    </cdr:from>
    <cdr:to>
      <cdr:x>0.30533</cdr:x>
      <cdr:y>0.5349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FF029C33-E6D0-499B-83CB-7BA84153495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253509" y="2433073"/>
          <a:ext cx="323514" cy="207159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0.23582</cdr:x>
      <cdr:y>0.51803</cdr:y>
    </cdr:from>
    <cdr:to>
      <cdr:x>0.27227</cdr:x>
      <cdr:y>0.55745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0D970088-3012-4676-B59B-80D123160D7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990364" y="2556930"/>
          <a:ext cx="307647" cy="194573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0.09687</cdr:x>
      <cdr:y>0.49163</cdr:y>
    </cdr:from>
    <cdr:to>
      <cdr:x>0.13473</cdr:x>
      <cdr:y>0.5336</cdr:y>
    </cdr:to>
    <cdr:pic>
      <cdr:nvPicPr>
        <cdr:cNvPr id="11" name="Picture 10">
          <a:extLst xmlns:a="http://schemas.openxmlformats.org/drawingml/2006/main">
            <a:ext uri="{FF2B5EF4-FFF2-40B4-BE49-F238E27FC236}">
              <a16:creationId xmlns:a16="http://schemas.microsoft.com/office/drawing/2014/main" id="{CAD50CCF-8AC4-4727-A510-7138FED1934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17619" y="2426658"/>
          <a:ext cx="319547" cy="20716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0.45312</cdr:x>
      <cdr:y>0.49522</cdr:y>
    </cdr:from>
    <cdr:to>
      <cdr:x>0.49118</cdr:x>
      <cdr:y>0.53639</cdr:y>
    </cdr:to>
    <cdr:pic>
      <cdr:nvPicPr>
        <cdr:cNvPr id="13" name="Picture 12">
          <a:extLst xmlns:a="http://schemas.openxmlformats.org/drawingml/2006/main">
            <a:ext uri="{FF2B5EF4-FFF2-40B4-BE49-F238E27FC236}">
              <a16:creationId xmlns:a16="http://schemas.microsoft.com/office/drawing/2014/main" id="{46A4A0CE-173E-4A72-8AAF-8D4A01D8A49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824439" y="2444355"/>
          <a:ext cx="321235" cy="20321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0.72295</cdr:x>
      <cdr:y>0.74861</cdr:y>
    </cdr:from>
    <cdr:to>
      <cdr:x>0.97914</cdr:x>
      <cdr:y>0.99359</cdr:y>
    </cdr:to>
    <cdr:sp macro="" textlink="">
      <cdr:nvSpPr>
        <cdr:cNvPr id="14" name="Arrow: Right 13">
          <a:extLst xmlns:a="http://schemas.openxmlformats.org/drawingml/2006/main">
            <a:ext uri="{FF2B5EF4-FFF2-40B4-BE49-F238E27FC236}">
              <a16:creationId xmlns:a16="http://schemas.microsoft.com/office/drawing/2014/main" id="{51AA55B0-7954-4B5A-AAEF-37313AB489BD}"/>
            </a:ext>
          </a:extLst>
        </cdr:cNvPr>
        <cdr:cNvSpPr/>
      </cdr:nvSpPr>
      <cdr:spPr>
        <a:xfrm xmlns:a="http://schemas.openxmlformats.org/drawingml/2006/main">
          <a:off x="6101846" y="3695052"/>
          <a:ext cx="2162325" cy="1209231"/>
        </a:xfrm>
        <a:prstGeom xmlns:a="http://schemas.openxmlformats.org/drawingml/2006/main" prst="rightArrow">
          <a:avLst>
            <a:gd name="adj1" fmla="val 50000"/>
            <a:gd name="adj2" fmla="val 45443"/>
          </a:avLst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sz="1100"/>
            <a:t>The</a:t>
          </a:r>
          <a:r>
            <a:rPr lang="es-MX" sz="1100" baseline="0"/>
            <a:t> more to the right, the better Scored Goals performance</a:t>
          </a:r>
          <a:endParaRPr lang="es-MX" sz="1100"/>
        </a:p>
      </cdr:txBody>
    </cdr:sp>
  </cdr:relSizeAnchor>
  <cdr:relSizeAnchor xmlns:cdr="http://schemas.openxmlformats.org/drawingml/2006/chartDrawing">
    <cdr:from>
      <cdr:x>0.85889</cdr:x>
      <cdr:y>0.10129</cdr:y>
    </cdr:from>
    <cdr:to>
      <cdr:x>0.99084</cdr:x>
      <cdr:y>0.49325</cdr:y>
    </cdr:to>
    <cdr:sp macro="" textlink="">
      <cdr:nvSpPr>
        <cdr:cNvPr id="15" name="Arrow: Right 14">
          <a:extLst xmlns:a="http://schemas.openxmlformats.org/drawingml/2006/main">
            <a:ext uri="{FF2B5EF4-FFF2-40B4-BE49-F238E27FC236}">
              <a16:creationId xmlns:a16="http://schemas.microsoft.com/office/drawing/2014/main" id="{642D8DB6-B086-414F-A814-64C065D33BB2}"/>
            </a:ext>
          </a:extLst>
        </cdr:cNvPr>
        <cdr:cNvSpPr/>
      </cdr:nvSpPr>
      <cdr:spPr>
        <a:xfrm xmlns:a="http://schemas.openxmlformats.org/drawingml/2006/main" rot="16200000">
          <a:off x="6838699" y="910474"/>
          <a:ext cx="1934674" cy="1113688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100"/>
            <a:t>The further</a:t>
          </a:r>
          <a:r>
            <a:rPr lang="es-MX" sz="1100" baseline="0"/>
            <a:t> up, the better Conceded Goals performance</a:t>
          </a:r>
          <a:endParaRPr lang="es-MX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</xdr:colOff>
      <xdr:row>1</xdr:row>
      <xdr:rowOff>2380</xdr:rowOff>
    </xdr:from>
    <xdr:to>
      <xdr:col>17</xdr:col>
      <xdr:colOff>4763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F08AD-E887-48D5-9BF6-80CE9E5F2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492486</xdr:colOff>
      <xdr:row>15</xdr:row>
      <xdr:rowOff>16960</xdr:rowOff>
    </xdr:from>
    <xdr:to>
      <xdr:col>12</xdr:col>
      <xdr:colOff>155142</xdr:colOff>
      <xdr:row>16</xdr:row>
      <xdr:rowOff>40771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B58E14-9AA7-49B8-B24E-C1DAAED2F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7617186" y="2731585"/>
          <a:ext cx="310356" cy="2047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161995</xdr:colOff>
      <xdr:row>14</xdr:row>
      <xdr:rowOff>24172</xdr:rowOff>
    </xdr:from>
    <xdr:to>
      <xdr:col>6</xdr:col>
      <xdr:colOff>478054</xdr:colOff>
      <xdr:row>15</xdr:row>
      <xdr:rowOff>67828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B7B99F-137B-4837-815D-7D67A378E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4048195" y="2557822"/>
          <a:ext cx="316059" cy="22463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20928</xdr:colOff>
      <xdr:row>14</xdr:row>
      <xdr:rowOff>86591</xdr:rowOff>
    </xdr:from>
    <xdr:to>
      <xdr:col>8</xdr:col>
      <xdr:colOff>342395</xdr:colOff>
      <xdr:row>15</xdr:row>
      <xdr:rowOff>102466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A5CBEE-E41E-488A-A107-E4250286C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5202528" y="2620241"/>
          <a:ext cx="321467" cy="1968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129526</xdr:colOff>
      <xdr:row>14</xdr:row>
      <xdr:rowOff>120506</xdr:rowOff>
    </xdr:from>
    <xdr:to>
      <xdr:col>15</xdr:col>
      <xdr:colOff>465425</xdr:colOff>
      <xdr:row>15</xdr:row>
      <xdr:rowOff>165315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1EDB5E-B4E7-4913-9D62-1FF39B1BC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9845026" y="2654156"/>
          <a:ext cx="335899" cy="22578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0.45338</cdr:x>
      <cdr:y>0.54697</cdr:y>
    </cdr:from>
    <cdr:to>
      <cdr:x>0.49053</cdr:x>
      <cdr:y>0.5872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A56A785E-0D38-4753-A968-06FFA94DE91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826592" y="2699809"/>
          <a:ext cx="313554" cy="19857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0.09277</cdr:x>
      <cdr:y>0.53545</cdr:y>
    </cdr:from>
    <cdr:to>
      <cdr:x>0.13005</cdr:x>
      <cdr:y>0.57582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10ABC400-C83F-4C39-8462-E4F1B68D7E1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83028" y="2642905"/>
          <a:ext cx="314652" cy="19926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0.267</cdr:x>
      <cdr:y>0.49293</cdr:y>
    </cdr:from>
    <cdr:to>
      <cdr:x>0.30533</cdr:x>
      <cdr:y>0.5349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FF029C33-E6D0-499B-83CB-7BA84153495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253509" y="2433073"/>
          <a:ext cx="323514" cy="207159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0.23582</cdr:x>
      <cdr:y>0.51803</cdr:y>
    </cdr:from>
    <cdr:to>
      <cdr:x>0.27227</cdr:x>
      <cdr:y>0.55745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0D970088-3012-4676-B59B-80D123160D7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990364" y="2556930"/>
          <a:ext cx="307647" cy="194573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0.09687</cdr:x>
      <cdr:y>0.49163</cdr:y>
    </cdr:from>
    <cdr:to>
      <cdr:x>0.13473</cdr:x>
      <cdr:y>0.5336</cdr:y>
    </cdr:to>
    <cdr:pic>
      <cdr:nvPicPr>
        <cdr:cNvPr id="11" name="Picture 10">
          <a:extLst xmlns:a="http://schemas.openxmlformats.org/drawingml/2006/main">
            <a:ext uri="{FF2B5EF4-FFF2-40B4-BE49-F238E27FC236}">
              <a16:creationId xmlns:a16="http://schemas.microsoft.com/office/drawing/2014/main" id="{CAD50CCF-8AC4-4727-A510-7138FED1934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17619" y="2426658"/>
          <a:ext cx="319547" cy="20716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0.45312</cdr:x>
      <cdr:y>0.49522</cdr:y>
    </cdr:from>
    <cdr:to>
      <cdr:x>0.49118</cdr:x>
      <cdr:y>0.53639</cdr:y>
    </cdr:to>
    <cdr:pic>
      <cdr:nvPicPr>
        <cdr:cNvPr id="13" name="Picture 12">
          <a:extLst xmlns:a="http://schemas.openxmlformats.org/drawingml/2006/main">
            <a:ext uri="{FF2B5EF4-FFF2-40B4-BE49-F238E27FC236}">
              <a16:creationId xmlns:a16="http://schemas.microsoft.com/office/drawing/2014/main" id="{46A4A0CE-173E-4A72-8AAF-8D4A01D8A49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824439" y="2444355"/>
          <a:ext cx="321235" cy="20321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0.72295</cdr:x>
      <cdr:y>0.74861</cdr:y>
    </cdr:from>
    <cdr:to>
      <cdr:x>0.97914</cdr:x>
      <cdr:y>0.99359</cdr:y>
    </cdr:to>
    <cdr:sp macro="" textlink="">
      <cdr:nvSpPr>
        <cdr:cNvPr id="14" name="Arrow: Right 13">
          <a:extLst xmlns:a="http://schemas.openxmlformats.org/drawingml/2006/main">
            <a:ext uri="{FF2B5EF4-FFF2-40B4-BE49-F238E27FC236}">
              <a16:creationId xmlns:a16="http://schemas.microsoft.com/office/drawing/2014/main" id="{51AA55B0-7954-4B5A-AAEF-37313AB489BD}"/>
            </a:ext>
          </a:extLst>
        </cdr:cNvPr>
        <cdr:cNvSpPr/>
      </cdr:nvSpPr>
      <cdr:spPr>
        <a:xfrm xmlns:a="http://schemas.openxmlformats.org/drawingml/2006/main">
          <a:off x="6101846" y="3695052"/>
          <a:ext cx="2162325" cy="1209231"/>
        </a:xfrm>
        <a:prstGeom xmlns:a="http://schemas.openxmlformats.org/drawingml/2006/main" prst="rightArrow">
          <a:avLst>
            <a:gd name="adj1" fmla="val 50000"/>
            <a:gd name="adj2" fmla="val 45443"/>
          </a:avLst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sz="1100"/>
            <a:t>The</a:t>
          </a:r>
          <a:r>
            <a:rPr lang="es-MX" sz="1100" baseline="0"/>
            <a:t> more to the right, the better Scored Goals performance</a:t>
          </a:r>
          <a:endParaRPr lang="es-MX" sz="1100"/>
        </a:p>
      </cdr:txBody>
    </cdr:sp>
  </cdr:relSizeAnchor>
  <cdr:relSizeAnchor xmlns:cdr="http://schemas.openxmlformats.org/drawingml/2006/chartDrawing">
    <cdr:from>
      <cdr:x>0.85889</cdr:x>
      <cdr:y>0.10129</cdr:y>
    </cdr:from>
    <cdr:to>
      <cdr:x>0.99084</cdr:x>
      <cdr:y>0.49325</cdr:y>
    </cdr:to>
    <cdr:sp macro="" textlink="">
      <cdr:nvSpPr>
        <cdr:cNvPr id="15" name="Arrow: Right 14">
          <a:extLst xmlns:a="http://schemas.openxmlformats.org/drawingml/2006/main">
            <a:ext uri="{FF2B5EF4-FFF2-40B4-BE49-F238E27FC236}">
              <a16:creationId xmlns:a16="http://schemas.microsoft.com/office/drawing/2014/main" id="{642D8DB6-B086-414F-A814-64C065D33BB2}"/>
            </a:ext>
          </a:extLst>
        </cdr:cNvPr>
        <cdr:cNvSpPr/>
      </cdr:nvSpPr>
      <cdr:spPr>
        <a:xfrm xmlns:a="http://schemas.openxmlformats.org/drawingml/2006/main" rot="16200000">
          <a:off x="6838699" y="910474"/>
          <a:ext cx="1934674" cy="1113688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100"/>
            <a:t>The further</a:t>
          </a:r>
          <a:r>
            <a:rPr lang="es-MX" sz="1100" baseline="0"/>
            <a:t> up, the better Conceded Goals performance</a:t>
          </a:r>
          <a:endParaRPr lang="es-MX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192882</xdr:colOff>
      <xdr:row>0</xdr:row>
      <xdr:rowOff>169067</xdr:rowOff>
    </xdr:from>
    <xdr:to>
      <xdr:col>17</xdr:col>
      <xdr:colOff>185738</xdr:colOff>
      <xdr:row>27</xdr:row>
      <xdr:rowOff>180973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EF3ED-C9A1-4A7B-B11F-A2EE8E4B9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440531</xdr:colOff>
      <xdr:row>1</xdr:row>
      <xdr:rowOff>169068</xdr:rowOff>
    </xdr:from>
    <xdr:to>
      <xdr:col>17</xdr:col>
      <xdr:colOff>438151</xdr:colOff>
      <xdr:row>29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01E3A-4164-4FC2-A637-C5B314545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CQ2022_CONCACAF_18-11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CQ2022_CONCACAF_18-11-2021"/>
      <sheetName val="PtsvsxPts"/>
      <sheetName val="GvsxG"/>
      <sheetName val="GCvsxGC"/>
      <sheetName val="Scatter GDiff"/>
      <sheetName val="Shots"/>
      <sheetName val="ShotsT"/>
      <sheetName val="Fouls"/>
    </sheetNames>
    <sheetDataSet>
      <sheetData sheetId="0"/>
      <sheetData sheetId="1"/>
      <sheetData sheetId="2"/>
      <sheetData sheetId="3"/>
      <sheetData sheetId="4">
        <row r="1">
          <cell r="C1" t="str">
            <v>GoalsA_Diff</v>
          </cell>
        </row>
        <row r="2">
          <cell r="B2">
            <v>0.10135466342130073</v>
          </cell>
          <cell r="C2">
            <v>4.1330610417995093</v>
          </cell>
        </row>
        <row r="3">
          <cell r="B3">
            <v>-2.7756619703234993</v>
          </cell>
          <cell r="C3">
            <v>2.4291364577153498</v>
          </cell>
        </row>
        <row r="4">
          <cell r="B4">
            <v>-5.305161429567999</v>
          </cell>
          <cell r="C4">
            <v>-4.1336444973589792E-2</v>
          </cell>
        </row>
        <row r="5">
          <cell r="B5">
            <v>1.4499848302901395</v>
          </cell>
          <cell r="C5">
            <v>2.5606677812198999</v>
          </cell>
        </row>
        <row r="6">
          <cell r="B6">
            <v>-3.6753386197992199</v>
          </cell>
          <cell r="C6">
            <v>5.1169262831539992</v>
          </cell>
        </row>
        <row r="7">
          <cell r="B7">
            <v>-2.0920185500999207</v>
          </cell>
          <cell r="C7">
            <v>4.1690462844123992</v>
          </cell>
        </row>
        <row r="8">
          <cell r="B8">
            <v>-3.6088260616785499</v>
          </cell>
          <cell r="C8">
            <v>4.1343942255409001</v>
          </cell>
        </row>
        <row r="9">
          <cell r="B9">
            <v>-4.07338510739838</v>
          </cell>
          <cell r="C9">
            <v>-2.5228433837124999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Z12" totalsRowCount="1">
  <autoFilter ref="A1:AZ11" xr:uid="{00000000-0009-0000-0100-000001000000}"/>
  <sortState xmlns:xlrd2="http://schemas.microsoft.com/office/spreadsheetml/2017/richdata2" ref="A2:AZ11">
    <sortCondition descending="1" ref="C1:C11"/>
  </sortState>
  <tableColumns count="52">
    <tableColumn id="1" xr3:uid="{00000000-0010-0000-0000-000001000000}" name="Rank"/>
    <tableColumn id="2" xr3:uid="{00000000-0010-0000-0000-000002000000}" name="team"/>
    <tableColumn id="3" xr3:uid="{00000000-0010-0000-0000-000003000000}" name="Points" totalsRowFunction="custom">
      <totalsRowFormula>SUM(Table1[Points])</totalsRowFormula>
    </tableColumn>
    <tableColumn id="4" xr3:uid="{00000000-0010-0000-0000-000004000000}" name="xPoints" totalsRowFunction="sum"/>
    <tableColumn id="5" xr3:uid="{00000000-0010-0000-0000-000005000000}" name="Wins" totalsRowFunction="sum"/>
    <tableColumn id="6" xr3:uid="{00000000-0010-0000-0000-000006000000}" name="Draws" totalsRowFunction="sum"/>
    <tableColumn id="7" xr3:uid="{00000000-0010-0000-0000-000007000000}" name="Losses" totalsRowFunction="sum"/>
    <tableColumn id="8" xr3:uid="{00000000-0010-0000-0000-000008000000}" name="xWins" totalsRowFunction="sum"/>
    <tableColumn id="9" xr3:uid="{00000000-0010-0000-0000-000009000000}" name="xDraws" totalsRowFunction="sum"/>
    <tableColumn id="10" xr3:uid="{00000000-0010-0000-0000-00000A000000}" name="xLosses" totalsRowFunction="sum"/>
    <tableColumn id="11" xr3:uid="{00000000-0010-0000-0000-00000B000000}" name="GoalDiff" totalsRowFunction="stdDev"/>
    <tableColumn id="12" xr3:uid="{00000000-0010-0000-0000-00000C000000}" name="xGoalDiff" totalsRowFunction="stdDev"/>
    <tableColumn id="50" xr3:uid="{00000000-0010-0000-0000-000032000000}" name="GoalsF_Diff" dataDxfId="6">
      <calculatedColumnFormula>Table1[[#This Row],[GoalsF]]-Table1[[#This Row],[xGoalsF]]</calculatedColumnFormula>
    </tableColumn>
    <tableColumn id="13" xr3:uid="{00000000-0010-0000-0000-00000D000000}" name="GoalsF" totalsRowFunction="sum"/>
    <tableColumn id="14" xr3:uid="{00000000-0010-0000-0000-00000E000000}" name="xGoalsF" totalsRowFunction="sum"/>
    <tableColumn id="51" xr3:uid="{00000000-0010-0000-0000-000033000000}" name="GoalsA_Diff" dataDxfId="5">
      <calculatedColumnFormula>Table1[[#This Row],[GoalsA]]/Table1[[#This Row],[xGoalsA]]</calculatedColumnFormula>
    </tableColumn>
    <tableColumn id="15" xr3:uid="{00000000-0010-0000-0000-00000F000000}" name="GoalsA" totalsRowFunction="sum"/>
    <tableColumn id="16" xr3:uid="{00000000-0010-0000-0000-000010000000}" name="xGoalsA" totalsRowFunction="sum"/>
    <tableColumn id="17" xr3:uid="{00000000-0010-0000-0000-000011000000}" name="HTGoalsF" totalsRowFunction="sum"/>
    <tableColumn id="18" xr3:uid="{00000000-0010-0000-0000-000012000000}" name="xHTGoalsF" totalsRowFunction="sum"/>
    <tableColumn id="19" xr3:uid="{00000000-0010-0000-0000-000013000000}" name="HTGoalsA" totalsRowFunction="sum"/>
    <tableColumn id="20" xr3:uid="{00000000-0010-0000-0000-000014000000}" name="xHTGoalsA" totalsRowFunction="sum"/>
    <tableColumn id="41" xr3:uid="{00000000-0010-0000-0000-000029000000}" name="%ShotsF" totalsRowFunction="average" totalsRowDxfId="3" dataCellStyle="Percent">
      <calculatedColumnFormula>Table1[[#This Row],[ShotsF]]/Table1[[#This Row],[xShotsF]]</calculatedColumnFormula>
    </tableColumn>
    <tableColumn id="49" xr3:uid="{0FB4EB7E-6C1D-4A4D-B873-AF7340A366A6}" name="ShotsF_Diff" dataDxfId="4" dataCellStyle="Percent">
      <calculatedColumnFormula>Table1[[#This Row],[ShotsF]]-Table1[[#This Row],[xShotsF]]</calculatedColumnFormula>
    </tableColumn>
    <tableColumn id="21" xr3:uid="{00000000-0010-0000-0000-000015000000}" name="ShotsF" totalsRowFunction="sum"/>
    <tableColumn id="22" xr3:uid="{00000000-0010-0000-0000-000016000000}" name="xShotsF" totalsRowFunction="sum"/>
    <tableColumn id="42" xr3:uid="{00000000-0010-0000-0000-00002A000000}" name="%ShotsA" dataCellStyle="Percent">
      <calculatedColumnFormula>Table1[[#This Row],[ShotsA]]/Table1[[#This Row],[xShotsA]]</calculatedColumnFormula>
    </tableColumn>
    <tableColumn id="52" xr3:uid="{59AF7B0A-0884-4882-8D3E-4A8F6C591066}" name="ShotsA_Diff" dataDxfId="0" dataCellStyle="Percent">
      <calculatedColumnFormula>Table1[[#This Row],[xShotsA]]-Table1[[#This Row],[ShotsA]]</calculatedColumnFormula>
    </tableColumn>
    <tableColumn id="23" xr3:uid="{00000000-0010-0000-0000-000017000000}" name="ShotsA" totalsRowFunction="sum"/>
    <tableColumn id="24" xr3:uid="{00000000-0010-0000-0000-000018000000}" name="xShotsA" totalsRowFunction="sum"/>
    <tableColumn id="43" xr3:uid="{00000000-0010-0000-0000-00002B000000}" name="%ShotsTF" totalsRowFunction="average" totalsRowDxfId="2" dataCellStyle="Percent">
      <calculatedColumnFormula>Table1[[#This Row],[ShotsTF]]/Table1[[#This Row],[xShotsTF]]</calculatedColumnFormula>
    </tableColumn>
    <tableColumn id="25" xr3:uid="{00000000-0010-0000-0000-000019000000}" name="ShotsTF" totalsRowFunction="sum"/>
    <tableColumn id="26" xr3:uid="{00000000-0010-0000-0000-00001A000000}" name="xShotsTF" totalsRowFunction="sum"/>
    <tableColumn id="44" xr3:uid="{00000000-0010-0000-0000-00002C000000}" name="%ShotsTA" totalsRowFunction="average" totalsRowDxfId="1" dataCellStyle="Percent">
      <calculatedColumnFormula>Table1[[#This Row],[ShotsTA]]/Table1[[#This Row],[xShotsTA]]</calculatedColumnFormula>
    </tableColumn>
    <tableColumn id="27" xr3:uid="{00000000-0010-0000-0000-00001B000000}" name="ShotsTA" totalsRowFunction="sum"/>
    <tableColumn id="28" xr3:uid="{00000000-0010-0000-0000-00001C000000}" name="xShotsTA" totalsRowFunction="sum"/>
    <tableColumn id="45" xr3:uid="{00000000-0010-0000-0000-00002D000000}" name="%Fouls" dataCellStyle="Percent">
      <calculatedColumnFormula>Table1[[#This Row],[Fouls]]/Table1[[#This Row],[xFouls]]</calculatedColumnFormula>
    </tableColumn>
    <tableColumn id="29" xr3:uid="{00000000-0010-0000-0000-00001D000000}" name="Fouls" totalsRowFunction="sum"/>
    <tableColumn id="30" xr3:uid="{00000000-0010-0000-0000-00001E000000}" name="xFouls" totalsRowFunction="sum"/>
    <tableColumn id="46" xr3:uid="{00000000-0010-0000-0000-00002E000000}" name="%FoulsA" dataCellStyle="Percent">
      <calculatedColumnFormula>Table1[[#This Row],[FoulsA]]/Table1[[#This Row],[xFoulsA]]</calculatedColumnFormula>
    </tableColumn>
    <tableColumn id="31" xr3:uid="{00000000-0010-0000-0000-00001F000000}" name="FoulsA" totalsRowFunction="sum"/>
    <tableColumn id="32" xr3:uid="{00000000-0010-0000-0000-000020000000}" name="xFoulsA" totalsRowFunction="sum"/>
    <tableColumn id="47" xr3:uid="{00000000-0010-0000-0000-00002F000000}" name="%Ycard" dataCellStyle="Percent">
      <calculatedColumnFormula>Table1[[#This Row],[YCard]]/Table1[[#This Row],[xYCard]]</calculatedColumnFormula>
    </tableColumn>
    <tableColumn id="33" xr3:uid="{00000000-0010-0000-0000-000021000000}" name="YCard" totalsRowFunction="sum"/>
    <tableColumn id="34" xr3:uid="{00000000-0010-0000-0000-000022000000}" name="xYCard" totalsRowFunction="sum"/>
    <tableColumn id="48" xr3:uid="{00000000-0010-0000-0000-000030000000}" name="%YCardA" dataCellStyle="Percent">
      <calculatedColumnFormula>Table1[[#This Row],[YCardA]]/Table1[[#This Row],[xYCardA]]</calculatedColumnFormula>
    </tableColumn>
    <tableColumn id="35" xr3:uid="{00000000-0010-0000-0000-000023000000}" name="YCardA" totalsRowFunction="sum"/>
    <tableColumn id="36" xr3:uid="{00000000-0010-0000-0000-000024000000}" name="xYCardA" totalsRowFunction="sum"/>
    <tableColumn id="37" xr3:uid="{00000000-0010-0000-0000-000025000000}" name="RCard" totalsRowFunction="sum"/>
    <tableColumn id="38" xr3:uid="{00000000-0010-0000-0000-000026000000}" name="xRCard" totalsRowFunction="sum"/>
    <tableColumn id="39" xr3:uid="{00000000-0010-0000-0000-000027000000}" name="RCardA" totalsRowFunction="sum"/>
    <tableColumn id="40" xr3:uid="{00000000-0010-0000-0000-000028000000}" name="xRCardA" totalsRowFunction="su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8"/>
  <sheetViews>
    <sheetView workbookViewId="0">
      <pane xSplit="2" topLeftCell="P1" activePane="topRight" state="frozen"/>
      <selection pane="topRight" activeCell="AB2" sqref="AB2:AB11"/>
    </sheetView>
  </sheetViews>
  <sheetFormatPr defaultRowHeight="14.25" x14ac:dyDescent="0.45"/>
  <cols>
    <col min="11" max="11" width="10.73046875" bestFit="1" customWidth="1"/>
    <col min="12" max="12" width="12.33203125" bestFit="1" customWidth="1"/>
    <col min="13" max="13" width="12.33203125" customWidth="1"/>
    <col min="16" max="16" width="12.3984375" bestFit="1" customWidth="1"/>
    <col min="19" max="19" width="9.9296875" customWidth="1"/>
    <col min="20" max="20" width="10.796875" customWidth="1"/>
    <col min="21" max="21" width="10.19921875" customWidth="1"/>
    <col min="22" max="23" width="11.06640625" customWidth="1"/>
    <col min="24" max="24" width="12.1328125" bestFit="1" customWidth="1"/>
    <col min="27" max="27" width="10.06640625" bestFit="1" customWidth="1"/>
    <col min="28" max="28" width="12.46484375" bestFit="1" customWidth="1"/>
    <col min="30" max="30" width="11.73046875" bestFit="1" customWidth="1"/>
    <col min="31" max="31" width="11.73046875" customWidth="1"/>
    <col min="32" max="32" width="9.265625" bestFit="1" customWidth="1"/>
    <col min="33" max="33" width="11.73046875" bestFit="1" customWidth="1"/>
    <col min="34" max="34" width="11.73046875" customWidth="1"/>
    <col min="36" max="37" width="9.796875" customWidth="1"/>
    <col min="40" max="40" width="9.796875" bestFit="1" customWidth="1"/>
    <col min="48" max="48" width="9.1328125" customWidth="1"/>
    <col min="52" max="52" width="9.265625" customWidth="1"/>
  </cols>
  <sheetData>
    <row r="1" spans="1:52" x14ac:dyDescent="0.45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6" t="s">
        <v>72</v>
      </c>
      <c r="N1" t="s">
        <v>11</v>
      </c>
      <c r="O1" t="s">
        <v>12</v>
      </c>
      <c r="P1" s="6" t="s">
        <v>73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s="2" t="s">
        <v>51</v>
      </c>
      <c r="X1" s="6" t="s">
        <v>82</v>
      </c>
      <c r="Y1" t="s">
        <v>19</v>
      </c>
      <c r="Z1" t="s">
        <v>20</v>
      </c>
      <c r="AA1" s="2" t="s">
        <v>58</v>
      </c>
      <c r="AB1" s="6" t="s">
        <v>83</v>
      </c>
      <c r="AC1" t="s">
        <v>21</v>
      </c>
      <c r="AD1" t="s">
        <v>22</v>
      </c>
      <c r="AE1" s="2" t="s">
        <v>57</v>
      </c>
      <c r="AF1" t="s">
        <v>23</v>
      </c>
      <c r="AG1" t="s">
        <v>24</v>
      </c>
      <c r="AH1" s="2" t="s">
        <v>56</v>
      </c>
      <c r="AI1" t="s">
        <v>25</v>
      </c>
      <c r="AJ1" t="s">
        <v>26</v>
      </c>
      <c r="AK1" s="2" t="s">
        <v>55</v>
      </c>
      <c r="AL1" t="s">
        <v>27</v>
      </c>
      <c r="AM1" t="s">
        <v>28</v>
      </c>
      <c r="AN1" s="2" t="s">
        <v>54</v>
      </c>
      <c r="AO1" t="s">
        <v>29</v>
      </c>
      <c r="AP1" t="s">
        <v>30</v>
      </c>
      <c r="AQ1" s="2" t="s">
        <v>53</v>
      </c>
      <c r="AR1" t="s">
        <v>31</v>
      </c>
      <c r="AS1" t="s">
        <v>32</v>
      </c>
      <c r="AT1" s="2" t="s">
        <v>52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  <c r="AZ1" t="s">
        <v>38</v>
      </c>
    </row>
    <row r="2" spans="1:52" x14ac:dyDescent="0.45">
      <c r="A2">
        <v>1</v>
      </c>
      <c r="B2" t="s">
        <v>40</v>
      </c>
      <c r="C2">
        <v>35</v>
      </c>
      <c r="D2">
        <v>28.3790440188668</v>
      </c>
      <c r="E2">
        <v>11</v>
      </c>
      <c r="F2">
        <v>2</v>
      </c>
      <c r="G2">
        <v>0</v>
      </c>
      <c r="H2">
        <v>8.5458095542910506</v>
      </c>
      <c r="I2">
        <v>2.74161535599365</v>
      </c>
      <c r="J2">
        <v>1.7125750897152801</v>
      </c>
      <c r="K2">
        <v>23</v>
      </c>
      <c r="L2">
        <v>17.0298104955823</v>
      </c>
      <c r="M2">
        <f>Table1[[#This Row],[GoalsF]]-Table1[[#This Row],[xGoalsF]]</f>
        <v>-1.0869667841485011</v>
      </c>
      <c r="N2">
        <v>27</v>
      </c>
      <c r="O2">
        <v>28.086966784148501</v>
      </c>
      <c r="P2">
        <f>Table1[[#This Row],[GoalsA]]/Table1[[#This Row],[xGoalsA]]</f>
        <v>0.36175666650712479</v>
      </c>
      <c r="Q2">
        <v>4</v>
      </c>
      <c r="R2">
        <v>11.057156288566199</v>
      </c>
      <c r="S2">
        <v>10</v>
      </c>
      <c r="T2">
        <v>12.3463956663199</v>
      </c>
      <c r="U2">
        <v>2</v>
      </c>
      <c r="V2">
        <v>4.8478637973409704</v>
      </c>
      <c r="W2" s="3">
        <f>Table1[[#This Row],[ShotsF]]/Table1[[#This Row],[xShotsF]]</f>
        <v>0.84645424537560887</v>
      </c>
      <c r="X2" s="9">
        <f>Table1[[#This Row],[ShotsF]]-Table1[[#This Row],[xShotsF]]</f>
        <v>-30.293593732163004</v>
      </c>
      <c r="Y2">
        <v>167</v>
      </c>
      <c r="Z2">
        <v>197.293593732163</v>
      </c>
      <c r="AA2" s="3">
        <f>Table1[[#This Row],[ShotsA]]/Table1[[#This Row],[xShotsA]]</f>
        <v>0.81580946199084536</v>
      </c>
      <c r="AB2" s="9">
        <f>Table1[[#This Row],[xShotsA]]-Table1[[#This Row],[ShotsA]]</f>
        <v>21.674536117450998</v>
      </c>
      <c r="AC2">
        <v>96</v>
      </c>
      <c r="AD2">
        <v>117.674536117451</v>
      </c>
      <c r="AE2" s="3">
        <f>Table1[[#This Row],[ShotsTF]]/Table1[[#This Row],[xShotsTF]]</f>
        <v>0.85740274279991979</v>
      </c>
      <c r="AF2">
        <v>74</v>
      </c>
      <c r="AG2">
        <v>86.307165006665201</v>
      </c>
      <c r="AH2" s="3">
        <f>Table1[[#This Row],[ShotsTA]]/Table1[[#This Row],[xShotsTA]]</f>
        <v>0.65331341418334887</v>
      </c>
      <c r="AI2">
        <v>30</v>
      </c>
      <c r="AJ2">
        <v>45.919767371530902</v>
      </c>
      <c r="AK2" s="3">
        <f>Table1[[#This Row],[Fouls]]/Table1[[#This Row],[xFouls]]</f>
        <v>1.1358863762619282</v>
      </c>
      <c r="AL2">
        <v>178</v>
      </c>
      <c r="AM2">
        <v>156.70581470109499</v>
      </c>
      <c r="AN2" s="3">
        <f>Table1[[#This Row],[FoulsA]]/Table1[[#This Row],[xFoulsA]]</f>
        <v>1.231466182436795</v>
      </c>
      <c r="AO2">
        <v>215</v>
      </c>
      <c r="AP2">
        <v>174.58863512968199</v>
      </c>
      <c r="AQ2" s="3">
        <f>Table1[[#This Row],[YCard]]/Table1[[#This Row],[xYCard]]</f>
        <v>1.3150912402794359</v>
      </c>
      <c r="AR2">
        <v>26</v>
      </c>
      <c r="AS2">
        <v>19.7704913572958</v>
      </c>
      <c r="AT2" s="3">
        <f>Table1[[#This Row],[YCardA]]/Table1[[#This Row],[xYCardA]]</f>
        <v>1.74081984504211</v>
      </c>
      <c r="AU2">
        <v>44</v>
      </c>
      <c r="AV2">
        <v>25.275447155150999</v>
      </c>
      <c r="AW2">
        <v>0</v>
      </c>
      <c r="AX2">
        <v>1.0327088752122899</v>
      </c>
      <c r="AY2">
        <v>3</v>
      </c>
      <c r="AZ2">
        <v>1.5667732988548699</v>
      </c>
    </row>
    <row r="3" spans="1:52" x14ac:dyDescent="0.45">
      <c r="A3">
        <v>3</v>
      </c>
      <c r="B3" t="s">
        <v>42</v>
      </c>
      <c r="C3">
        <v>29</v>
      </c>
      <c r="D3">
        <v>27.832810658904201</v>
      </c>
      <c r="E3">
        <v>8</v>
      </c>
      <c r="F3">
        <v>5</v>
      </c>
      <c r="G3">
        <v>0</v>
      </c>
      <c r="H3">
        <v>8.3308659749617693</v>
      </c>
      <c r="I3">
        <v>2.84021273401894</v>
      </c>
      <c r="J3">
        <v>1.82892129101927</v>
      </c>
      <c r="K3">
        <v>14</v>
      </c>
      <c r="L3">
        <v>16.256297652520399</v>
      </c>
      <c r="M3">
        <f>Table1[[#This Row],[GoalsF]]-Table1[[#This Row],[xGoalsF]]</f>
        <v>-7.3612442853080005</v>
      </c>
      <c r="N3">
        <v>20</v>
      </c>
      <c r="O3">
        <v>27.361244285308</v>
      </c>
      <c r="P3">
        <f>Table1[[#This Row],[GoalsA]]/Table1[[#This Row],[xGoalsA]]</f>
        <v>0.54029975995425927</v>
      </c>
      <c r="Q3">
        <v>6</v>
      </c>
      <c r="R3">
        <v>11.1049466327876</v>
      </c>
      <c r="S3">
        <v>14</v>
      </c>
      <c r="T3">
        <v>11.9267786611909</v>
      </c>
      <c r="U3">
        <v>3</v>
      </c>
      <c r="V3">
        <v>4.8754820360062201</v>
      </c>
      <c r="W3" s="3">
        <f>Table1[[#This Row],[ShotsF]]/Table1[[#This Row],[xShotsF]]</f>
        <v>0.94770337411072492</v>
      </c>
      <c r="X3" s="9">
        <f>Table1[[#This Row],[ShotsF]]-Table1[[#This Row],[xShotsF]]</f>
        <v>-10.153576980409014</v>
      </c>
      <c r="Y3">
        <v>184</v>
      </c>
      <c r="Z3">
        <v>194.15357698040901</v>
      </c>
      <c r="AA3" s="3">
        <f>Table1[[#This Row],[ShotsA]]/Table1[[#This Row],[xShotsA]]</f>
        <v>0.91617822861538878</v>
      </c>
      <c r="AB3" s="9">
        <f>Table1[[#This Row],[xShotsA]]-Table1[[#This Row],[ShotsA]]</f>
        <v>9.7895030224720045</v>
      </c>
      <c r="AC3">
        <v>107</v>
      </c>
      <c r="AD3">
        <v>116.789503022472</v>
      </c>
      <c r="AE3" s="3">
        <f>Table1[[#This Row],[ShotsTF]]/Table1[[#This Row],[xShotsTF]]</f>
        <v>0.83454051785803496</v>
      </c>
      <c r="AF3">
        <v>71</v>
      </c>
      <c r="AG3">
        <v>85.076755988111202</v>
      </c>
      <c r="AH3" s="3">
        <f>Table1[[#This Row],[ShotsTA]]/Table1[[#This Row],[xShotsTA]]</f>
        <v>0.78395595444846555</v>
      </c>
      <c r="AI3">
        <v>36</v>
      </c>
      <c r="AJ3">
        <v>45.920947211029201</v>
      </c>
      <c r="AK3" s="3">
        <f>Table1[[#This Row],[Fouls]]/Table1[[#This Row],[xFouls]]</f>
        <v>1.0713417029343946</v>
      </c>
      <c r="AL3">
        <v>168</v>
      </c>
      <c r="AM3">
        <v>156.81271394537299</v>
      </c>
      <c r="AN3" s="3">
        <f>Table1[[#This Row],[FoulsA]]/Table1[[#This Row],[xFoulsA]]</f>
        <v>1.2579969614389508</v>
      </c>
      <c r="AO3">
        <v>217</v>
      </c>
      <c r="AP3">
        <v>172.49644208344199</v>
      </c>
      <c r="AQ3" s="3">
        <f>Table1[[#This Row],[YCard]]/Table1[[#This Row],[xYCard]]</f>
        <v>1.1171822701721152</v>
      </c>
      <c r="AR3">
        <v>22</v>
      </c>
      <c r="AS3">
        <v>19.692399877247102</v>
      </c>
      <c r="AT3" s="3">
        <f>Table1[[#This Row],[YCardA]]/Table1[[#This Row],[xYCardA]]</f>
        <v>1.2412096523548011</v>
      </c>
      <c r="AU3">
        <v>32</v>
      </c>
      <c r="AV3">
        <v>25.781301280803099</v>
      </c>
      <c r="AW3">
        <v>0</v>
      </c>
      <c r="AX3">
        <v>1.01957424969162</v>
      </c>
      <c r="AY3">
        <v>1</v>
      </c>
      <c r="AZ3">
        <v>1.59067969032415</v>
      </c>
    </row>
    <row r="4" spans="1:52" x14ac:dyDescent="0.45">
      <c r="A4">
        <v>9</v>
      </c>
      <c r="B4" t="s">
        <v>47</v>
      </c>
      <c r="C4">
        <v>22</v>
      </c>
      <c r="D4">
        <v>20.490250677031401</v>
      </c>
      <c r="E4">
        <v>7</v>
      </c>
      <c r="F4">
        <v>1</v>
      </c>
      <c r="G4">
        <v>6</v>
      </c>
      <c r="H4">
        <v>5.74419840223488</v>
      </c>
      <c r="I4">
        <v>3.2576554703267702</v>
      </c>
      <c r="J4">
        <v>4.9981461274383401</v>
      </c>
      <c r="K4">
        <v>10</v>
      </c>
      <c r="L4">
        <v>1.5077943764930599</v>
      </c>
      <c r="M4">
        <f>Table1[[#This Row],[GoalsF]]-Table1[[#This Row],[xGoalsF]]</f>
        <v>1.5648601042931993</v>
      </c>
      <c r="N4">
        <v>22</v>
      </c>
      <c r="O4">
        <v>20.435139895706801</v>
      </c>
      <c r="P4">
        <f>Table1[[#This Row],[GoalsA]]/Table1[[#This Row],[xGoalsA]]</f>
        <v>0.63400332539068338</v>
      </c>
      <c r="Q4">
        <v>12</v>
      </c>
      <c r="R4">
        <v>18.927345519213802</v>
      </c>
      <c r="S4">
        <v>13</v>
      </c>
      <c r="T4">
        <v>9.0114296962570908</v>
      </c>
      <c r="U4">
        <v>4</v>
      </c>
      <c r="V4">
        <v>8.4114539009576603</v>
      </c>
      <c r="W4" s="3">
        <f>Table1[[#This Row],[ShotsF]]/Table1[[#This Row],[xShotsF]]</f>
        <v>0.94103974773725274</v>
      </c>
      <c r="X4" s="9">
        <f>Table1[[#This Row],[ShotsF]]-Table1[[#This Row],[xShotsF]]</f>
        <v>-10.024699152956003</v>
      </c>
      <c r="Y4">
        <v>160</v>
      </c>
      <c r="Z4">
        <v>170.024699152956</v>
      </c>
      <c r="AA4" s="3">
        <f>Table1[[#This Row],[ShotsA]]/Table1[[#This Row],[xShotsA]]</f>
        <v>0.88884392010173308</v>
      </c>
      <c r="AB4" s="9">
        <f>Table1[[#This Row],[xShotsA]]-Table1[[#This Row],[ShotsA]]</f>
        <v>17.883139059591997</v>
      </c>
      <c r="AC4">
        <v>143</v>
      </c>
      <c r="AD4">
        <v>160.883139059592</v>
      </c>
      <c r="AE4" s="3">
        <f>Table1[[#This Row],[ShotsTF]]/Table1[[#This Row],[xShotsTF]]</f>
        <v>0.81103692772535885</v>
      </c>
      <c r="AF4">
        <v>59</v>
      </c>
      <c r="AG4">
        <v>72.746379336230603</v>
      </c>
      <c r="AH4" s="3">
        <f>Table1[[#This Row],[ShotsTA]]/Table1[[#This Row],[xShotsTA]]</f>
        <v>0.55655362873019909</v>
      </c>
      <c r="AI4">
        <v>38</v>
      </c>
      <c r="AJ4">
        <v>68.277337597633903</v>
      </c>
      <c r="AK4" s="3">
        <f>Table1[[#This Row],[Fouls]]/Table1[[#This Row],[xFouls]]</f>
        <v>1.0411231189698749</v>
      </c>
      <c r="AL4">
        <v>185</v>
      </c>
      <c r="AM4">
        <v>177.692721090514</v>
      </c>
      <c r="AN4" s="3">
        <f>Table1[[#This Row],[FoulsA]]/Table1[[#This Row],[xFoulsA]]</f>
        <v>0.9851812598729135</v>
      </c>
      <c r="AO4">
        <v>177</v>
      </c>
      <c r="AP4">
        <v>179.66236997121999</v>
      </c>
      <c r="AQ4" s="3">
        <f>Table1[[#This Row],[YCard]]/Table1[[#This Row],[xYCard]]</f>
        <v>1.201257144263687</v>
      </c>
      <c r="AR4">
        <v>28</v>
      </c>
      <c r="AS4">
        <v>23.308914443262399</v>
      </c>
      <c r="AT4" s="3">
        <f>Table1[[#This Row],[YCardA]]/Table1[[#This Row],[xYCardA]]</f>
        <v>1.1901936987246309</v>
      </c>
      <c r="AU4">
        <v>29</v>
      </c>
      <c r="AV4">
        <v>24.365781831205599</v>
      </c>
      <c r="AW4">
        <v>2</v>
      </c>
      <c r="AX4">
        <v>1.3736594271865601</v>
      </c>
      <c r="AY4">
        <v>1</v>
      </c>
      <c r="AZ4">
        <v>1.38716886977853</v>
      </c>
    </row>
    <row r="5" spans="1:52" x14ac:dyDescent="0.45">
      <c r="A5">
        <v>6</v>
      </c>
      <c r="B5" t="s">
        <v>45</v>
      </c>
      <c r="C5">
        <v>19</v>
      </c>
      <c r="D5">
        <v>21.7041200200348</v>
      </c>
      <c r="E5">
        <v>4</v>
      </c>
      <c r="F5">
        <v>7</v>
      </c>
      <c r="G5">
        <v>3</v>
      </c>
      <c r="H5">
        <v>5.9614200550371601</v>
      </c>
      <c r="I5">
        <v>3.81985985492331</v>
      </c>
      <c r="J5">
        <v>4.2187200900395201</v>
      </c>
      <c r="K5">
        <v>-1</v>
      </c>
      <c r="L5">
        <v>3.7267628450746701</v>
      </c>
      <c r="M5">
        <f>Table1[[#This Row],[GoalsF]]-Table1[[#This Row],[xGoalsF]]</f>
        <v>-4.4887869789003005</v>
      </c>
      <c r="N5">
        <v>16</v>
      </c>
      <c r="O5">
        <v>20.488786978900301</v>
      </c>
      <c r="P5">
        <f>Table1[[#This Row],[GoalsA]]/Table1[[#This Row],[xGoalsA]]</f>
        <v>1.0141973227263268</v>
      </c>
      <c r="Q5">
        <v>17</v>
      </c>
      <c r="R5">
        <v>16.762024133825602</v>
      </c>
      <c r="S5">
        <v>8</v>
      </c>
      <c r="T5">
        <v>8.9520727674596792</v>
      </c>
      <c r="U5">
        <v>10</v>
      </c>
      <c r="V5">
        <v>7.3584523089692899</v>
      </c>
      <c r="W5" s="3">
        <f>Table1[[#This Row],[ShotsF]]/Table1[[#This Row],[xShotsF]]</f>
        <v>0.89149185645306461</v>
      </c>
      <c r="X5" s="9">
        <f>Table1[[#This Row],[ShotsF]]-Table1[[#This Row],[xShotsF]]</f>
        <v>-18.500716186858995</v>
      </c>
      <c r="Y5">
        <v>152</v>
      </c>
      <c r="Z5">
        <v>170.50071618685899</v>
      </c>
      <c r="AA5" s="3">
        <f>Table1[[#This Row],[ShotsA]]/Table1[[#This Row],[xShotsA]]</f>
        <v>1.0344135864748782</v>
      </c>
      <c r="AB5" s="9">
        <f>Table1[[#This Row],[xShotsA]]-Table1[[#This Row],[ShotsA]]</f>
        <v>-5.2564532544089957</v>
      </c>
      <c r="AC5">
        <v>158</v>
      </c>
      <c r="AD5">
        <v>152.743546745591</v>
      </c>
      <c r="AE5" s="3">
        <f>Table1[[#This Row],[ShotsTF]]/Table1[[#This Row],[xShotsTF]]</f>
        <v>0.71877151166995989</v>
      </c>
      <c r="AF5">
        <v>52</v>
      </c>
      <c r="AG5">
        <v>72.345660833420695</v>
      </c>
      <c r="AH5" s="3">
        <f>Table1[[#This Row],[ShotsTA]]/Table1[[#This Row],[xShotsTA]]</f>
        <v>0.88441044924630108</v>
      </c>
      <c r="AI5">
        <v>56</v>
      </c>
      <c r="AJ5">
        <v>63.319016693802602</v>
      </c>
      <c r="AK5" s="3">
        <f>Table1[[#This Row],[Fouls]]/Table1[[#This Row],[xFouls]]</f>
        <v>1.2317148008005196</v>
      </c>
      <c r="AL5">
        <v>223</v>
      </c>
      <c r="AM5">
        <v>181.048404918953</v>
      </c>
      <c r="AN5" s="3">
        <f>Table1[[#This Row],[FoulsA]]/Table1[[#This Row],[xFoulsA]]</f>
        <v>1.1535532621069979</v>
      </c>
      <c r="AO5">
        <v>212</v>
      </c>
      <c r="AP5">
        <v>183.779983953906</v>
      </c>
      <c r="AQ5" s="3">
        <f>Table1[[#This Row],[YCard]]/Table1[[#This Row],[xYCard]]</f>
        <v>1.4826404361240495</v>
      </c>
      <c r="AR5">
        <v>35</v>
      </c>
      <c r="AS5">
        <v>23.606532742016501</v>
      </c>
      <c r="AT5" s="3">
        <f>Table1[[#This Row],[YCardA]]/Table1[[#This Row],[xYCardA]]</f>
        <v>1.4649007150279254</v>
      </c>
      <c r="AU5">
        <v>37</v>
      </c>
      <c r="AV5">
        <v>25.257684442658402</v>
      </c>
      <c r="AW5">
        <v>2</v>
      </c>
      <c r="AX5">
        <v>1.36424249064152</v>
      </c>
      <c r="AY5">
        <v>4</v>
      </c>
      <c r="AZ5">
        <v>1.5423125970577301</v>
      </c>
    </row>
    <row r="6" spans="1:52" x14ac:dyDescent="0.45">
      <c r="A6">
        <v>8</v>
      </c>
      <c r="B6" t="s">
        <v>49</v>
      </c>
      <c r="C6">
        <v>17</v>
      </c>
      <c r="D6">
        <v>15.042293792379899</v>
      </c>
      <c r="E6">
        <v>5</v>
      </c>
      <c r="F6">
        <v>2</v>
      </c>
      <c r="G6">
        <v>7</v>
      </c>
      <c r="H6">
        <v>3.8720486815028399</v>
      </c>
      <c r="I6">
        <v>3.4261477478714202</v>
      </c>
      <c r="J6">
        <v>6.70180357062572</v>
      </c>
      <c r="K6">
        <v>-5</v>
      </c>
      <c r="L6">
        <v>-6.3406349122352301</v>
      </c>
      <c r="M6">
        <f>Table1[[#This Row],[GoalsF]]-Table1[[#This Row],[xGoalsF]]</f>
        <v>-1.0335834181575017</v>
      </c>
      <c r="N6">
        <v>15</v>
      </c>
      <c r="O6">
        <v>16.033583418157502</v>
      </c>
      <c r="P6">
        <f>Table1[[#This Row],[GoalsA]]/Table1[[#This Row],[xGoalsA]]</f>
        <v>0.89388597646928258</v>
      </c>
      <c r="Q6">
        <v>20</v>
      </c>
      <c r="R6">
        <v>22.374218330392701</v>
      </c>
      <c r="S6">
        <v>8</v>
      </c>
      <c r="T6">
        <v>7.1076114018341903</v>
      </c>
      <c r="U6">
        <v>10</v>
      </c>
      <c r="V6">
        <v>9.8938448639077397</v>
      </c>
      <c r="W6" s="3">
        <f>Table1[[#This Row],[ShotsF]]/Table1[[#This Row],[xShotsF]]</f>
        <v>0.9911358751466004</v>
      </c>
      <c r="X6" s="9">
        <f>Table1[[#This Row],[ShotsF]]-Table1[[#This Row],[xShotsF]]</f>
        <v>-1.3057364394209969</v>
      </c>
      <c r="Y6">
        <v>146</v>
      </c>
      <c r="Z6">
        <v>147.305736439421</v>
      </c>
      <c r="AA6" s="3">
        <f>Table1[[#This Row],[ShotsA]]/Table1[[#This Row],[xShotsA]]</f>
        <v>0.90510910310940784</v>
      </c>
      <c r="AB6" s="9">
        <f>Table1[[#This Row],[xShotsA]]-Table1[[#This Row],[ShotsA]]</f>
        <v>17.088786467874996</v>
      </c>
      <c r="AC6">
        <v>163</v>
      </c>
      <c r="AD6">
        <v>180.088786467875</v>
      </c>
      <c r="AE6" s="3">
        <f>Table1[[#This Row],[ShotsTF]]/Table1[[#This Row],[xShotsTF]]</f>
        <v>0.92152202533842742</v>
      </c>
      <c r="AF6">
        <v>56</v>
      </c>
      <c r="AG6">
        <v>60.7690304303189</v>
      </c>
      <c r="AH6" s="3">
        <f>Table1[[#This Row],[ShotsTA]]/Table1[[#This Row],[xShotsTA]]</f>
        <v>0.74956957036732186</v>
      </c>
      <c r="AI6">
        <v>58</v>
      </c>
      <c r="AJ6">
        <v>77.377740896788893</v>
      </c>
      <c r="AK6" s="3">
        <f>Table1[[#This Row],[Fouls]]/Table1[[#This Row],[xFouls]]</f>
        <v>1.2059034087224929</v>
      </c>
      <c r="AL6">
        <v>221</v>
      </c>
      <c r="AM6">
        <v>183.26509271096799</v>
      </c>
      <c r="AN6" s="3">
        <f>Table1[[#This Row],[FoulsA]]/Table1[[#This Row],[xFoulsA]]</f>
        <v>1.1581801730094812</v>
      </c>
      <c r="AO6">
        <v>205</v>
      </c>
      <c r="AP6">
        <v>177.001821285989</v>
      </c>
      <c r="AQ6" s="3">
        <f>Table1[[#This Row],[YCard]]/Table1[[#This Row],[xYCard]]</f>
        <v>1.255876001075753</v>
      </c>
      <c r="AR6">
        <v>32</v>
      </c>
      <c r="AS6">
        <v>25.480222547918402</v>
      </c>
      <c r="AT6" s="3">
        <f>Table1[[#This Row],[YCardA]]/Table1[[#This Row],[xYCardA]]</f>
        <v>1.29504401766664</v>
      </c>
      <c r="AU6">
        <v>30</v>
      </c>
      <c r="AV6">
        <v>23.165235768628801</v>
      </c>
      <c r="AW6">
        <v>3</v>
      </c>
      <c r="AX6">
        <v>1.5322993853918701</v>
      </c>
      <c r="AY6">
        <v>3</v>
      </c>
      <c r="AZ6">
        <v>1.2779474171723599</v>
      </c>
    </row>
    <row r="7" spans="1:52" x14ac:dyDescent="0.45">
      <c r="A7">
        <v>0</v>
      </c>
      <c r="B7" t="s">
        <v>39</v>
      </c>
      <c r="C7">
        <v>16</v>
      </c>
      <c r="D7">
        <v>20.039321475849398</v>
      </c>
      <c r="E7">
        <v>4</v>
      </c>
      <c r="F7">
        <v>4</v>
      </c>
      <c r="G7">
        <v>6</v>
      </c>
      <c r="H7">
        <v>5.4505188297846399</v>
      </c>
      <c r="I7">
        <v>3.6877649864955</v>
      </c>
      <c r="J7">
        <v>4.8617161837198397</v>
      </c>
      <c r="K7">
        <v>-1</v>
      </c>
      <c r="L7">
        <v>1.8679800108070399</v>
      </c>
      <c r="M7">
        <f>Table1[[#This Row],[GoalsF]]-Table1[[#This Row],[xGoalsF]]</f>
        <v>-4.6668002330407994</v>
      </c>
      <c r="N7">
        <v>15</v>
      </c>
      <c r="O7">
        <v>19.666800233040799</v>
      </c>
      <c r="P7">
        <f>Table1[[#This Row],[GoalsA]]/Table1[[#This Row],[xGoalsA]]</f>
        <v>0.89893598565669186</v>
      </c>
      <c r="Q7">
        <v>16</v>
      </c>
      <c r="R7">
        <v>17.7988202222338</v>
      </c>
      <c r="S7">
        <v>8</v>
      </c>
      <c r="T7">
        <v>8.6467498671305503</v>
      </c>
      <c r="U7">
        <v>8</v>
      </c>
      <c r="V7">
        <v>7.8383408122784299</v>
      </c>
      <c r="W7" s="3">
        <f>Table1[[#This Row],[ShotsF]]/Table1[[#This Row],[xShotsF]]</f>
        <v>0.976434871529542</v>
      </c>
      <c r="X7" s="9">
        <f>Table1[[#This Row],[ShotsF]]-Table1[[#This Row],[xShotsF]]</f>
        <v>-3.8855491486089875</v>
      </c>
      <c r="Y7">
        <v>161</v>
      </c>
      <c r="Z7">
        <v>164.88554914860899</v>
      </c>
      <c r="AA7" s="3">
        <f>Table1[[#This Row],[ShotsA]]/Table1[[#This Row],[xShotsA]]</f>
        <v>0.92486346677463405</v>
      </c>
      <c r="AB7" s="9">
        <f>Table1[[#This Row],[xShotsA]]-Table1[[#This Row],[ShotsA]]</f>
        <v>11.77989801637699</v>
      </c>
      <c r="AC7">
        <v>145</v>
      </c>
      <c r="AD7">
        <v>156.77989801637699</v>
      </c>
      <c r="AE7" s="3">
        <f>Table1[[#This Row],[ShotsTF]]/Table1[[#This Row],[xShotsTF]]</f>
        <v>0.67643739396999281</v>
      </c>
      <c r="AF7">
        <v>48</v>
      </c>
      <c r="AG7">
        <v>70.960003731149897</v>
      </c>
      <c r="AH7" s="3">
        <f>Table1[[#This Row],[ShotsTA]]/Table1[[#This Row],[xShotsTA]]</f>
        <v>0.79402123286566928</v>
      </c>
      <c r="AI7">
        <v>53</v>
      </c>
      <c r="AJ7">
        <v>66.748844749050207</v>
      </c>
      <c r="AK7" s="3">
        <f>Table1[[#This Row],[Fouls]]/Table1[[#This Row],[xFouls]]</f>
        <v>1.1452085457836136</v>
      </c>
      <c r="AL7">
        <v>207</v>
      </c>
      <c r="AM7">
        <v>180.75310454338199</v>
      </c>
      <c r="AN7" s="3">
        <f>Table1[[#This Row],[FoulsA]]/Table1[[#This Row],[xFoulsA]]</f>
        <v>1.1598735644381117</v>
      </c>
      <c r="AO7">
        <v>211</v>
      </c>
      <c r="AP7">
        <v>181.91637991354401</v>
      </c>
      <c r="AQ7" s="3">
        <f>Table1[[#This Row],[YCard]]/Table1[[#This Row],[xYCard]]</f>
        <v>1.5939733642825289</v>
      </c>
      <c r="AR7">
        <v>38</v>
      </c>
      <c r="AS7">
        <v>23.8397961041867</v>
      </c>
      <c r="AT7" s="3">
        <f>Table1[[#This Row],[YCardA]]/Table1[[#This Row],[xYCardA]]</f>
        <v>1.2379106430770419</v>
      </c>
      <c r="AU7">
        <v>30</v>
      </c>
      <c r="AV7">
        <v>24.2343824796835</v>
      </c>
      <c r="AW7">
        <v>2</v>
      </c>
      <c r="AX7">
        <v>1.37660263229886</v>
      </c>
      <c r="AY7">
        <v>2</v>
      </c>
      <c r="AZ7">
        <v>1.47375297498867</v>
      </c>
    </row>
    <row r="8" spans="1:52" x14ac:dyDescent="0.45">
      <c r="A8">
        <v>2</v>
      </c>
      <c r="B8" t="s">
        <v>41</v>
      </c>
      <c r="C8">
        <v>16</v>
      </c>
      <c r="D8">
        <v>20.515651415052002</v>
      </c>
      <c r="E8">
        <v>4</v>
      </c>
      <c r="F8">
        <v>4</v>
      </c>
      <c r="G8">
        <v>6</v>
      </c>
      <c r="H8">
        <v>5.5961988115883496</v>
      </c>
      <c r="I8">
        <v>3.7270549802869701</v>
      </c>
      <c r="J8">
        <v>4.67674620812467</v>
      </c>
      <c r="K8">
        <v>-7</v>
      </c>
      <c r="L8">
        <v>2.18387088355396</v>
      </c>
      <c r="M8">
        <f>Table1[[#This Row],[GoalsF]]-Table1[[#This Row],[xGoalsF]]</f>
        <v>-5.9787586856439994</v>
      </c>
      <c r="N8">
        <v>14</v>
      </c>
      <c r="O8">
        <v>19.978758685643999</v>
      </c>
      <c r="P8">
        <f>Table1[[#This Row],[GoalsA]]/Table1[[#This Row],[xGoalsA]]</f>
        <v>1.1801142122139958</v>
      </c>
      <c r="Q8">
        <v>21</v>
      </c>
      <c r="R8">
        <v>17.794887802090098</v>
      </c>
      <c r="S8">
        <v>5</v>
      </c>
      <c r="T8">
        <v>8.8020398574060792</v>
      </c>
      <c r="U8">
        <v>12</v>
      </c>
      <c r="V8">
        <v>7.7936826877201097</v>
      </c>
      <c r="W8" s="3">
        <f>Table1[[#This Row],[ShotsF]]/Table1[[#This Row],[xShotsF]]</f>
        <v>0.82803366857734251</v>
      </c>
      <c r="X8" s="9">
        <f>Table1[[#This Row],[ShotsF]]-Table1[[#This Row],[xShotsF]]</f>
        <v>-28.659889853392002</v>
      </c>
      <c r="Y8">
        <v>138</v>
      </c>
      <c r="Z8">
        <v>166.659889853392</v>
      </c>
      <c r="AA8" s="3">
        <f>Table1[[#This Row],[ShotsA]]/Table1[[#This Row],[xShotsA]]</f>
        <v>0.99646884006116487</v>
      </c>
      <c r="AB8" s="9">
        <f>Table1[[#This Row],[xShotsA]]-Table1[[#This Row],[ShotsA]]</f>
        <v>0.55281302165400348</v>
      </c>
      <c r="AC8">
        <v>156</v>
      </c>
      <c r="AD8">
        <v>156.552813021654</v>
      </c>
      <c r="AE8" s="3">
        <f>Table1[[#This Row],[ShotsTF]]/Table1[[#This Row],[xShotsTF]]</f>
        <v>0.64491339442274243</v>
      </c>
      <c r="AF8">
        <v>46</v>
      </c>
      <c r="AG8">
        <v>71.327406746101602</v>
      </c>
      <c r="AH8" s="3">
        <f>Table1[[#This Row],[ShotsTA]]/Table1[[#This Row],[xShotsTA]]</f>
        <v>1.0039529853310991</v>
      </c>
      <c r="AI8">
        <v>66</v>
      </c>
      <c r="AJ8">
        <v>65.740130229538096</v>
      </c>
      <c r="AK8" s="3">
        <f>Table1[[#This Row],[Fouls]]/Table1[[#This Row],[xFouls]]</f>
        <v>0.95580057645813254</v>
      </c>
      <c r="AL8">
        <v>173</v>
      </c>
      <c r="AM8">
        <v>181.00010008476701</v>
      </c>
      <c r="AN8" s="3">
        <f>Table1[[#This Row],[FoulsA]]/Table1[[#This Row],[xFoulsA]]</f>
        <v>0.99336673384126517</v>
      </c>
      <c r="AO8">
        <v>181</v>
      </c>
      <c r="AP8">
        <v>182.208638394894</v>
      </c>
      <c r="AQ8" s="3">
        <f>Table1[[#This Row],[YCard]]/Table1[[#This Row],[xYCard]]</f>
        <v>0.87370670879041723</v>
      </c>
      <c r="AR8">
        <v>21</v>
      </c>
      <c r="AS8">
        <v>24.0355256388874</v>
      </c>
      <c r="AT8" s="3">
        <f>Table1[[#This Row],[YCardA]]/Table1[[#This Row],[xYCardA]]</f>
        <v>0.93224772395728228</v>
      </c>
      <c r="AU8">
        <v>23</v>
      </c>
      <c r="AV8">
        <v>24.671553932433</v>
      </c>
      <c r="AW8">
        <v>1</v>
      </c>
      <c r="AX8">
        <v>1.43431193415431</v>
      </c>
      <c r="AY8">
        <v>2</v>
      </c>
      <c r="AZ8">
        <v>1.50217779442849</v>
      </c>
    </row>
    <row r="9" spans="1:52" x14ac:dyDescent="0.45">
      <c r="A9">
        <v>4</v>
      </c>
      <c r="B9" t="s">
        <v>43</v>
      </c>
      <c r="C9">
        <v>15</v>
      </c>
      <c r="D9">
        <v>10.2866953621834</v>
      </c>
      <c r="E9">
        <v>4</v>
      </c>
      <c r="F9">
        <v>3</v>
      </c>
      <c r="G9">
        <v>7</v>
      </c>
      <c r="H9">
        <v>2.5134865098733798</v>
      </c>
      <c r="I9">
        <v>2.7462358325633298</v>
      </c>
      <c r="J9">
        <v>8.7402776575632792</v>
      </c>
      <c r="K9">
        <v>-8</v>
      </c>
      <c r="L9">
        <v>-17.226791039922801</v>
      </c>
      <c r="M9">
        <f>Table1[[#This Row],[GoalsF]]-Table1[[#This Row],[xGoalsF]]</f>
        <v>6.2370898143032996</v>
      </c>
      <c r="N9">
        <v>19</v>
      </c>
      <c r="O9">
        <v>12.7629101856967</v>
      </c>
      <c r="P9">
        <f>Table1[[#This Row],[GoalsA]]/Table1[[#This Row],[xGoalsA]]</f>
        <v>0.90030906933258947</v>
      </c>
      <c r="Q9">
        <v>27</v>
      </c>
      <c r="R9">
        <v>29.989701225619601</v>
      </c>
      <c r="S9">
        <v>8</v>
      </c>
      <c r="T9">
        <v>5.6221213621045498</v>
      </c>
      <c r="U9">
        <v>15</v>
      </c>
      <c r="V9">
        <v>13.1390791018352</v>
      </c>
      <c r="W9" s="3">
        <f>Table1[[#This Row],[ShotsF]]/Table1[[#This Row],[xShotsF]]</f>
        <v>1.2642384713526043</v>
      </c>
      <c r="X9" s="9">
        <f>Table1[[#This Row],[ShotsF]]-Table1[[#This Row],[xShotsF]]</f>
        <v>34.486648493248993</v>
      </c>
      <c r="Y9">
        <v>165</v>
      </c>
      <c r="Z9">
        <v>130.51335150675101</v>
      </c>
      <c r="AA9" s="3">
        <f>Table1[[#This Row],[ShotsA]]/Table1[[#This Row],[xShotsA]]</f>
        <v>1.1016767561554943</v>
      </c>
      <c r="AB9" s="9">
        <f>Table1[[#This Row],[xShotsA]]-Table1[[#This Row],[ShotsA]]</f>
        <v>-21.319620787755014</v>
      </c>
      <c r="AC9">
        <v>231</v>
      </c>
      <c r="AD9">
        <v>209.68037921224499</v>
      </c>
      <c r="AE9" s="3">
        <f>Table1[[#This Row],[ShotsTF]]/Table1[[#This Row],[xShotsTF]]</f>
        <v>0.94563050043274222</v>
      </c>
      <c r="AF9">
        <v>49</v>
      </c>
      <c r="AG9">
        <v>51.817279558534203</v>
      </c>
      <c r="AH9" s="3">
        <f>Table1[[#This Row],[ShotsTA]]/Table1[[#This Row],[xShotsTA]]</f>
        <v>0.92667255186182673</v>
      </c>
      <c r="AI9">
        <v>85</v>
      </c>
      <c r="AJ9">
        <v>91.726036159398504</v>
      </c>
      <c r="AK9" s="3">
        <f>Table1[[#This Row],[Fouls]]/Table1[[#This Row],[xFouls]]</f>
        <v>0.92386942165347286</v>
      </c>
      <c r="AL9">
        <v>169</v>
      </c>
      <c r="AM9">
        <v>182.92628377886601</v>
      </c>
      <c r="AN9" s="3">
        <f>Table1[[#This Row],[FoulsA]]/Table1[[#This Row],[xFoulsA]]</f>
        <v>0.92672560652896374</v>
      </c>
      <c r="AO9">
        <v>156</v>
      </c>
      <c r="AP9">
        <v>168.33461695775901</v>
      </c>
      <c r="AQ9" s="3">
        <f>Table1[[#This Row],[YCard]]/Table1[[#This Row],[xYCard]]</f>
        <v>1.3231726704661435</v>
      </c>
      <c r="AR9">
        <v>35</v>
      </c>
      <c r="AS9">
        <v>26.4515741453984</v>
      </c>
      <c r="AT9" s="3">
        <f>Table1[[#This Row],[YCardA]]/Table1[[#This Row],[xYCardA]]</f>
        <v>0.98593666747537778</v>
      </c>
      <c r="AU9">
        <v>21</v>
      </c>
      <c r="AV9">
        <v>21.2995425494959</v>
      </c>
      <c r="AW9">
        <v>4</v>
      </c>
      <c r="AX9">
        <v>1.6065626625014</v>
      </c>
      <c r="AY9">
        <v>0</v>
      </c>
      <c r="AZ9">
        <v>1.1342951342246901</v>
      </c>
    </row>
    <row r="10" spans="1:52" x14ac:dyDescent="0.45">
      <c r="A10">
        <v>5</v>
      </c>
      <c r="B10" t="s">
        <v>44</v>
      </c>
      <c r="C10">
        <v>13</v>
      </c>
      <c r="D10">
        <v>15.529095348929401</v>
      </c>
      <c r="E10">
        <v>2</v>
      </c>
      <c r="F10">
        <v>7</v>
      </c>
      <c r="G10">
        <v>5</v>
      </c>
      <c r="H10">
        <v>3.9584551188711599</v>
      </c>
      <c r="I10">
        <v>3.6537299923159199</v>
      </c>
      <c r="J10">
        <v>6.38781488881291</v>
      </c>
      <c r="K10">
        <v>-9</v>
      </c>
      <c r="L10">
        <v>-5.2718164755149299</v>
      </c>
      <c r="M10">
        <f>Table1[[#This Row],[GoalsF]]-Table1[[#This Row],[xGoalsF]]</f>
        <v>-7.343716750201601</v>
      </c>
      <c r="N10">
        <v>9</v>
      </c>
      <c r="O10">
        <v>16.343716750201601</v>
      </c>
      <c r="P10">
        <f>Table1[[#This Row],[GoalsA]]/Table1[[#This Row],[xGoalsA]]</f>
        <v>0.83273448829774799</v>
      </c>
      <c r="Q10">
        <v>18</v>
      </c>
      <c r="R10">
        <v>21.615533225716501</v>
      </c>
      <c r="S10">
        <v>4</v>
      </c>
      <c r="T10">
        <v>7.2742111122678299</v>
      </c>
      <c r="U10">
        <v>5</v>
      </c>
      <c r="V10">
        <v>9.5187666214358906</v>
      </c>
      <c r="W10" s="3">
        <f>Table1[[#This Row],[ShotsF]]/Table1[[#This Row],[xShotsF]]</f>
        <v>0.82459971033489465</v>
      </c>
      <c r="X10" s="9">
        <f>Table1[[#This Row],[ShotsF]]-Table1[[#This Row],[xShotsF]]</f>
        <v>-26.375992673632993</v>
      </c>
      <c r="Y10">
        <v>124</v>
      </c>
      <c r="Z10">
        <v>150.37599267363299</v>
      </c>
      <c r="AA10" s="3">
        <f>Table1[[#This Row],[ShotsA]]/Table1[[#This Row],[xShotsA]]</f>
        <v>1.0656042470051141</v>
      </c>
      <c r="AB10" s="9">
        <f>Table1[[#This Row],[xShotsA]]-Table1[[#This Row],[ShotsA]]</f>
        <v>-11.451146124132009</v>
      </c>
      <c r="AC10">
        <v>186</v>
      </c>
      <c r="AD10">
        <v>174.54885387586799</v>
      </c>
      <c r="AE10" s="3">
        <f>Table1[[#This Row],[ShotsTF]]/Table1[[#This Row],[xShotsTF]]</f>
        <v>0.65454018837149519</v>
      </c>
      <c r="AF10">
        <v>41</v>
      </c>
      <c r="AG10">
        <v>62.639392856851998</v>
      </c>
      <c r="AH10" s="3">
        <f>Table1[[#This Row],[ShotsTA]]/Table1[[#This Row],[xShotsTA]]</f>
        <v>0.71571953197775051</v>
      </c>
      <c r="AI10">
        <v>54</v>
      </c>
      <c r="AJ10">
        <v>75.448548750348607</v>
      </c>
      <c r="AK10" s="3">
        <f>Table1[[#This Row],[Fouls]]/Table1[[#This Row],[xFouls]]</f>
        <v>1.0682151613180402</v>
      </c>
      <c r="AL10">
        <v>198</v>
      </c>
      <c r="AM10">
        <v>185.35591627036399</v>
      </c>
      <c r="AN10" s="3">
        <f>Table1[[#This Row],[FoulsA]]/Table1[[#This Row],[xFoulsA]]</f>
        <v>0.93701101770591566</v>
      </c>
      <c r="AO10">
        <v>168</v>
      </c>
      <c r="AP10">
        <v>179.29351611181099</v>
      </c>
      <c r="AQ10" s="3">
        <f>Table1[[#This Row],[YCard]]/Table1[[#This Row],[xYCard]]</f>
        <v>1.2914489338665338</v>
      </c>
      <c r="AR10">
        <v>33</v>
      </c>
      <c r="AS10">
        <v>25.5526944462292</v>
      </c>
      <c r="AT10" s="3">
        <f>Table1[[#This Row],[YCardA]]/Table1[[#This Row],[xYCardA]]</f>
        <v>1.4335079880659169</v>
      </c>
      <c r="AU10">
        <v>33</v>
      </c>
      <c r="AV10">
        <v>23.0204507227919</v>
      </c>
      <c r="AW10">
        <v>2</v>
      </c>
      <c r="AX10">
        <v>1.5388399653043301</v>
      </c>
      <c r="AY10">
        <v>2</v>
      </c>
      <c r="AZ10">
        <v>1.3031599673344401</v>
      </c>
    </row>
    <row r="11" spans="1:52" x14ac:dyDescent="0.45">
      <c r="A11">
        <v>7</v>
      </c>
      <c r="B11" t="s">
        <v>46</v>
      </c>
      <c r="C11">
        <v>7</v>
      </c>
      <c r="D11">
        <v>10.5416074618959</v>
      </c>
      <c r="E11">
        <v>2</v>
      </c>
      <c r="F11">
        <v>1</v>
      </c>
      <c r="G11">
        <v>11</v>
      </c>
      <c r="H11">
        <v>2.3878882929823302</v>
      </c>
      <c r="I11">
        <v>3.37794258294895</v>
      </c>
      <c r="J11">
        <v>8.2341691240687105</v>
      </c>
      <c r="K11">
        <v>-16</v>
      </c>
      <c r="L11">
        <v>-13.7332738363584</v>
      </c>
      <c r="M11">
        <f>Table1[[#This Row],[GoalsF]]-Table1[[#This Row],[xGoalsF]]</f>
        <v>-3.7443176168377992</v>
      </c>
      <c r="N11">
        <v>9</v>
      </c>
      <c r="O11">
        <v>12.744317616837799</v>
      </c>
      <c r="P11">
        <f>Table1[[#This Row],[GoalsA]]/Table1[[#This Row],[xGoalsA]]</f>
        <v>0.94419464263552433</v>
      </c>
      <c r="Q11">
        <v>25</v>
      </c>
      <c r="R11">
        <v>26.477591453196201</v>
      </c>
      <c r="S11">
        <v>4</v>
      </c>
      <c r="T11">
        <v>5.6530721433563897</v>
      </c>
      <c r="U11">
        <v>13</v>
      </c>
      <c r="V11">
        <v>11.6655164048756</v>
      </c>
      <c r="W11" s="3">
        <f>Table1[[#This Row],[ShotsF]]/Table1[[#This Row],[xShotsF]]</f>
        <v>1.1665082053623592</v>
      </c>
      <c r="X11" s="9">
        <f>Table1[[#This Row],[ShotsF]]-Table1[[#This Row],[xShotsF]]</f>
        <v>21.839328093304999</v>
      </c>
      <c r="Y11">
        <v>153</v>
      </c>
      <c r="Z11">
        <v>131.160671906695</v>
      </c>
      <c r="AA11" s="3">
        <f>Table1[[#This Row],[ShotsA]]/Table1[[#This Row],[xShotsA]]</f>
        <v>0.83700125018080151</v>
      </c>
      <c r="AB11" s="9">
        <f>Table1[[#This Row],[xShotsA]]-Table1[[#This Row],[ShotsA]]</f>
        <v>32.13232204176299</v>
      </c>
      <c r="AC11">
        <v>165</v>
      </c>
      <c r="AD11">
        <v>197.13232204176299</v>
      </c>
      <c r="AE11" s="3">
        <f>Table1[[#This Row],[ShotsTF]]/Table1[[#This Row],[xShotsTF]]</f>
        <v>0.83347960652341979</v>
      </c>
      <c r="AF11">
        <v>44</v>
      </c>
      <c r="AG11">
        <v>52.7907337571596</v>
      </c>
      <c r="AH11" s="3">
        <f>Table1[[#This Row],[ShotsTA]]/Table1[[#This Row],[xShotsTA]]</f>
        <v>0.74158671105640395</v>
      </c>
      <c r="AI11">
        <v>64</v>
      </c>
      <c r="AJ11">
        <v>86.3014385854229</v>
      </c>
      <c r="AK11" s="3">
        <f>Table1[[#This Row],[Fouls]]/Table1[[#This Row],[xFouls]]</f>
        <v>1.072426438717309</v>
      </c>
      <c r="AL11">
        <v>200</v>
      </c>
      <c r="AM11">
        <v>186.49297777404001</v>
      </c>
      <c r="AN11" s="3">
        <f>Table1[[#This Row],[FoulsA]]/Table1[[#This Row],[xFoulsA]]</f>
        <v>1.0418431649309117</v>
      </c>
      <c r="AO11">
        <v>180</v>
      </c>
      <c r="AP11">
        <v>172.770726016076</v>
      </c>
      <c r="AQ11" s="3">
        <f>Table1[[#This Row],[YCard]]/Table1[[#This Row],[xYCard]]</f>
        <v>1.185438664792418</v>
      </c>
      <c r="AR11">
        <v>32</v>
      </c>
      <c r="AS11">
        <v>26.994226652463301</v>
      </c>
      <c r="AT11" s="3">
        <f>Table1[[#This Row],[YCardA]]/Table1[[#This Row],[xYCardA]]</f>
        <v>1.0618162755382021</v>
      </c>
      <c r="AU11">
        <v>23</v>
      </c>
      <c r="AV11">
        <v>21.660997792054001</v>
      </c>
      <c r="AW11">
        <v>2</v>
      </c>
      <c r="AX11">
        <v>1.62946594167186</v>
      </c>
      <c r="AY11">
        <v>0</v>
      </c>
      <c r="AZ11">
        <v>1.12999981989069</v>
      </c>
    </row>
    <row r="12" spans="1:52" x14ac:dyDescent="0.45">
      <c r="C12">
        <f>SUM(Table1[Points])</f>
        <v>189</v>
      </c>
      <c r="D12">
        <f>SUBTOTAL(109,Table1[xPoints])</f>
        <v>190.36089023112714</v>
      </c>
      <c r="E12">
        <f>SUBTOTAL(109,Table1[Wins])</f>
        <v>51</v>
      </c>
      <c r="F12">
        <f>SUBTOTAL(109,Table1[Draws])</f>
        <v>36</v>
      </c>
      <c r="G12">
        <f>SUBTOTAL(109,Table1[Losses])</f>
        <v>51</v>
      </c>
      <c r="H12">
        <f>SUBTOTAL(109,Table1[xWins])</f>
        <v>52.360890231127563</v>
      </c>
      <c r="I12">
        <f>SUBTOTAL(109,Table1[xDraws])</f>
        <v>33.278219537744754</v>
      </c>
      <c r="J12">
        <f>SUBTOTAL(109,Table1[xLosses])</f>
        <v>52.360890231127541</v>
      </c>
      <c r="K12">
        <f>SUBTOTAL(107,Table1[GoalDiff])</f>
        <v>12.027745701779143</v>
      </c>
      <c r="L12">
        <f>SUBTOTAL(107,Table1[xGoalDiff])</f>
        <v>11.215383013542631</v>
      </c>
      <c r="N12">
        <f>SUBTOTAL(109,Table1[GoalsF])</f>
        <v>166</v>
      </c>
      <c r="O12">
        <f>SUBTOTAL(109,Table1[xGoalsF])</f>
        <v>193.90222483364204</v>
      </c>
      <c r="Q12">
        <f>SUBTOTAL(109,Table1[GoalsA])</f>
        <v>166</v>
      </c>
      <c r="R12">
        <f>SUBTOTAL(109,Table1[xGoalsA])</f>
        <v>193.90222483364209</v>
      </c>
      <c r="S12">
        <f>SUBTOTAL(109,Table1[HTGoalsF])</f>
        <v>82</v>
      </c>
      <c r="T12">
        <f>SUBTOTAL(109,Table1[xHTGoalsF])</f>
        <v>85.342482535327179</v>
      </c>
      <c r="U12">
        <f>SUBTOTAL(109,Table1[HTGoalsA])</f>
        <v>82</v>
      </c>
      <c r="V12">
        <f>SUBTOTAL(109,Table1[xHTGoalsA])</f>
        <v>85.342482535327107</v>
      </c>
      <c r="W12" s="8">
        <f>SUBTOTAL(101,Table1[%ShotsF])</f>
        <v>0.96776400259799933</v>
      </c>
      <c r="Y12">
        <f>SUBTOTAL(109,Table1[ShotsF])</f>
        <v>1550</v>
      </c>
      <c r="Z12">
        <f>SUBTOTAL(109,Table1[xShotsF])</f>
        <v>1622.8737775808879</v>
      </c>
      <c r="AC12">
        <f>SUBTOTAL(109,Table1[ShotsA])</f>
        <v>1550</v>
      </c>
      <c r="AD12">
        <f>SUBTOTAL(109,Table1[xShotsA])</f>
        <v>1622.8737775808879</v>
      </c>
      <c r="AE12" s="8">
        <f>SUBTOTAL(101,Table1[%ShotsTF])</f>
        <v>0.78982748091120925</v>
      </c>
      <c r="AF12">
        <f>SUBTOTAL(109,Table1[ShotsTF])</f>
        <v>540</v>
      </c>
      <c r="AG12">
        <f>SUBTOTAL(109,Table1[xShotsTF])</f>
        <v>686.7798082445438</v>
      </c>
      <c r="AH12" s="8">
        <f>SUBTOTAL(101,Table1[%ShotsTA])</f>
        <v>0.78097560300683866</v>
      </c>
      <c r="AI12">
        <f>SUBTOTAL(109,Table1[ShotsTA])</f>
        <v>540</v>
      </c>
      <c r="AJ12">
        <f>SUBTOTAL(109,Table1[xShotsTA])</f>
        <v>686.77980824454391</v>
      </c>
      <c r="AL12">
        <f>SUBTOTAL(109,Table1[Fouls])</f>
        <v>1922</v>
      </c>
      <c r="AM12">
        <f>SUBTOTAL(109,Table1[xFouls])</f>
        <v>1772.0531298183218</v>
      </c>
      <c r="AO12">
        <f>SUBTOTAL(109,Table1[FoulsA])</f>
        <v>1922</v>
      </c>
      <c r="AP12">
        <f>SUBTOTAL(109,Table1[xFoulsA])</f>
        <v>1772.053129818323</v>
      </c>
      <c r="AR12">
        <f>SUBTOTAL(109,Table1[YCard])</f>
        <v>302</v>
      </c>
      <c r="AS12">
        <f>SUBTOTAL(109,Table1[xYCard])</f>
        <v>238.73237795490522</v>
      </c>
      <c r="AU12">
        <f>SUBTOTAL(109,Table1[YCardA])</f>
        <v>302</v>
      </c>
      <c r="AV12">
        <f>SUBTOTAL(109,Table1[xYCardA])</f>
        <v>238.73237795490519</v>
      </c>
      <c r="AW12">
        <f>SUBTOTAL(109,Table1[RCard])</f>
        <v>18</v>
      </c>
      <c r="AX12">
        <f>SUBTOTAL(109,Table1[xRCard])</f>
        <v>13.908267564054622</v>
      </c>
      <c r="AY12">
        <f>SUBTOTAL(109,Table1[RCardA])</f>
        <v>18</v>
      </c>
      <c r="AZ12">
        <f>SUBTOTAL(109,Table1[xRCardA])</f>
        <v>13.90826756405462</v>
      </c>
    </row>
    <row r="15" spans="1:52" x14ac:dyDescent="0.45">
      <c r="C15">
        <v>189</v>
      </c>
      <c r="D15">
        <v>190.3608902311272</v>
      </c>
      <c r="E15">
        <v>51</v>
      </c>
      <c r="F15">
        <v>36</v>
      </c>
      <c r="G15">
        <v>51</v>
      </c>
      <c r="H15">
        <v>52.360890231127556</v>
      </c>
      <c r="I15">
        <v>33.278219537744761</v>
      </c>
      <c r="J15">
        <v>52.360890231127541</v>
      </c>
      <c r="K15">
        <v>12.027745701779143</v>
      </c>
      <c r="L15">
        <v>11.215383013542631</v>
      </c>
      <c r="N15">
        <v>166</v>
      </c>
      <c r="O15">
        <v>193.90222483364201</v>
      </c>
      <c r="Q15">
        <v>166</v>
      </c>
      <c r="R15">
        <v>193.90222483364209</v>
      </c>
      <c r="S15">
        <v>82</v>
      </c>
      <c r="T15">
        <v>85.342482535327179</v>
      </c>
      <c r="U15">
        <v>82</v>
      </c>
      <c r="V15">
        <v>85.342482535327122</v>
      </c>
      <c r="Y15">
        <v>1550</v>
      </c>
      <c r="Z15">
        <v>1622.8737775808877</v>
      </c>
      <c r="AC15">
        <v>1550</v>
      </c>
      <c r="AD15">
        <v>1622.8737775808879</v>
      </c>
      <c r="AF15">
        <v>540</v>
      </c>
      <c r="AG15">
        <v>686.77980824454391</v>
      </c>
      <c r="AI15">
        <v>540</v>
      </c>
      <c r="AJ15">
        <v>686.7798082445438</v>
      </c>
      <c r="AL15">
        <v>1922</v>
      </c>
      <c r="AM15">
        <v>1772.0531298183221</v>
      </c>
      <c r="AO15">
        <v>1922</v>
      </c>
      <c r="AP15">
        <v>1772.0531298183228</v>
      </c>
      <c r="AR15">
        <v>302</v>
      </c>
      <c r="AS15">
        <v>238.73237795490522</v>
      </c>
      <c r="AU15">
        <v>302</v>
      </c>
      <c r="AV15">
        <v>238.73237795490519</v>
      </c>
      <c r="AW15">
        <v>18</v>
      </c>
      <c r="AX15">
        <v>13.908267564054619</v>
      </c>
      <c r="AY15">
        <v>18</v>
      </c>
      <c r="AZ15">
        <v>13.908267564054619</v>
      </c>
    </row>
    <row r="17" spans="3:44" x14ac:dyDescent="0.45">
      <c r="C17" t="s">
        <v>59</v>
      </c>
      <c r="E17" t="s">
        <v>60</v>
      </c>
      <c r="F17" t="s">
        <v>61</v>
      </c>
      <c r="N17" t="s">
        <v>62</v>
      </c>
      <c r="S17" t="s">
        <v>63</v>
      </c>
      <c r="Y17" t="s">
        <v>50</v>
      </c>
      <c r="AF17" t="s">
        <v>64</v>
      </c>
      <c r="AL17" t="s">
        <v>55</v>
      </c>
      <c r="AR17" t="s">
        <v>65</v>
      </c>
    </row>
    <row r="18" spans="3:44" x14ac:dyDescent="0.45">
      <c r="C18" s="3">
        <f>C15/D15</f>
        <v>0.99285099880823802</v>
      </c>
      <c r="D18" s="3"/>
      <c r="E18" s="3">
        <f>E15/H15</f>
        <v>0.97400941379872619</v>
      </c>
      <c r="F18" s="3">
        <f>F15/I15</f>
        <v>1.0817886443464364</v>
      </c>
      <c r="G18" s="3"/>
      <c r="H18" s="3"/>
      <c r="I18" s="3"/>
      <c r="J18" s="3"/>
      <c r="K18" s="3"/>
      <c r="L18" s="3"/>
      <c r="M18" s="3"/>
      <c r="N18" s="3">
        <f>N15/O15</f>
        <v>0.85610157460761127</v>
      </c>
      <c r="O18" s="3"/>
      <c r="P18" s="3"/>
      <c r="Q18" s="3"/>
      <c r="R18" s="3"/>
      <c r="S18" s="3">
        <f>S15/T15</f>
        <v>0.96083448200673593</v>
      </c>
      <c r="T18" s="3"/>
      <c r="U18" s="3"/>
      <c r="V18" s="3"/>
      <c r="W18" s="3"/>
      <c r="X18" s="3"/>
      <c r="Y18" s="3">
        <f>Y15/Z15</f>
        <v>0.95509584381262491</v>
      </c>
      <c r="Z18" s="3"/>
      <c r="AA18" s="3"/>
      <c r="AB18" s="3"/>
      <c r="AC18" s="3"/>
      <c r="AD18" s="3"/>
      <c r="AE18" s="3"/>
      <c r="AF18" s="3">
        <f>AF15/AG15</f>
        <v>0.78627821248891527</v>
      </c>
      <c r="AG18" s="3"/>
      <c r="AH18" s="3"/>
      <c r="AI18" s="3"/>
      <c r="AJ18" s="3"/>
      <c r="AK18" s="3"/>
      <c r="AL18" s="3">
        <f>AL15/AM15</f>
        <v>1.0846175928128357</v>
      </c>
      <c r="AM18" s="3"/>
      <c r="AN18" s="3"/>
      <c r="AO18" s="3"/>
      <c r="AP18" s="3"/>
      <c r="AQ18" s="3"/>
      <c r="AR18" s="3">
        <f>AR15/AS15</f>
        <v>1.2650148362240399</v>
      </c>
    </row>
  </sheetData>
  <phoneticPr fontId="18" type="noConversion"/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8630E-02F0-4800-9866-023411628486}">
  <dimension ref="A1:C11"/>
  <sheetViews>
    <sheetView workbookViewId="0">
      <selection activeCell="A2" sqref="A2:C11"/>
    </sheetView>
  </sheetViews>
  <sheetFormatPr defaultRowHeight="14.25" x14ac:dyDescent="0.45"/>
  <sheetData>
    <row r="1" spans="1:3" x14ac:dyDescent="0.45">
      <c r="A1" t="s">
        <v>0</v>
      </c>
      <c r="B1" t="s">
        <v>82</v>
      </c>
      <c r="C1" t="s">
        <v>83</v>
      </c>
    </row>
    <row r="2" spans="1:3" x14ac:dyDescent="0.45">
      <c r="A2" s="1" t="s">
        <v>40</v>
      </c>
      <c r="B2" s="4">
        <v>-30.293593732163004</v>
      </c>
      <c r="C2" s="4">
        <v>21.674536117450998</v>
      </c>
    </row>
    <row r="3" spans="1:3" x14ac:dyDescent="0.45">
      <c r="A3" s="1" t="s">
        <v>42</v>
      </c>
      <c r="B3" s="4">
        <v>-10.153576980409014</v>
      </c>
      <c r="C3" s="4">
        <v>9.7895030224720045</v>
      </c>
    </row>
    <row r="4" spans="1:3" x14ac:dyDescent="0.45">
      <c r="A4" s="1" t="s">
        <v>47</v>
      </c>
      <c r="B4" s="4">
        <v>-10.024699152956003</v>
      </c>
      <c r="C4" s="4">
        <v>17.883139059591997</v>
      </c>
    </row>
    <row r="5" spans="1:3" x14ac:dyDescent="0.45">
      <c r="A5" s="1" t="s">
        <v>45</v>
      </c>
      <c r="B5" s="4">
        <v>-18.500716186858995</v>
      </c>
      <c r="C5" s="4">
        <v>-5.2564532544089957</v>
      </c>
    </row>
    <row r="6" spans="1:3" x14ac:dyDescent="0.45">
      <c r="A6" s="1" t="s">
        <v>49</v>
      </c>
      <c r="B6" s="4">
        <v>-1.3057364394209969</v>
      </c>
      <c r="C6" s="4">
        <v>17.088786467874996</v>
      </c>
    </row>
    <row r="7" spans="1:3" x14ac:dyDescent="0.45">
      <c r="A7" s="1" t="s">
        <v>39</v>
      </c>
      <c r="B7" s="4">
        <v>-3.8855491486089875</v>
      </c>
      <c r="C7" s="4">
        <v>11.77989801637699</v>
      </c>
    </row>
    <row r="8" spans="1:3" x14ac:dyDescent="0.45">
      <c r="A8" s="1" t="s">
        <v>41</v>
      </c>
      <c r="B8" s="4">
        <v>-28.659889853392002</v>
      </c>
      <c r="C8" s="4">
        <v>0.55281302165400348</v>
      </c>
    </row>
    <row r="9" spans="1:3" x14ac:dyDescent="0.45">
      <c r="A9" s="1" t="s">
        <v>43</v>
      </c>
      <c r="B9" s="4">
        <v>34.486648493248993</v>
      </c>
      <c r="C9" s="4">
        <v>-21.319620787755014</v>
      </c>
    </row>
    <row r="10" spans="1:3" x14ac:dyDescent="0.45">
      <c r="A10" s="1" t="s">
        <v>44</v>
      </c>
      <c r="B10" s="4">
        <v>-26.375992673632993</v>
      </c>
      <c r="C10" s="4">
        <v>-11.451146124132009</v>
      </c>
    </row>
    <row r="11" spans="1:3" x14ac:dyDescent="0.45">
      <c r="A11" s="1" t="s">
        <v>46</v>
      </c>
      <c r="B11" s="4">
        <v>21.839328093304999</v>
      </c>
      <c r="C11" s="4">
        <v>32.13232204176299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C12" sqref="C12"/>
    </sheetView>
  </sheetViews>
  <sheetFormatPr defaultRowHeight="14.25" x14ac:dyDescent="0.45"/>
  <sheetData>
    <row r="1" spans="1:3" x14ac:dyDescent="0.45">
      <c r="A1" t="s">
        <v>0</v>
      </c>
      <c r="B1" t="s">
        <v>80</v>
      </c>
      <c r="C1" t="s">
        <v>81</v>
      </c>
    </row>
    <row r="2" spans="1:3" x14ac:dyDescent="0.45">
      <c r="A2" s="1" t="s">
        <v>40</v>
      </c>
      <c r="B2" s="7">
        <f>Table1[[#This Row],[Fouls]]/Table1[[#This Row],[xFouls]]</f>
        <v>1.1358863762619282</v>
      </c>
      <c r="C2" s="3">
        <v>1.231466182436795</v>
      </c>
    </row>
    <row r="3" spans="1:3" x14ac:dyDescent="0.45">
      <c r="A3" s="1" t="s">
        <v>42</v>
      </c>
      <c r="B3" s="7">
        <f>Table1[[#This Row],[Fouls]]/Table1[[#This Row],[xFouls]]</f>
        <v>1.0713417029343946</v>
      </c>
      <c r="C3" s="3">
        <v>1.2579969614389508</v>
      </c>
    </row>
    <row r="4" spans="1:3" x14ac:dyDescent="0.45">
      <c r="A4" s="1" t="s">
        <v>47</v>
      </c>
      <c r="B4" s="7">
        <f>Table1[[#This Row],[Fouls]]/Table1[[#This Row],[xFouls]]</f>
        <v>1.0411231189698749</v>
      </c>
      <c r="C4" s="3">
        <v>0.9851812598729135</v>
      </c>
    </row>
    <row r="5" spans="1:3" x14ac:dyDescent="0.45">
      <c r="A5" s="1" t="s">
        <v>45</v>
      </c>
      <c r="B5" s="7">
        <f>Table1[[#This Row],[Fouls]]/Table1[[#This Row],[xFouls]]</f>
        <v>1.2317148008005196</v>
      </c>
      <c r="C5" s="3">
        <v>1.1535532621069979</v>
      </c>
    </row>
    <row r="6" spans="1:3" x14ac:dyDescent="0.45">
      <c r="A6" s="1" t="s">
        <v>49</v>
      </c>
      <c r="B6" s="7">
        <f>Table1[[#This Row],[Fouls]]/Table1[[#This Row],[xFouls]]</f>
        <v>1.2059034087224929</v>
      </c>
      <c r="C6" s="3">
        <v>1.1581801730094812</v>
      </c>
    </row>
    <row r="7" spans="1:3" x14ac:dyDescent="0.45">
      <c r="A7" s="1" t="s">
        <v>39</v>
      </c>
      <c r="B7" s="7">
        <f>Table1[[#This Row],[Fouls]]/Table1[[#This Row],[xFouls]]</f>
        <v>1.1452085457836136</v>
      </c>
      <c r="C7" s="3">
        <v>1.1598735644381117</v>
      </c>
    </row>
    <row r="8" spans="1:3" x14ac:dyDescent="0.45">
      <c r="A8" s="1" t="s">
        <v>41</v>
      </c>
      <c r="B8" s="7">
        <f>Table1[[#This Row],[Fouls]]/Table1[[#This Row],[xFouls]]</f>
        <v>0.95580057645813254</v>
      </c>
      <c r="C8" s="3">
        <v>0.99336673384126517</v>
      </c>
    </row>
    <row r="9" spans="1:3" x14ac:dyDescent="0.45">
      <c r="A9" s="1" t="s">
        <v>43</v>
      </c>
      <c r="B9" s="7">
        <f>Table1[[#This Row],[Fouls]]/Table1[[#This Row],[xFouls]]</f>
        <v>0.92386942165347286</v>
      </c>
      <c r="C9" s="3">
        <v>0.92672560652896374</v>
      </c>
    </row>
    <row r="10" spans="1:3" x14ac:dyDescent="0.45">
      <c r="A10" s="1" t="s">
        <v>44</v>
      </c>
      <c r="B10" s="7">
        <f>Table1[[#This Row],[Fouls]]/Table1[[#This Row],[xFouls]]</f>
        <v>1.0682151613180402</v>
      </c>
      <c r="C10" s="3">
        <v>0.93701101770591566</v>
      </c>
    </row>
    <row r="11" spans="1:3" x14ac:dyDescent="0.45">
      <c r="A11" s="1" t="s">
        <v>46</v>
      </c>
      <c r="B11" s="7">
        <f>Table1[[#This Row],[Fouls]]/Table1[[#This Row],[xFouls]]</f>
        <v>1.072426438717309</v>
      </c>
      <c r="C11" s="3">
        <v>1.0418431649309117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L33" sqref="L33"/>
    </sheetView>
  </sheetViews>
  <sheetFormatPr defaultRowHeight="14.25" x14ac:dyDescent="0.45"/>
  <sheetData>
    <row r="1" spans="1:3" x14ac:dyDescent="0.45">
      <c r="A1" t="s">
        <v>0</v>
      </c>
      <c r="B1" t="s">
        <v>53</v>
      </c>
      <c r="C1" t="s">
        <v>52</v>
      </c>
    </row>
    <row r="2" spans="1:3" x14ac:dyDescent="0.45">
      <c r="A2" s="1" t="s">
        <v>40</v>
      </c>
      <c r="B2" s="7">
        <f>Table1[[#This Row],[YCard]]/Table1[[#This Row],[xYCard]]</f>
        <v>1.3150912402794359</v>
      </c>
      <c r="C2" s="7">
        <f>Table1[[#This Row],[YCardA]]/Table1[[#This Row],[xYCardA]]</f>
        <v>1.74081984504211</v>
      </c>
    </row>
    <row r="3" spans="1:3" x14ac:dyDescent="0.45">
      <c r="A3" s="1" t="s">
        <v>42</v>
      </c>
      <c r="B3" s="7">
        <f>Table1[[#This Row],[YCard]]/Table1[[#This Row],[xYCard]]</f>
        <v>1.1171822701721152</v>
      </c>
      <c r="C3" s="7">
        <f>Table1[[#This Row],[YCardA]]/Table1[[#This Row],[xYCardA]]</f>
        <v>1.2412096523548011</v>
      </c>
    </row>
    <row r="4" spans="1:3" x14ac:dyDescent="0.45">
      <c r="A4" s="1" t="s">
        <v>47</v>
      </c>
      <c r="B4" s="7">
        <f>Table1[[#This Row],[YCard]]/Table1[[#This Row],[xYCard]]</f>
        <v>1.201257144263687</v>
      </c>
      <c r="C4" s="7">
        <f>Table1[[#This Row],[YCardA]]/Table1[[#This Row],[xYCardA]]</f>
        <v>1.1901936987246309</v>
      </c>
    </row>
    <row r="5" spans="1:3" x14ac:dyDescent="0.45">
      <c r="A5" s="1" t="s">
        <v>45</v>
      </c>
      <c r="B5" s="7">
        <f>Table1[[#This Row],[YCard]]/Table1[[#This Row],[xYCard]]</f>
        <v>1.4826404361240495</v>
      </c>
      <c r="C5" s="7">
        <f>Table1[[#This Row],[YCardA]]/Table1[[#This Row],[xYCardA]]</f>
        <v>1.4649007150279254</v>
      </c>
    </row>
    <row r="6" spans="1:3" x14ac:dyDescent="0.45">
      <c r="A6" s="1" t="s">
        <v>49</v>
      </c>
      <c r="B6" s="7">
        <f>Table1[[#This Row],[YCard]]/Table1[[#This Row],[xYCard]]</f>
        <v>1.255876001075753</v>
      </c>
      <c r="C6" s="7">
        <f>Table1[[#This Row],[YCardA]]/Table1[[#This Row],[xYCardA]]</f>
        <v>1.29504401766664</v>
      </c>
    </row>
    <row r="7" spans="1:3" x14ac:dyDescent="0.45">
      <c r="A7" s="1" t="s">
        <v>39</v>
      </c>
      <c r="B7" s="7">
        <f>Table1[[#This Row],[YCard]]/Table1[[#This Row],[xYCard]]</f>
        <v>1.5939733642825289</v>
      </c>
      <c r="C7" s="7">
        <f>Table1[[#This Row],[YCardA]]/Table1[[#This Row],[xYCardA]]</f>
        <v>1.2379106430770419</v>
      </c>
    </row>
    <row r="8" spans="1:3" x14ac:dyDescent="0.45">
      <c r="A8" s="1" t="s">
        <v>41</v>
      </c>
      <c r="B8" s="7">
        <f>Table1[[#This Row],[YCard]]/Table1[[#This Row],[xYCard]]</f>
        <v>0.87370670879041723</v>
      </c>
      <c r="C8" s="7">
        <f>Table1[[#This Row],[YCardA]]/Table1[[#This Row],[xYCardA]]</f>
        <v>0.93224772395728228</v>
      </c>
    </row>
    <row r="9" spans="1:3" x14ac:dyDescent="0.45">
      <c r="A9" s="1" t="s">
        <v>43</v>
      </c>
      <c r="B9" s="7">
        <f>Table1[[#This Row],[YCard]]/Table1[[#This Row],[xYCard]]</f>
        <v>1.3231726704661435</v>
      </c>
      <c r="C9" s="7">
        <f>Table1[[#This Row],[YCardA]]/Table1[[#This Row],[xYCardA]]</f>
        <v>0.98593666747537778</v>
      </c>
    </row>
    <row r="10" spans="1:3" x14ac:dyDescent="0.45">
      <c r="A10" s="1" t="s">
        <v>44</v>
      </c>
      <c r="B10" s="7">
        <f>Table1[[#This Row],[YCard]]/Table1[[#This Row],[xYCard]]</f>
        <v>1.2914489338665338</v>
      </c>
      <c r="C10" s="7">
        <f>Table1[[#This Row],[YCardA]]/Table1[[#This Row],[xYCardA]]</f>
        <v>1.4335079880659169</v>
      </c>
    </row>
    <row r="11" spans="1:3" x14ac:dyDescent="0.45">
      <c r="A11" s="1" t="s">
        <v>46</v>
      </c>
      <c r="B11" s="7">
        <f>Table1[[#This Row],[YCard]]/Table1[[#This Row],[xYCard]]</f>
        <v>1.185438664792418</v>
      </c>
      <c r="C11" s="7">
        <f>Table1[[#This Row],[YCardA]]/Table1[[#This Row],[xYCardA]]</f>
        <v>1.0618162755382021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C22" sqref="C22"/>
    </sheetView>
  </sheetViews>
  <sheetFormatPr defaultRowHeight="14.25" x14ac:dyDescent="0.45"/>
  <sheetData>
    <row r="1" spans="1:3" x14ac:dyDescent="0.45">
      <c r="A1" t="s">
        <v>0</v>
      </c>
      <c r="B1" t="s">
        <v>67</v>
      </c>
      <c r="C1" t="s">
        <v>66</v>
      </c>
    </row>
    <row r="2" spans="1:3" x14ac:dyDescent="0.45">
      <c r="A2" s="1" t="s">
        <v>40</v>
      </c>
      <c r="B2" s="1">
        <v>35</v>
      </c>
      <c r="C2" s="5">
        <v>28.3790440188668</v>
      </c>
    </row>
    <row r="3" spans="1:3" x14ac:dyDescent="0.45">
      <c r="A3" s="1" t="s">
        <v>42</v>
      </c>
      <c r="B3" s="1">
        <v>29</v>
      </c>
      <c r="C3" s="5">
        <v>27.832810658904201</v>
      </c>
    </row>
    <row r="4" spans="1:3" x14ac:dyDescent="0.45">
      <c r="A4" s="1" t="s">
        <v>47</v>
      </c>
      <c r="B4" s="1">
        <v>22</v>
      </c>
      <c r="C4" s="5">
        <v>20.490250677031401</v>
      </c>
    </row>
    <row r="5" spans="1:3" x14ac:dyDescent="0.45">
      <c r="A5" s="1" t="s">
        <v>45</v>
      </c>
      <c r="B5" s="1">
        <v>19</v>
      </c>
      <c r="C5" s="5">
        <v>21.7041200200348</v>
      </c>
    </row>
    <row r="6" spans="1:3" x14ac:dyDescent="0.45">
      <c r="A6" s="1" t="s">
        <v>49</v>
      </c>
      <c r="B6" s="1">
        <v>17</v>
      </c>
      <c r="C6" s="5">
        <v>15.042293792379899</v>
      </c>
    </row>
    <row r="7" spans="1:3" x14ac:dyDescent="0.45">
      <c r="A7" s="1" t="s">
        <v>39</v>
      </c>
      <c r="B7" s="1">
        <v>16</v>
      </c>
      <c r="C7" s="5">
        <v>20.039321475849398</v>
      </c>
    </row>
    <row r="8" spans="1:3" x14ac:dyDescent="0.45">
      <c r="A8" s="1" t="s">
        <v>41</v>
      </c>
      <c r="B8" s="1">
        <v>16</v>
      </c>
      <c r="C8" s="5">
        <v>20.515651415052002</v>
      </c>
    </row>
    <row r="9" spans="1:3" x14ac:dyDescent="0.45">
      <c r="A9" s="1" t="s">
        <v>43</v>
      </c>
      <c r="B9" s="1">
        <v>15</v>
      </c>
      <c r="C9" s="5">
        <v>10.2866953621834</v>
      </c>
    </row>
    <row r="10" spans="1:3" x14ac:dyDescent="0.45">
      <c r="A10" s="1" t="s">
        <v>44</v>
      </c>
      <c r="B10" s="1">
        <v>13</v>
      </c>
      <c r="C10" s="5">
        <v>15.529095348929401</v>
      </c>
    </row>
    <row r="11" spans="1:3" x14ac:dyDescent="0.45">
      <c r="A11" s="1" t="s">
        <v>46</v>
      </c>
      <c r="B11" s="1">
        <v>7</v>
      </c>
      <c r="C11" s="5">
        <v>10.5416074618959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C19" sqref="C19"/>
    </sheetView>
  </sheetViews>
  <sheetFormatPr defaultRowHeight="14.25" x14ac:dyDescent="0.45"/>
  <cols>
    <col min="3" max="3" width="12.19921875" bestFit="1" customWidth="1"/>
  </cols>
  <sheetData>
    <row r="1" spans="1:3" x14ac:dyDescent="0.45">
      <c r="A1" t="s">
        <v>0</v>
      </c>
      <c r="B1" t="s">
        <v>70</v>
      </c>
      <c r="C1" t="s">
        <v>71</v>
      </c>
    </row>
    <row r="2" spans="1:3" x14ac:dyDescent="0.45">
      <c r="A2" s="1" t="s">
        <v>40</v>
      </c>
      <c r="B2" s="1">
        <v>27</v>
      </c>
      <c r="C2" s="5">
        <v>28.086966784148501</v>
      </c>
    </row>
    <row r="3" spans="1:3" x14ac:dyDescent="0.45">
      <c r="A3" s="1" t="s">
        <v>42</v>
      </c>
      <c r="B3" s="1">
        <v>20</v>
      </c>
      <c r="C3" s="5">
        <v>27.361244285308</v>
      </c>
    </row>
    <row r="4" spans="1:3" x14ac:dyDescent="0.45">
      <c r="A4" s="1" t="s">
        <v>47</v>
      </c>
      <c r="B4" s="1">
        <v>22</v>
      </c>
      <c r="C4" s="5">
        <v>20.435139895706801</v>
      </c>
    </row>
    <row r="5" spans="1:3" x14ac:dyDescent="0.45">
      <c r="A5" s="1" t="s">
        <v>45</v>
      </c>
      <c r="B5" s="1">
        <v>16</v>
      </c>
      <c r="C5" s="5">
        <v>20.488786978900301</v>
      </c>
    </row>
    <row r="6" spans="1:3" x14ac:dyDescent="0.45">
      <c r="A6" s="1" t="s">
        <v>49</v>
      </c>
      <c r="B6" s="1">
        <v>15</v>
      </c>
      <c r="C6" s="5">
        <v>16.033583418157502</v>
      </c>
    </row>
    <row r="7" spans="1:3" x14ac:dyDescent="0.45">
      <c r="A7" s="1" t="s">
        <v>39</v>
      </c>
      <c r="B7" s="1">
        <v>15</v>
      </c>
      <c r="C7" s="5">
        <v>19.666800233040799</v>
      </c>
    </row>
    <row r="8" spans="1:3" x14ac:dyDescent="0.45">
      <c r="A8" s="1" t="s">
        <v>41</v>
      </c>
      <c r="B8" s="1">
        <v>14</v>
      </c>
      <c r="C8" s="5">
        <v>19.978758685643999</v>
      </c>
    </row>
    <row r="9" spans="1:3" x14ac:dyDescent="0.45">
      <c r="A9" s="1" t="s">
        <v>43</v>
      </c>
      <c r="B9" s="1">
        <v>19</v>
      </c>
      <c r="C9" s="5">
        <v>12.7629101856967</v>
      </c>
    </row>
    <row r="10" spans="1:3" x14ac:dyDescent="0.45">
      <c r="A10" s="1" t="s">
        <v>44</v>
      </c>
      <c r="B10" s="1">
        <v>9</v>
      </c>
      <c r="C10" s="5">
        <v>16.343716750201601</v>
      </c>
    </row>
    <row r="11" spans="1:3" x14ac:dyDescent="0.45">
      <c r="A11" s="1" t="s">
        <v>46</v>
      </c>
      <c r="B11" s="1">
        <v>9</v>
      </c>
      <c r="C11" s="5">
        <v>12.744317616837799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A2" sqref="A2:A11"/>
    </sheetView>
  </sheetViews>
  <sheetFormatPr defaultRowHeight="14.25" x14ac:dyDescent="0.45"/>
  <sheetData>
    <row r="1" spans="1:3" x14ac:dyDescent="0.45">
      <c r="A1" t="s">
        <v>0</v>
      </c>
      <c r="B1" t="s">
        <v>69</v>
      </c>
      <c r="C1" t="s">
        <v>68</v>
      </c>
    </row>
    <row r="2" spans="1:3" x14ac:dyDescent="0.45">
      <c r="A2" s="1" t="s">
        <v>40</v>
      </c>
      <c r="B2" s="1">
        <v>4</v>
      </c>
      <c r="C2" s="5">
        <v>11.057156288566199</v>
      </c>
    </row>
    <row r="3" spans="1:3" x14ac:dyDescent="0.45">
      <c r="A3" s="1" t="s">
        <v>42</v>
      </c>
      <c r="B3" s="1">
        <v>6</v>
      </c>
      <c r="C3" s="5">
        <v>11.1049466327876</v>
      </c>
    </row>
    <row r="4" spans="1:3" x14ac:dyDescent="0.45">
      <c r="A4" s="1" t="s">
        <v>47</v>
      </c>
      <c r="B4" s="1">
        <v>12</v>
      </c>
      <c r="C4" s="5">
        <v>18.927345519213802</v>
      </c>
    </row>
    <row r="5" spans="1:3" x14ac:dyDescent="0.45">
      <c r="A5" s="1" t="s">
        <v>45</v>
      </c>
      <c r="B5" s="1">
        <v>17</v>
      </c>
      <c r="C5" s="5">
        <v>16.762024133825602</v>
      </c>
    </row>
    <row r="6" spans="1:3" x14ac:dyDescent="0.45">
      <c r="A6" s="1" t="s">
        <v>49</v>
      </c>
      <c r="B6" s="1">
        <v>20</v>
      </c>
      <c r="C6" s="5">
        <v>22.374218330392701</v>
      </c>
    </row>
    <row r="7" spans="1:3" x14ac:dyDescent="0.45">
      <c r="A7" s="1" t="s">
        <v>39</v>
      </c>
      <c r="B7" s="1">
        <v>16</v>
      </c>
      <c r="C7" s="5">
        <v>17.7988202222338</v>
      </c>
    </row>
    <row r="8" spans="1:3" x14ac:dyDescent="0.45">
      <c r="A8" s="1" t="s">
        <v>41</v>
      </c>
      <c r="B8" s="1">
        <v>21</v>
      </c>
      <c r="C8" s="5">
        <v>17.794887802090098</v>
      </c>
    </row>
    <row r="9" spans="1:3" x14ac:dyDescent="0.45">
      <c r="A9" s="1" t="s">
        <v>43</v>
      </c>
      <c r="B9" s="1">
        <v>27</v>
      </c>
      <c r="C9" s="5">
        <v>29.989701225619601</v>
      </c>
    </row>
    <row r="10" spans="1:3" x14ac:dyDescent="0.45">
      <c r="A10" s="1" t="s">
        <v>44</v>
      </c>
      <c r="B10" s="1">
        <v>18</v>
      </c>
      <c r="C10" s="5">
        <v>21.615533225716501</v>
      </c>
    </row>
    <row r="11" spans="1:3" x14ac:dyDescent="0.45">
      <c r="A11" s="1" t="s">
        <v>46</v>
      </c>
      <c r="B11" s="1">
        <v>25</v>
      </c>
      <c r="C11" s="5">
        <v>26.477591453196201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zoomScale="110" zoomScaleNormal="110" workbookViewId="0">
      <selection activeCell="B2" sqref="B2:C11"/>
    </sheetView>
  </sheetViews>
  <sheetFormatPr defaultRowHeight="14.25" x14ac:dyDescent="0.45"/>
  <sheetData>
    <row r="1" spans="1:3" x14ac:dyDescent="0.45">
      <c r="A1" t="s">
        <v>0</v>
      </c>
      <c r="B1" t="s">
        <v>72</v>
      </c>
      <c r="C1" t="s">
        <v>73</v>
      </c>
    </row>
    <row r="2" spans="1:3" x14ac:dyDescent="0.45">
      <c r="A2" s="1" t="s">
        <v>40</v>
      </c>
      <c r="B2" s="4">
        <v>-1.0869667841485011</v>
      </c>
      <c r="C2" s="4">
        <v>0.36175666650712479</v>
      </c>
    </row>
    <row r="3" spans="1:3" x14ac:dyDescent="0.45">
      <c r="A3" s="1" t="s">
        <v>42</v>
      </c>
      <c r="B3" s="4">
        <v>-7.3612442853080005</v>
      </c>
      <c r="C3" s="4">
        <v>0.54029975995425927</v>
      </c>
    </row>
    <row r="4" spans="1:3" x14ac:dyDescent="0.45">
      <c r="A4" s="1" t="s">
        <v>47</v>
      </c>
      <c r="B4" s="4">
        <v>1.5648601042931993</v>
      </c>
      <c r="C4" s="4">
        <v>0.63400332539068338</v>
      </c>
    </row>
    <row r="5" spans="1:3" x14ac:dyDescent="0.45">
      <c r="A5" s="1" t="s">
        <v>45</v>
      </c>
      <c r="B5" s="4">
        <v>-4.4887869789003005</v>
      </c>
      <c r="C5" s="4">
        <v>1.0141973227263268</v>
      </c>
    </row>
    <row r="6" spans="1:3" x14ac:dyDescent="0.45">
      <c r="A6" s="1" t="s">
        <v>49</v>
      </c>
      <c r="B6" s="4">
        <v>-1.0335834181575017</v>
      </c>
      <c r="C6" s="4">
        <v>0.89388597646928258</v>
      </c>
    </row>
    <row r="7" spans="1:3" x14ac:dyDescent="0.45">
      <c r="A7" s="1" t="s">
        <v>39</v>
      </c>
      <c r="B7" s="4">
        <v>-4.6668002330407994</v>
      </c>
      <c r="C7" s="4">
        <v>0.89893598565669186</v>
      </c>
    </row>
    <row r="8" spans="1:3" x14ac:dyDescent="0.45">
      <c r="A8" s="1" t="s">
        <v>41</v>
      </c>
      <c r="B8" s="4">
        <v>-5.9787586856439994</v>
      </c>
      <c r="C8" s="4">
        <v>1.1801142122139958</v>
      </c>
    </row>
    <row r="9" spans="1:3" x14ac:dyDescent="0.45">
      <c r="A9" s="1" t="s">
        <v>43</v>
      </c>
      <c r="B9" s="4">
        <v>6.2370898143032996</v>
      </c>
      <c r="C9" s="4">
        <v>0.90030906933258947</v>
      </c>
    </row>
    <row r="10" spans="1:3" x14ac:dyDescent="0.45">
      <c r="A10" s="1" t="s">
        <v>44</v>
      </c>
      <c r="B10" s="4">
        <v>-7.343716750201601</v>
      </c>
      <c r="C10" s="4">
        <v>0.83273448829774799</v>
      </c>
    </row>
    <row r="11" spans="1:3" x14ac:dyDescent="0.45">
      <c r="A11" s="1" t="s">
        <v>46</v>
      </c>
      <c r="B11" s="4">
        <v>-3.7443176168377992</v>
      </c>
      <c r="C11" s="4">
        <v>0.94419464263552433</v>
      </c>
    </row>
    <row r="16" spans="1:3" x14ac:dyDescent="0.45">
      <c r="A16" t="s">
        <v>74</v>
      </c>
    </row>
    <row r="17" spans="1:1" x14ac:dyDescent="0.45">
      <c r="A17" t="s">
        <v>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C16C-86D7-49E9-95F7-E137AC46886A}">
  <dimension ref="A1:C17"/>
  <sheetViews>
    <sheetView zoomScale="110" zoomScaleNormal="110" workbookViewId="0">
      <selection activeCell="B2" sqref="B2"/>
    </sheetView>
  </sheetViews>
  <sheetFormatPr defaultRowHeight="14.25" x14ac:dyDescent="0.45"/>
  <sheetData>
    <row r="1" spans="1:3" x14ac:dyDescent="0.45">
      <c r="A1" t="s">
        <v>0</v>
      </c>
      <c r="B1" t="s">
        <v>72</v>
      </c>
      <c r="C1" t="s">
        <v>73</v>
      </c>
    </row>
    <row r="2" spans="1:3" x14ac:dyDescent="0.45">
      <c r="A2" s="1" t="s">
        <v>40</v>
      </c>
      <c r="B2" s="4">
        <v>-30.293593732163004</v>
      </c>
      <c r="C2" s="4">
        <v>21.674536117450998</v>
      </c>
    </row>
    <row r="3" spans="1:3" x14ac:dyDescent="0.45">
      <c r="A3" s="1" t="s">
        <v>42</v>
      </c>
      <c r="B3" s="4">
        <v>-10.153576980409014</v>
      </c>
      <c r="C3" s="4">
        <v>9.7895030224720045</v>
      </c>
    </row>
    <row r="4" spans="1:3" x14ac:dyDescent="0.45">
      <c r="A4" s="1" t="s">
        <v>47</v>
      </c>
      <c r="B4" s="4">
        <v>-10.024699152956003</v>
      </c>
      <c r="C4" s="4">
        <v>17.883139059591997</v>
      </c>
    </row>
    <row r="5" spans="1:3" x14ac:dyDescent="0.45">
      <c r="A5" s="1" t="s">
        <v>45</v>
      </c>
      <c r="B5" s="4">
        <v>-18.500716186858995</v>
      </c>
      <c r="C5" s="4">
        <v>-5.2564532544089957</v>
      </c>
    </row>
    <row r="6" spans="1:3" x14ac:dyDescent="0.45">
      <c r="A6" s="1" t="s">
        <v>49</v>
      </c>
      <c r="B6" s="4">
        <v>-1.3057364394209969</v>
      </c>
      <c r="C6" s="4">
        <v>17.088786467874996</v>
      </c>
    </row>
    <row r="7" spans="1:3" x14ac:dyDescent="0.45">
      <c r="A7" s="1" t="s">
        <v>39</v>
      </c>
      <c r="B7" s="4">
        <v>-3.8855491486089875</v>
      </c>
      <c r="C7" s="4">
        <v>11.77989801637699</v>
      </c>
    </row>
    <row r="8" spans="1:3" x14ac:dyDescent="0.45">
      <c r="A8" s="1" t="s">
        <v>41</v>
      </c>
      <c r="B8" s="4">
        <v>-28.659889853392002</v>
      </c>
      <c r="C8" s="4">
        <v>0.55281302165400348</v>
      </c>
    </row>
    <row r="9" spans="1:3" x14ac:dyDescent="0.45">
      <c r="A9" s="1" t="s">
        <v>43</v>
      </c>
      <c r="B9" s="4">
        <v>34.486648493248993</v>
      </c>
      <c r="C9" s="4">
        <v>-21.319620787755014</v>
      </c>
    </row>
    <row r="10" spans="1:3" x14ac:dyDescent="0.45">
      <c r="A10" s="1" t="s">
        <v>44</v>
      </c>
      <c r="B10" s="4">
        <v>-26.375992673632993</v>
      </c>
      <c r="C10" s="4">
        <v>-11.451146124132009</v>
      </c>
    </row>
    <row r="11" spans="1:3" x14ac:dyDescent="0.45">
      <c r="A11" s="1" t="s">
        <v>46</v>
      </c>
      <c r="B11" s="4">
        <v>21.839328093304999</v>
      </c>
      <c r="C11" s="4">
        <v>32.13232204176299</v>
      </c>
    </row>
    <row r="16" spans="1:3" x14ac:dyDescent="0.45">
      <c r="A16" t="s">
        <v>74</v>
      </c>
    </row>
    <row r="17" spans="1:1" x14ac:dyDescent="0.45">
      <c r="A17" t="s">
        <v>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C3" sqref="C3"/>
    </sheetView>
  </sheetViews>
  <sheetFormatPr defaultRowHeight="14.25" x14ac:dyDescent="0.45"/>
  <sheetData>
    <row r="1" spans="1:3" x14ac:dyDescent="0.45">
      <c r="A1" t="s">
        <v>0</v>
      </c>
      <c r="B1" t="s">
        <v>76</v>
      </c>
      <c r="C1" t="s">
        <v>77</v>
      </c>
    </row>
    <row r="2" spans="1:3" x14ac:dyDescent="0.45">
      <c r="A2" s="1" t="s">
        <v>40</v>
      </c>
      <c r="B2" s="7">
        <f>Table1[[#This Row],[ShotsF]]/Table1[[#This Row],[xShotsF]]</f>
        <v>0.84645424537560887</v>
      </c>
      <c r="C2" s="7">
        <f>Table1[[#This Row],[ShotsA]]/Table1[[#This Row],[xShotsA]]</f>
        <v>0.81580946199084536</v>
      </c>
    </row>
    <row r="3" spans="1:3" x14ac:dyDescent="0.45">
      <c r="A3" s="1" t="s">
        <v>42</v>
      </c>
      <c r="B3" s="7">
        <f>Table1[[#This Row],[ShotsF]]/Table1[[#This Row],[xShotsF]]</f>
        <v>0.94770337411072492</v>
      </c>
      <c r="C3" s="7">
        <f>Table1[[#This Row],[ShotsA]]/Table1[[#This Row],[xShotsA]]</f>
        <v>0.91617822861538878</v>
      </c>
    </row>
    <row r="4" spans="1:3" x14ac:dyDescent="0.45">
      <c r="A4" s="1" t="s">
        <v>47</v>
      </c>
      <c r="B4" s="7">
        <f>Table1[[#This Row],[ShotsF]]/Table1[[#This Row],[xShotsF]]</f>
        <v>0.94103974773725274</v>
      </c>
      <c r="C4" s="7">
        <f>Table1[[#This Row],[ShotsA]]/Table1[[#This Row],[xShotsA]]</f>
        <v>0.88884392010173308</v>
      </c>
    </row>
    <row r="5" spans="1:3" x14ac:dyDescent="0.45">
      <c r="A5" s="1" t="s">
        <v>45</v>
      </c>
      <c r="B5" s="7">
        <f>Table1[[#This Row],[ShotsF]]/Table1[[#This Row],[xShotsF]]</f>
        <v>0.89149185645306461</v>
      </c>
      <c r="C5" s="7">
        <f>Table1[[#This Row],[ShotsA]]/Table1[[#This Row],[xShotsA]]</f>
        <v>1.0344135864748782</v>
      </c>
    </row>
    <row r="6" spans="1:3" x14ac:dyDescent="0.45">
      <c r="A6" s="1" t="s">
        <v>49</v>
      </c>
      <c r="B6" s="7">
        <f>Table1[[#This Row],[ShotsF]]/Table1[[#This Row],[xShotsF]]</f>
        <v>0.9911358751466004</v>
      </c>
      <c r="C6" s="7">
        <f>Table1[[#This Row],[ShotsA]]/Table1[[#This Row],[xShotsA]]</f>
        <v>0.90510910310940784</v>
      </c>
    </row>
    <row r="7" spans="1:3" x14ac:dyDescent="0.45">
      <c r="A7" s="1" t="s">
        <v>39</v>
      </c>
      <c r="B7" s="7">
        <f>Table1[[#This Row],[ShotsF]]/Table1[[#This Row],[xShotsF]]</f>
        <v>0.976434871529542</v>
      </c>
      <c r="C7" s="7">
        <f>Table1[[#This Row],[ShotsA]]/Table1[[#This Row],[xShotsA]]</f>
        <v>0.92486346677463405</v>
      </c>
    </row>
    <row r="8" spans="1:3" x14ac:dyDescent="0.45">
      <c r="A8" s="1" t="s">
        <v>41</v>
      </c>
      <c r="B8" s="7">
        <f>Table1[[#This Row],[ShotsF]]/Table1[[#This Row],[xShotsF]]</f>
        <v>0.82803366857734251</v>
      </c>
      <c r="C8" s="7">
        <f>Table1[[#This Row],[ShotsA]]/Table1[[#This Row],[xShotsA]]</f>
        <v>0.99646884006116487</v>
      </c>
    </row>
    <row r="9" spans="1:3" x14ac:dyDescent="0.45">
      <c r="A9" s="1" t="s">
        <v>43</v>
      </c>
      <c r="B9" s="7">
        <f>Table1[[#This Row],[ShotsF]]/Table1[[#This Row],[xShotsF]]</f>
        <v>1.2642384713526043</v>
      </c>
      <c r="C9" s="7">
        <f>Table1[[#This Row],[ShotsA]]/Table1[[#This Row],[xShotsA]]</f>
        <v>1.1016767561554943</v>
      </c>
    </row>
    <row r="10" spans="1:3" x14ac:dyDescent="0.45">
      <c r="A10" s="1" t="s">
        <v>44</v>
      </c>
      <c r="B10" s="7">
        <f>Table1[[#This Row],[ShotsF]]/Table1[[#This Row],[xShotsF]]</f>
        <v>0.82459971033489465</v>
      </c>
      <c r="C10" s="7">
        <f>Table1[[#This Row],[ShotsA]]/Table1[[#This Row],[xShotsA]]</f>
        <v>1.0656042470051141</v>
      </c>
    </row>
    <row r="11" spans="1:3" x14ac:dyDescent="0.45">
      <c r="A11" s="1" t="s">
        <v>46</v>
      </c>
      <c r="B11" s="7">
        <f>Table1[[#This Row],[ShotsF]]/Table1[[#This Row],[xShotsF]]</f>
        <v>1.1665082053623592</v>
      </c>
      <c r="C11" s="7">
        <f>Table1[[#This Row],[ShotsA]]/Table1[[#This Row],[xShotsA]]</f>
        <v>0.83700125018080151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D8" sqref="D8"/>
    </sheetView>
  </sheetViews>
  <sheetFormatPr defaultRowHeight="14.25" x14ac:dyDescent="0.45"/>
  <sheetData>
    <row r="1" spans="1:3" x14ac:dyDescent="0.45">
      <c r="A1" t="s">
        <v>0</v>
      </c>
      <c r="B1" t="s">
        <v>78</v>
      </c>
      <c r="C1" t="s">
        <v>79</v>
      </c>
    </row>
    <row r="2" spans="1:3" x14ac:dyDescent="0.45">
      <c r="A2" s="1" t="s">
        <v>40</v>
      </c>
      <c r="B2" s="7">
        <f>Table1[[#This Row],[ShotsTF]]/Table1[[#This Row],[xShotsTF]]</f>
        <v>0.85740274279991979</v>
      </c>
      <c r="C2" s="3">
        <v>0.65331341418334887</v>
      </c>
    </row>
    <row r="3" spans="1:3" x14ac:dyDescent="0.45">
      <c r="A3" s="1" t="s">
        <v>42</v>
      </c>
      <c r="B3" s="7">
        <f>Table1[[#This Row],[ShotsTF]]/Table1[[#This Row],[xShotsTF]]</f>
        <v>0.83454051785803496</v>
      </c>
      <c r="C3" s="3">
        <v>0.78395595444846555</v>
      </c>
    </row>
    <row r="4" spans="1:3" x14ac:dyDescent="0.45">
      <c r="A4" s="1" t="s">
        <v>47</v>
      </c>
      <c r="B4" s="7">
        <f>Table1[[#This Row],[ShotsTF]]/Table1[[#This Row],[xShotsTF]]</f>
        <v>0.81103692772535885</v>
      </c>
      <c r="C4" s="3">
        <v>0.55655362873019909</v>
      </c>
    </row>
    <row r="5" spans="1:3" x14ac:dyDescent="0.45">
      <c r="A5" s="1" t="s">
        <v>45</v>
      </c>
      <c r="B5" s="7">
        <f>Table1[[#This Row],[ShotsTF]]/Table1[[#This Row],[xShotsTF]]</f>
        <v>0.71877151166995989</v>
      </c>
      <c r="C5" s="3">
        <v>0.88441044924630108</v>
      </c>
    </row>
    <row r="6" spans="1:3" x14ac:dyDescent="0.45">
      <c r="A6" s="1" t="s">
        <v>49</v>
      </c>
      <c r="B6" s="7">
        <f>Table1[[#This Row],[ShotsTF]]/Table1[[#This Row],[xShotsTF]]</f>
        <v>0.92152202533842742</v>
      </c>
      <c r="C6" s="3">
        <v>0.74956957036732186</v>
      </c>
    </row>
    <row r="7" spans="1:3" x14ac:dyDescent="0.45">
      <c r="A7" s="1" t="s">
        <v>39</v>
      </c>
      <c r="B7" s="7">
        <f>Table1[[#This Row],[ShotsTF]]/Table1[[#This Row],[xShotsTF]]</f>
        <v>0.67643739396999281</v>
      </c>
      <c r="C7" s="3">
        <v>0.79402123286566928</v>
      </c>
    </row>
    <row r="8" spans="1:3" x14ac:dyDescent="0.45">
      <c r="A8" s="1" t="s">
        <v>41</v>
      </c>
      <c r="B8" s="7">
        <f>Table1[[#This Row],[ShotsTF]]/Table1[[#This Row],[xShotsTF]]</f>
        <v>0.64491339442274243</v>
      </c>
      <c r="C8" s="3">
        <v>1.0039529853310991</v>
      </c>
    </row>
    <row r="9" spans="1:3" x14ac:dyDescent="0.45">
      <c r="A9" s="1" t="s">
        <v>43</v>
      </c>
      <c r="B9" s="7">
        <f>Table1[[#This Row],[ShotsTF]]/Table1[[#This Row],[xShotsTF]]</f>
        <v>0.94563050043274222</v>
      </c>
      <c r="C9" s="3">
        <v>0.92667255186182673</v>
      </c>
    </row>
    <row r="10" spans="1:3" x14ac:dyDescent="0.45">
      <c r="A10" s="1" t="s">
        <v>44</v>
      </c>
      <c r="B10" s="7">
        <f>Table1[[#This Row],[ShotsTF]]/Table1[[#This Row],[xShotsTF]]</f>
        <v>0.65454018837149519</v>
      </c>
      <c r="C10" s="3">
        <v>0.71571953197775051</v>
      </c>
    </row>
    <row r="11" spans="1:3" x14ac:dyDescent="0.45">
      <c r="A11" s="1" t="s">
        <v>46</v>
      </c>
      <c r="B11" s="7">
        <f>Table1[[#This Row],[ShotsTF]]/Table1[[#This Row],[xShotsTF]]</f>
        <v>0.83347960652341979</v>
      </c>
      <c r="C11" s="3">
        <v>0.74158671105640395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32A20-58E9-4DE0-BDEF-9042587DD94D}">
  <dimension ref="A1:C11"/>
  <sheetViews>
    <sheetView tabSelected="1" zoomScale="110" zoomScaleNormal="110" workbookViewId="0">
      <selection activeCell="C17" sqref="C17"/>
    </sheetView>
  </sheetViews>
  <sheetFormatPr defaultRowHeight="14.25" x14ac:dyDescent="0.45"/>
  <sheetData>
    <row r="1" spans="1:3" x14ac:dyDescent="0.45">
      <c r="A1" t="s">
        <v>84</v>
      </c>
      <c r="B1" t="s">
        <v>72</v>
      </c>
      <c r="C1" t="s">
        <v>73</v>
      </c>
    </row>
    <row r="2" spans="1:3" x14ac:dyDescent="0.45">
      <c r="A2" s="1" t="s">
        <v>40</v>
      </c>
      <c r="B2" s="4">
        <v>-1.0869667841485011</v>
      </c>
      <c r="C2" s="4">
        <v>0.36175666650712479</v>
      </c>
    </row>
    <row r="3" spans="1:3" x14ac:dyDescent="0.45">
      <c r="A3" s="1" t="s">
        <v>42</v>
      </c>
      <c r="B3" s="4">
        <v>-7.3612442853080005</v>
      </c>
      <c r="C3" s="4">
        <v>0.54029975995425927</v>
      </c>
    </row>
    <row r="4" spans="1:3" x14ac:dyDescent="0.45">
      <c r="A4" s="1" t="s">
        <v>47</v>
      </c>
      <c r="B4" s="4">
        <v>1.5648601042931993</v>
      </c>
      <c r="C4" s="4">
        <v>0.63400332539068338</v>
      </c>
    </row>
    <row r="5" spans="1:3" x14ac:dyDescent="0.45">
      <c r="A5" s="1" t="s">
        <v>45</v>
      </c>
      <c r="B5" s="4">
        <v>-4.4887869789003005</v>
      </c>
      <c r="C5" s="4">
        <v>1.0141973227263268</v>
      </c>
    </row>
    <row r="6" spans="1:3" x14ac:dyDescent="0.45">
      <c r="A6" s="1" t="s">
        <v>49</v>
      </c>
      <c r="B6" s="4">
        <v>-1.0335834181575017</v>
      </c>
      <c r="C6" s="4">
        <v>0.89388597646928258</v>
      </c>
    </row>
    <row r="7" spans="1:3" x14ac:dyDescent="0.45">
      <c r="A7" s="1" t="s">
        <v>39</v>
      </c>
      <c r="B7" s="4">
        <v>-4.6668002330407994</v>
      </c>
      <c r="C7" s="4">
        <v>0.89893598565669186</v>
      </c>
    </row>
    <row r="8" spans="1:3" x14ac:dyDescent="0.45">
      <c r="A8" s="1" t="s">
        <v>41</v>
      </c>
      <c r="B8" s="4">
        <v>-5.9787586856439994</v>
      </c>
      <c r="C8" s="4">
        <v>1.1801142122139958</v>
      </c>
    </row>
    <row r="9" spans="1:3" x14ac:dyDescent="0.45">
      <c r="A9" s="1" t="s">
        <v>43</v>
      </c>
      <c r="B9" s="4">
        <v>6.2370898143032996</v>
      </c>
      <c r="C9" s="4">
        <v>0.90030906933258947</v>
      </c>
    </row>
    <row r="10" spans="1:3" x14ac:dyDescent="0.45">
      <c r="A10" s="1" t="s">
        <v>44</v>
      </c>
      <c r="B10" s="4">
        <v>-7.343716750201601</v>
      </c>
      <c r="C10" s="4">
        <v>0.83273448829774799</v>
      </c>
    </row>
    <row r="11" spans="1:3" x14ac:dyDescent="0.45">
      <c r="A11" s="1" t="s">
        <v>46</v>
      </c>
      <c r="B11" s="4">
        <v>-3.7443176168377992</v>
      </c>
      <c r="C11" s="4">
        <v>0.94419464263552433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WCQ2022_CONMEBOL_18-11-2021</vt:lpstr>
      <vt:lpstr>PtsvsxPts</vt:lpstr>
      <vt:lpstr>GvsxG</vt:lpstr>
      <vt:lpstr>GCvsxGC</vt:lpstr>
      <vt:lpstr>Scatter Dif G</vt:lpstr>
      <vt:lpstr>Scatter Dif St</vt:lpstr>
      <vt:lpstr>Shots</vt:lpstr>
      <vt:lpstr>ShotsT</vt:lpstr>
      <vt:lpstr>Scatter GDiff</vt:lpstr>
      <vt:lpstr>Scatter Dif Shots</vt:lpstr>
      <vt:lpstr>Fouls</vt:lpstr>
      <vt:lpstr>YCards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2021-11-19T01:35:15Z</dcterms:created>
  <dcterms:modified xsi:type="dcterms:W3CDTF">2021-11-22T15:41:54Z</dcterms:modified>
</cp:coreProperties>
</file>