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2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6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7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8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9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0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1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2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3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4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5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6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7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8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9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0.xml" ContentType="application/vnd.openxmlformats-officedocument.drawingml.chartshapes+xml"/>
  <Override PartName="/xl/tables/table2.xml" ContentType="application/vnd.openxmlformats-officedocument.spreadsheetml.tab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ml.chartshapes+xml"/>
  <Override PartName="/xl/tables/table3.xml" ContentType="application/vnd.openxmlformats-officedocument.spreadsheetml.table+xml"/>
  <Override PartName="/xl/drawings/drawing80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1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2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3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89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0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1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2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3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4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5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6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7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8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99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0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1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2.xml" ContentType="application/vnd.openxmlformats-officedocument.drawingml.chartshapes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3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4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5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6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7.xml" ContentType="application/vnd.openxmlformats-officedocument.drawingml.chartshapes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08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09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0.xml" ContentType="application/vnd.openxmlformats-officedocument.drawingml.chartshapes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1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2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3.xml" ContentType="application/vnd.openxmlformats-officedocument.drawingml.chartshapes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4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5.xml" ContentType="application/vnd.openxmlformats-officedocument.drawingml.chartshape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116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7.xml" ContentType="application/vnd.openxmlformats-officedocument.drawingml.chartshapes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8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19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0.xml" ContentType="application/vnd.openxmlformats-officedocument.drawingml.chartshapes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21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22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23.xml" ContentType="application/vnd.openxmlformats-officedocument.drawingml.chartshapes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24.xml" ContentType="application/vnd.openxmlformats-officedocument.drawingml.chartshape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25.xml" ContentType="application/vnd.openxmlformats-officedocument.drawingml.chartshapes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26.xml" ContentType="application/vnd.openxmlformats-officedocument.drawingml.chartshapes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27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28.xml" ContentType="application/vnd.openxmlformats-officedocument.drawingml.chartshape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29.xml" ContentType="application/vnd.openxmlformats-officedocument.drawingml.chartshapes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30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31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32.xml" ContentType="application/vnd.openxmlformats-officedocument.drawingml.chartshapes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33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34.xml" ContentType="application/vnd.openxmlformats-officedocument.drawingml.chartshapes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35.xml" ContentType="application/vnd.openxmlformats-officedocument.drawingml.chartshapes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6.xml" ContentType="application/vnd.openxmlformats-officedocument.drawingml.chartshapes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7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8.xml" ContentType="application/vnd.openxmlformats-officedocument.drawingml.chartshapes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39.xml" ContentType="application/vnd.openxmlformats-officedocument.drawingml.chartshapes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40.xml" ContentType="application/vnd.openxmlformats-officedocument.drawingml.chartshape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1.xml" ContentType="application/vnd.openxmlformats-officedocument.drawingml.chartshapes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2.xml" ContentType="application/vnd.openxmlformats-officedocument.drawingml.chartshapes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3.xml" ContentType="application/vnd.openxmlformats-officedocument.drawingml.chartshapes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4.xml" ContentType="application/vnd.openxmlformats-officedocument.drawingml.chartshapes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5.xml" ContentType="application/vnd.openxmlformats-officedocument.drawingml.chartshapes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46.xml" ContentType="application/vnd.openxmlformats-officedocument.drawingml.chartshapes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47.xml" ContentType="application/vnd.openxmlformats-officedocument.drawingml.chartshapes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48.xml" ContentType="application/vnd.openxmlformats-officedocument.drawingml.chartshapes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49.xml" ContentType="application/vnd.openxmlformats-officedocument.drawingml.chartshapes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150.xml" ContentType="application/vnd.openxmlformats-officedocument.drawingml.chartshapes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51.xml" ContentType="application/vnd.openxmlformats-officedocument.drawingml.chartshapes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52.xml" ContentType="application/vnd.openxmlformats-officedocument.drawingml.chartshapes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153.xml" ContentType="application/vnd.openxmlformats-officedocument.drawingml.chartshapes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154.xml" ContentType="application/vnd.openxmlformats-officedocument.drawingml.chartshapes+xml"/>
  <Override PartName="/xl/tables/table6.xml" ContentType="application/vnd.openxmlformats-officedocument.spreadsheetml.table+xml"/>
  <Override PartName="/xl/drawings/drawing155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56.xml" ContentType="application/vnd.openxmlformats-officedocument.drawingml.chartshapes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5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SoccerMetriX\Artículos\02_La_Medida_del_Futbol\"/>
    </mc:Choice>
  </mc:AlternateContent>
  <xr:revisionPtr revIDLastSave="0" documentId="13_ncr:1_{2DA21EB7-4129-4517-871E-8385AF17CD73}" xr6:coauthVersionLast="47" xr6:coauthVersionMax="47" xr10:uidLastSave="{00000000-0000-0000-0000-000000000000}"/>
  <bookViews>
    <workbookView xWindow="-98" yWindow="-98" windowWidth="22695" windowHeight="14595" firstSheet="9" activeTab="16" xr2:uid="{653AC764-06AA-420A-A661-BCEA4D88153B}"/>
  </bookViews>
  <sheets>
    <sheet name="Sheet1" sheetId="1" r:id="rId1"/>
    <sheet name="Sheet2" sheetId="2" r:id="rId2"/>
    <sheet name="Sheet3" sheetId="3" r:id="rId3"/>
    <sheet name="Metra" sheetId="4" r:id="rId4"/>
    <sheet name="Leicester" sheetId="5" r:id="rId5"/>
    <sheet name="LeicesterGraphs" sheetId="6" r:id="rId6"/>
    <sheet name="AthMadrid" sheetId="7" r:id="rId7"/>
    <sheet name="AthMadridGraphs" sheetId="9" r:id="rId8"/>
    <sheet name="RealMadrid" sheetId="10" r:id="rId9"/>
    <sheet name="RealMadridGraphs" sheetId="11" r:id="rId10"/>
    <sheet name="Sheet4" sheetId="12" r:id="rId11"/>
    <sheet name="Barcelona" sheetId="13" r:id="rId12"/>
    <sheet name="Sevilla" sheetId="15" r:id="rId13"/>
    <sheet name="GraphsTop4SP1_2020-2021" sheetId="14" r:id="rId14"/>
    <sheet name="Teams" sheetId="16" r:id="rId15"/>
    <sheet name="GraphSP1_2020-2021" sheetId="17" r:id="rId16"/>
    <sheet name="Sheet5" sheetId="1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9" i="18" l="1"/>
  <c r="T28" i="18"/>
  <c r="T27" i="18"/>
  <c r="V25" i="18"/>
  <c r="S25" i="18"/>
  <c r="T25" i="18"/>
  <c r="R25" i="18"/>
  <c r="W23" i="18"/>
  <c r="V23" i="18"/>
  <c r="S23" i="18"/>
  <c r="T23" i="18"/>
  <c r="R23" i="18"/>
  <c r="Z10" i="18"/>
  <c r="T12" i="18"/>
  <c r="U12" i="18"/>
  <c r="V12" i="18"/>
  <c r="W12" i="18"/>
  <c r="X12" i="18"/>
  <c r="S12" i="18"/>
  <c r="Z12" i="18" l="1"/>
  <c r="T14" i="18" s="1"/>
  <c r="T5" i="18"/>
  <c r="S5" i="18"/>
  <c r="R5" i="18"/>
  <c r="W14" i="18" l="1"/>
  <c r="U14" i="18"/>
  <c r="V14" i="18"/>
  <c r="X14" i="18"/>
  <c r="S14" i="18"/>
  <c r="K73" i="18"/>
  <c r="K72" i="18"/>
  <c r="K71" i="18"/>
  <c r="M69" i="18"/>
  <c r="K69" i="18"/>
  <c r="J69" i="18"/>
  <c r="I69" i="18"/>
  <c r="N68" i="18"/>
  <c r="M68" i="18"/>
  <c r="J68" i="18"/>
  <c r="K68" i="18"/>
  <c r="I68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30" i="18"/>
  <c r="Z14" i="18" l="1"/>
  <c r="Z16" i="18" s="1"/>
  <c r="K49" i="18"/>
  <c r="L49" i="18"/>
  <c r="J49" i="18"/>
  <c r="M64" i="18"/>
  <c r="N64" i="18"/>
  <c r="L64" i="18"/>
  <c r="N62" i="18"/>
  <c r="M62" i="18"/>
  <c r="L62" i="18"/>
  <c r="P63" i="18" s="1"/>
  <c r="P61" i="18"/>
  <c r="N61" i="18"/>
  <c r="L61" i="18"/>
  <c r="M61" i="18"/>
  <c r="J63" i="18"/>
  <c r="Q57" i="18"/>
  <c r="K57" i="18"/>
  <c r="L57" i="18"/>
  <c r="M57" i="18"/>
  <c r="N57" i="18"/>
  <c r="O57" i="18"/>
  <c r="J57" i="18"/>
  <c r="N52" i="18"/>
  <c r="K52" i="18"/>
  <c r="L52" i="18"/>
  <c r="J52" i="18"/>
  <c r="L50" i="18"/>
  <c r="K50" i="18"/>
  <c r="J50" i="18"/>
  <c r="N48" i="18"/>
  <c r="F30" i="18"/>
  <c r="N50" i="18" l="1"/>
  <c r="M44" i="18" l="1"/>
  <c r="N44" i="18"/>
  <c r="L44" i="18"/>
  <c r="M42" i="18"/>
  <c r="N42" i="18"/>
  <c r="L42" i="18"/>
  <c r="N41" i="18"/>
  <c r="M41" i="18"/>
  <c r="L41" i="18"/>
  <c r="J44" i="18"/>
  <c r="J43" i="18"/>
  <c r="Q37" i="18"/>
  <c r="K37" i="18"/>
  <c r="L37" i="18"/>
  <c r="M37" i="18"/>
  <c r="N37" i="18"/>
  <c r="O37" i="18"/>
  <c r="J37" i="18"/>
  <c r="Q35" i="18"/>
  <c r="M32" i="18"/>
  <c r="K32" i="18"/>
  <c r="L32" i="18"/>
  <c r="J32" i="18"/>
  <c r="M31" i="18"/>
  <c r="K31" i="18"/>
  <c r="L31" i="18"/>
  <c r="J31" i="18"/>
  <c r="L30" i="18"/>
  <c r="K30" i="18"/>
  <c r="J30" i="18"/>
  <c r="M27" i="18"/>
  <c r="J27" i="18"/>
  <c r="K27" i="18"/>
  <c r="I27" i="18"/>
  <c r="N26" i="18"/>
  <c r="M26" i="18"/>
  <c r="K26" i="18"/>
  <c r="J26" i="18"/>
  <c r="I26" i="18"/>
  <c r="O18" i="18"/>
  <c r="L18" i="18"/>
  <c r="Q16" i="18"/>
  <c r="L16" i="18"/>
  <c r="M16" i="18"/>
  <c r="N16" i="18"/>
  <c r="O16" i="18"/>
  <c r="K16" i="18"/>
  <c r="D27" i="18"/>
  <c r="D26" i="18"/>
  <c r="C24" i="18"/>
  <c r="D24" i="18"/>
  <c r="B24" i="18"/>
  <c r="G23" i="18"/>
  <c r="F23" i="18"/>
  <c r="C23" i="18"/>
  <c r="D23" i="18"/>
  <c r="B23" i="18"/>
  <c r="N11" i="18"/>
  <c r="N10" i="18"/>
  <c r="K10" i="18"/>
  <c r="L10" i="18"/>
  <c r="J10" i="18"/>
  <c r="N9" i="18"/>
  <c r="K9" i="18"/>
  <c r="L9" i="18"/>
  <c r="J9" i="18"/>
  <c r="K8" i="18"/>
  <c r="L8" i="18"/>
  <c r="J8" i="18"/>
  <c r="G17" i="18"/>
  <c r="G16" i="18"/>
  <c r="C19" i="18"/>
  <c r="D19" i="18"/>
  <c r="B19" i="18"/>
  <c r="G15" i="18"/>
  <c r="C18" i="18"/>
  <c r="D18" i="18"/>
  <c r="B18" i="18"/>
  <c r="G7" i="18"/>
  <c r="C11" i="18" s="1"/>
  <c r="C10" i="18"/>
  <c r="D10" i="18"/>
  <c r="B10" i="18"/>
  <c r="B11" i="18"/>
  <c r="D17" i="18"/>
  <c r="C17" i="18"/>
  <c r="B17" i="18"/>
  <c r="D9" i="18"/>
  <c r="B9" i="18"/>
  <c r="C9" i="18"/>
  <c r="B4" i="18"/>
  <c r="D4" i="18" s="1"/>
  <c r="C4" i="18"/>
  <c r="A4" i="18"/>
  <c r="E3" i="18"/>
  <c r="D3" i="18"/>
  <c r="B3" i="18"/>
  <c r="C3" i="18"/>
  <c r="A3" i="18"/>
  <c r="D11" i="18" l="1"/>
  <c r="G8" i="18" s="1"/>
  <c r="G9" i="18" s="1"/>
  <c r="E2" i="17" l="1"/>
  <c r="E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P2" i="16"/>
  <c r="Q2" i="16" s="1"/>
  <c r="P3" i="16"/>
  <c r="Q3" i="16" s="1"/>
  <c r="P4" i="16"/>
  <c r="Q4" i="16" s="1"/>
  <c r="P5" i="16"/>
  <c r="Q5" i="16" s="1"/>
  <c r="P6" i="16"/>
  <c r="Q6" i="16" s="1"/>
  <c r="P7" i="16"/>
  <c r="S7" i="16" s="1"/>
  <c r="P8" i="16"/>
  <c r="Q8" i="16" s="1"/>
  <c r="P9" i="16"/>
  <c r="Q9" i="16" s="1"/>
  <c r="P10" i="16"/>
  <c r="Q10" i="16" s="1"/>
  <c r="P11" i="16"/>
  <c r="R11" i="16" s="1"/>
  <c r="P12" i="16"/>
  <c r="Q12" i="16" s="1"/>
  <c r="P13" i="16"/>
  <c r="S13" i="16" s="1"/>
  <c r="P14" i="16"/>
  <c r="Q14" i="16" s="1"/>
  <c r="P15" i="16"/>
  <c r="Q15" i="16" s="1"/>
  <c r="P16" i="16"/>
  <c r="Q16" i="16" s="1"/>
  <c r="P17" i="16"/>
  <c r="Q17" i="16" s="1"/>
  <c r="P18" i="16"/>
  <c r="Q18" i="16" s="1"/>
  <c r="P19" i="16"/>
  <c r="Q19" i="16" s="1"/>
  <c r="P20" i="16"/>
  <c r="Q20" i="16" s="1"/>
  <c r="P21" i="16"/>
  <c r="Q21" i="16" s="1"/>
  <c r="P22" i="16"/>
  <c r="S22" i="16" s="1"/>
  <c r="P23" i="16"/>
  <c r="Q23" i="16" s="1"/>
  <c r="P24" i="16"/>
  <c r="S24" i="16" s="1"/>
  <c r="P25" i="16"/>
  <c r="Q25" i="16" s="1"/>
  <c r="P26" i="16"/>
  <c r="S26" i="16" s="1"/>
  <c r="P27" i="16"/>
  <c r="Q27" i="16" s="1"/>
  <c r="P28" i="16"/>
  <c r="S28" i="16" s="1"/>
  <c r="P29" i="16"/>
  <c r="Q29" i="16" s="1"/>
  <c r="P30" i="16"/>
  <c r="S30" i="16" s="1"/>
  <c r="P31" i="16"/>
  <c r="Q31" i="16" s="1"/>
  <c r="P32" i="16"/>
  <c r="R32" i="16" s="1"/>
  <c r="P33" i="16"/>
  <c r="Q33" i="16" s="1"/>
  <c r="P34" i="16"/>
  <c r="R34" i="16" s="1"/>
  <c r="P35" i="16"/>
  <c r="Q35" i="16" s="1"/>
  <c r="P36" i="16"/>
  <c r="R36" i="16" s="1"/>
  <c r="P37" i="16"/>
  <c r="Q37" i="16" s="1"/>
  <c r="P38" i="16"/>
  <c r="R38" i="16" s="1"/>
  <c r="P39" i="16"/>
  <c r="Q39" i="16" s="1"/>
  <c r="D3" i="16" a="1"/>
  <c r="D3" i="16" s="1"/>
  <c r="D4" i="16" a="1"/>
  <c r="D4" i="16" s="1"/>
  <c r="D5" i="16" a="1"/>
  <c r="D5" i="16" s="1"/>
  <c r="D6" i="16" a="1"/>
  <c r="D6" i="16" s="1"/>
  <c r="D7" i="16" a="1"/>
  <c r="D7" i="16" s="1"/>
  <c r="D8" i="16" a="1"/>
  <c r="D8" i="16" s="1"/>
  <c r="D9" i="16" a="1"/>
  <c r="D9" i="16" s="1"/>
  <c r="D10" i="16" a="1"/>
  <c r="D10" i="16" s="1"/>
  <c r="D11" i="16" a="1"/>
  <c r="D11" i="16" s="1"/>
  <c r="D12" i="16" a="1"/>
  <c r="D12" i="16" s="1"/>
  <c r="D13" i="16" a="1"/>
  <c r="D13" i="16" s="1"/>
  <c r="D14" i="16" a="1"/>
  <c r="D14" i="16" s="1"/>
  <c r="D15" i="16" a="1"/>
  <c r="D15" i="16" s="1"/>
  <c r="D16" i="16" a="1"/>
  <c r="D16" i="16" s="1"/>
  <c r="D17" i="16" a="1"/>
  <c r="D17" i="16" s="1"/>
  <c r="D18" i="16" a="1"/>
  <c r="D18" i="16" s="1"/>
  <c r="D19" i="16" a="1"/>
  <c r="D19" i="16" s="1"/>
  <c r="D20" i="16" a="1"/>
  <c r="D20" i="16" s="1"/>
  <c r="D21" i="16" a="1"/>
  <c r="D21" i="16" s="1"/>
  <c r="D22" i="16" a="1"/>
  <c r="D22" i="16" s="1"/>
  <c r="D23" i="16" a="1"/>
  <c r="D23" i="16" s="1"/>
  <c r="D24" i="16" a="1"/>
  <c r="D24" i="16" s="1"/>
  <c r="D25" i="16" a="1"/>
  <c r="D25" i="16" s="1"/>
  <c r="D26" i="16" a="1"/>
  <c r="D26" i="16" s="1"/>
  <c r="D27" i="16" a="1"/>
  <c r="D27" i="16" s="1"/>
  <c r="D28" i="16" a="1"/>
  <c r="D28" i="16" s="1"/>
  <c r="D29" i="16" a="1"/>
  <c r="D29" i="16" s="1"/>
  <c r="D30" i="16" a="1"/>
  <c r="D30" i="16" s="1"/>
  <c r="D31" i="16" a="1"/>
  <c r="D31" i="16" s="1"/>
  <c r="D32" i="16" a="1"/>
  <c r="D32" i="16" s="1"/>
  <c r="D33" i="16" a="1"/>
  <c r="D33" i="16" s="1"/>
  <c r="D34" i="16" a="1"/>
  <c r="D34" i="16" s="1"/>
  <c r="D35" i="16" a="1"/>
  <c r="D35" i="16" s="1"/>
  <c r="D36" i="16" a="1"/>
  <c r="D36" i="16" s="1"/>
  <c r="D37" i="16" a="1"/>
  <c r="D37" i="16" s="1"/>
  <c r="D38" i="16" a="1"/>
  <c r="D38" i="16" s="1"/>
  <c r="D39" i="16" a="1"/>
  <c r="D39" i="16" s="1"/>
  <c r="D2" i="16" a="1"/>
  <c r="D2" i="16" s="1"/>
  <c r="B2" i="16" s="1"/>
  <c r="E2" i="15"/>
  <c r="D3" i="15" a="1"/>
  <c r="D3" i="15" s="1"/>
  <c r="D2" i="15" a="1"/>
  <c r="D2" i="15" s="1"/>
  <c r="S9" i="16" l="1"/>
  <c r="Q13" i="16"/>
  <c r="S11" i="16"/>
  <c r="Q11" i="16"/>
  <c r="R13" i="16"/>
  <c r="S37" i="16"/>
  <c r="R37" i="16"/>
  <c r="Q36" i="16"/>
  <c r="Q34" i="16"/>
  <c r="Q28" i="16"/>
  <c r="Q32" i="16"/>
  <c r="R28" i="16"/>
  <c r="E28" i="16" s="1"/>
  <c r="Q24" i="16"/>
  <c r="S39" i="16"/>
  <c r="S31" i="16"/>
  <c r="S23" i="16"/>
  <c r="R39" i="16"/>
  <c r="R31" i="16"/>
  <c r="S27" i="16"/>
  <c r="R23" i="16"/>
  <c r="Q30" i="16"/>
  <c r="Q22" i="16"/>
  <c r="R33" i="16"/>
  <c r="R24" i="16"/>
  <c r="E24" i="16" s="1"/>
  <c r="R19" i="16"/>
  <c r="S8" i="16"/>
  <c r="R16" i="16"/>
  <c r="R9" i="16"/>
  <c r="R6" i="16"/>
  <c r="R14" i="16"/>
  <c r="S17" i="16"/>
  <c r="R10" i="16"/>
  <c r="R7" i="16"/>
  <c r="R2" i="16"/>
  <c r="R17" i="16"/>
  <c r="Q7" i="16"/>
  <c r="S33" i="16"/>
  <c r="R30" i="16"/>
  <c r="E30" i="16" s="1"/>
  <c r="R25" i="16"/>
  <c r="R22" i="16"/>
  <c r="S19" i="16"/>
  <c r="S6" i="16"/>
  <c r="R4" i="16"/>
  <c r="R27" i="16"/>
  <c r="R8" i="16"/>
  <c r="S3" i="16"/>
  <c r="S35" i="16"/>
  <c r="S29" i="16"/>
  <c r="S21" i="16"/>
  <c r="S15" i="16"/>
  <c r="S5" i="16"/>
  <c r="R3" i="16"/>
  <c r="Q38" i="16"/>
  <c r="R35" i="16"/>
  <c r="R29" i="16"/>
  <c r="R26" i="16"/>
  <c r="R21" i="16"/>
  <c r="R18" i="16"/>
  <c r="R15" i="16"/>
  <c r="R5" i="16"/>
  <c r="Q26" i="16"/>
  <c r="R12" i="16"/>
  <c r="S25" i="16"/>
  <c r="S4" i="16"/>
  <c r="S38" i="16"/>
  <c r="E38" i="16" s="1"/>
  <c r="S36" i="16"/>
  <c r="E36" i="16" s="1"/>
  <c r="S34" i="16"/>
  <c r="E34" i="16" s="1"/>
  <c r="S32" i="16"/>
  <c r="E32" i="16" s="1"/>
  <c r="S20" i="16"/>
  <c r="S18" i="16"/>
  <c r="S16" i="16"/>
  <c r="S14" i="16"/>
  <c r="S12" i="16"/>
  <c r="S10" i="16"/>
  <c r="S2" i="16"/>
  <c r="R20" i="16"/>
  <c r="B3" i="16"/>
  <c r="B4" i="16" s="1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E7" i="16" l="1"/>
  <c r="E11" i="16"/>
  <c r="E22" i="16"/>
  <c r="E12" i="16"/>
  <c r="E13" i="16"/>
  <c r="E16" i="16"/>
  <c r="E31" i="16"/>
  <c r="E26" i="16"/>
  <c r="E23" i="16"/>
  <c r="E18" i="16"/>
  <c r="E4" i="16"/>
  <c r="E14" i="16"/>
  <c r="E9" i="16"/>
  <c r="E10" i="16"/>
  <c r="E6" i="16"/>
  <c r="E17" i="16"/>
  <c r="E37" i="16"/>
  <c r="E20" i="16"/>
  <c r="E33" i="16"/>
  <c r="E27" i="16"/>
  <c r="E25" i="16"/>
  <c r="E39" i="16"/>
  <c r="E29" i="16"/>
  <c r="E19" i="16"/>
  <c r="E8" i="16"/>
  <c r="E2" i="16"/>
  <c r="C2" i="16" s="1"/>
  <c r="E3" i="16"/>
  <c r="E5" i="16"/>
  <c r="E15" i="16"/>
  <c r="E21" i="16"/>
  <c r="E35" i="16"/>
  <c r="C3" i="16" l="1"/>
  <c r="C4" i="16" s="1"/>
  <c r="C5" i="16" s="1"/>
  <c r="C6" i="16" s="1"/>
  <c r="C7" i="16" s="1"/>
  <c r="C8" i="16" s="1"/>
  <c r="C9" i="16" s="1"/>
  <c r="C10" i="16" s="1"/>
  <c r="C11" i="16" s="1"/>
  <c r="C12" i="16" s="1"/>
  <c r="C13" i="16" s="1"/>
  <c r="C14" i="16" s="1"/>
  <c r="C15" i="16" s="1"/>
  <c r="C16" i="16" s="1"/>
  <c r="C17" i="16" s="1"/>
  <c r="C18" i="16" s="1"/>
  <c r="C19" i="16" s="1"/>
  <c r="C20" i="16" s="1"/>
  <c r="C21" i="16" s="1"/>
  <c r="C22" i="16" s="1"/>
  <c r="C23" i="16" s="1"/>
  <c r="C24" i="16" s="1"/>
  <c r="C25" i="16" s="1"/>
  <c r="C26" i="16" s="1"/>
  <c r="C27" i="16" s="1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BY105" i="6"/>
  <c r="CC56" i="14"/>
  <c r="CA56" i="14"/>
  <c r="BY56" i="14"/>
  <c r="CC54" i="14"/>
  <c r="CA54" i="14"/>
  <c r="BY54" i="14"/>
  <c r="BW54" i="14"/>
  <c r="C2" i="15"/>
  <c r="C3" i="15" s="1"/>
  <c r="C4" i="15" s="1"/>
  <c r="C5" i="15" s="1"/>
  <c r="C6" i="15" s="1"/>
  <c r="C7" i="15" s="1"/>
  <c r="C8" i="15" s="1"/>
  <c r="C9" i="15" s="1"/>
  <c r="C10" i="15" s="1"/>
  <c r="C11" i="15" s="1"/>
  <c r="C12" i="15" s="1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B2" i="15"/>
  <c r="B3" i="15" s="1"/>
  <c r="B4" i="15" s="1"/>
  <c r="B5" i="15" s="1"/>
  <c r="B6" i="15" s="1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2" i="13"/>
  <c r="C2" i="13" s="1"/>
  <c r="C3" i="13" s="1"/>
  <c r="C4" i="13" s="1"/>
  <c r="C5" i="13" s="1"/>
  <c r="C6" i="13" s="1"/>
  <c r="C7" i="13" s="1"/>
  <c r="C8" i="13" s="1"/>
  <c r="C9" i="13" s="1"/>
  <c r="C10" i="13" s="1"/>
  <c r="C11" i="13" s="1"/>
  <c r="C12" i="13" s="1"/>
  <c r="C13" i="13" s="1"/>
  <c r="C14" i="13" s="1"/>
  <c r="C15" i="13" s="1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D4" i="15" a="1"/>
  <c r="D4" i="15" s="1"/>
  <c r="D5" i="15" a="1"/>
  <c r="D5" i="15" s="1"/>
  <c r="D6" i="15" a="1"/>
  <c r="D6" i="15" s="1"/>
  <c r="D7" i="15" a="1"/>
  <c r="D7" i="15" s="1"/>
  <c r="D8" i="15" a="1"/>
  <c r="D8" i="15" s="1"/>
  <c r="D9" i="15" a="1"/>
  <c r="D9" i="15" s="1"/>
  <c r="D10" i="15" a="1"/>
  <c r="D10" i="15" s="1"/>
  <c r="D11" i="15" a="1"/>
  <c r="D11" i="15" s="1"/>
  <c r="D12" i="15" a="1"/>
  <c r="D12" i="15" s="1"/>
  <c r="D13" i="15" a="1"/>
  <c r="D13" i="15" s="1"/>
  <c r="D14" i="15" a="1"/>
  <c r="D14" i="15" s="1"/>
  <c r="D15" i="15" a="1"/>
  <c r="D15" i="15" s="1"/>
  <c r="D16" i="15" a="1"/>
  <c r="D16" i="15" s="1"/>
  <c r="D17" i="15" a="1"/>
  <c r="D17" i="15" s="1"/>
  <c r="D18" i="15" a="1"/>
  <c r="D18" i="15"/>
  <c r="D19" i="15" a="1"/>
  <c r="D19" i="15" s="1"/>
  <c r="D20" i="15" a="1"/>
  <c r="D20" i="15" s="1"/>
  <c r="D21" i="15" a="1"/>
  <c r="D21" i="15" s="1"/>
  <c r="D22" i="15" a="1"/>
  <c r="D22" i="15"/>
  <c r="D23" i="15" a="1"/>
  <c r="D23" i="15" s="1"/>
  <c r="D24" i="15" a="1"/>
  <c r="D24" i="15" s="1"/>
  <c r="D25" i="15" a="1"/>
  <c r="D25" i="15" s="1"/>
  <c r="D26" i="15" a="1"/>
  <c r="D26" i="15"/>
  <c r="D27" i="15" a="1"/>
  <c r="D27" i="15" s="1"/>
  <c r="D28" i="15" a="1"/>
  <c r="D28" i="15" s="1"/>
  <c r="D29" i="15" a="1"/>
  <c r="D29" i="15" s="1"/>
  <c r="D30" i="15" a="1"/>
  <c r="D30" i="15" s="1"/>
  <c r="D31" i="15" a="1"/>
  <c r="D31" i="15" s="1"/>
  <c r="D32" i="15" a="1"/>
  <c r="D32" i="15" s="1"/>
  <c r="D33" i="15" a="1"/>
  <c r="D33" i="15" s="1"/>
  <c r="D34" i="15" a="1"/>
  <c r="D34" i="15" s="1"/>
  <c r="D35" i="15" a="1"/>
  <c r="D35" i="15" s="1"/>
  <c r="D36" i="15" a="1"/>
  <c r="D36" i="15" s="1"/>
  <c r="D37" i="15" a="1"/>
  <c r="D37" i="15" s="1"/>
  <c r="D38" i="15" a="1"/>
  <c r="D38" i="15"/>
  <c r="D39" i="15" a="1"/>
  <c r="D39" i="15" s="1"/>
  <c r="D2" i="13" a="1"/>
  <c r="D2" i="13" s="1"/>
  <c r="B2" i="13" s="1"/>
  <c r="B3" i="13" s="1"/>
  <c r="B4" i="13" s="1"/>
  <c r="B5" i="13" s="1"/>
  <c r="B6" i="13" s="1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O3" i="15"/>
  <c r="O9" i="15"/>
  <c r="O20" i="15"/>
  <c r="O25" i="15"/>
  <c r="O27" i="15"/>
  <c r="O35" i="15"/>
  <c r="O2" i="15"/>
  <c r="O12" i="15"/>
  <c r="O18" i="15"/>
  <c r="O19" i="15"/>
  <c r="O29" i="15"/>
  <c r="O33" i="15"/>
  <c r="N3" i="15"/>
  <c r="N13" i="15"/>
  <c r="N15" i="15"/>
  <c r="N20" i="15"/>
  <c r="N28" i="15"/>
  <c r="N30" i="15"/>
  <c r="N35" i="15"/>
  <c r="N5" i="15"/>
  <c r="N7" i="15"/>
  <c r="N12" i="15"/>
  <c r="N21" i="15"/>
  <c r="N24" i="15"/>
  <c r="N29" i="15"/>
  <c r="N38" i="15"/>
  <c r="M3" i="15"/>
  <c r="U3" i="15" s="1"/>
  <c r="M17" i="15"/>
  <c r="M20" i="15"/>
  <c r="U20" i="15" s="1"/>
  <c r="M34" i="15"/>
  <c r="M35" i="15"/>
  <c r="U35" i="15" s="1"/>
  <c r="M10" i="15"/>
  <c r="M12" i="15"/>
  <c r="U12" i="15" s="1"/>
  <c r="M26" i="15"/>
  <c r="M29" i="15"/>
  <c r="U29" i="15" s="1"/>
  <c r="P3" i="15"/>
  <c r="P6" i="15"/>
  <c r="M6" i="15" s="1"/>
  <c r="P8" i="15"/>
  <c r="M8" i="15" s="1"/>
  <c r="P9" i="15"/>
  <c r="M9" i="15" s="1"/>
  <c r="P11" i="15"/>
  <c r="O11" i="15" s="1"/>
  <c r="P13" i="15"/>
  <c r="O13" i="15" s="1"/>
  <c r="P15" i="15"/>
  <c r="O15" i="15" s="1"/>
  <c r="P17" i="15"/>
  <c r="N17" i="15" s="1"/>
  <c r="P20" i="15"/>
  <c r="P22" i="15"/>
  <c r="M22" i="15" s="1"/>
  <c r="P23" i="15"/>
  <c r="M23" i="15" s="1"/>
  <c r="P25" i="15"/>
  <c r="M25" i="15" s="1"/>
  <c r="P27" i="15"/>
  <c r="M27" i="15" s="1"/>
  <c r="P28" i="15"/>
  <c r="O28" i="15" s="1"/>
  <c r="P30" i="15"/>
  <c r="O30" i="15" s="1"/>
  <c r="P34" i="15"/>
  <c r="N34" i="15" s="1"/>
  <c r="P35" i="15"/>
  <c r="P37" i="15"/>
  <c r="M37" i="15" s="1"/>
  <c r="P39" i="15"/>
  <c r="M39" i="15" s="1"/>
  <c r="P2" i="15"/>
  <c r="M2" i="15" s="1"/>
  <c r="P4" i="15"/>
  <c r="O4" i="15" s="1"/>
  <c r="P5" i="15"/>
  <c r="O5" i="15" s="1"/>
  <c r="P7" i="15"/>
  <c r="O7" i="15" s="1"/>
  <c r="P10" i="15"/>
  <c r="N10" i="15" s="1"/>
  <c r="P12" i="15"/>
  <c r="P14" i="15"/>
  <c r="M14" i="15" s="1"/>
  <c r="P16" i="15"/>
  <c r="M16" i="15" s="1"/>
  <c r="P18" i="15"/>
  <c r="M18" i="15" s="1"/>
  <c r="P19" i="15"/>
  <c r="M19" i="15" s="1"/>
  <c r="P21" i="15"/>
  <c r="O21" i="15" s="1"/>
  <c r="P24" i="15"/>
  <c r="O24" i="15" s="1"/>
  <c r="P26" i="15"/>
  <c r="N26" i="15" s="1"/>
  <c r="P29" i="15"/>
  <c r="P31" i="15"/>
  <c r="M31" i="15" s="1"/>
  <c r="P32" i="15"/>
  <c r="M32" i="15" s="1"/>
  <c r="P33" i="15"/>
  <c r="M33" i="15" s="1"/>
  <c r="P36" i="15"/>
  <c r="O36" i="15" s="1"/>
  <c r="P38" i="15"/>
  <c r="O38" i="15" s="1"/>
  <c r="O2" i="13"/>
  <c r="O3" i="13"/>
  <c r="O4" i="13"/>
  <c r="O5" i="13"/>
  <c r="O10" i="13"/>
  <c r="O11" i="13"/>
  <c r="O13" i="13"/>
  <c r="O18" i="13"/>
  <c r="O19" i="13"/>
  <c r="O21" i="13"/>
  <c r="O26" i="13"/>
  <c r="O27" i="13"/>
  <c r="O34" i="13"/>
  <c r="O35" i="13"/>
  <c r="N4" i="13"/>
  <c r="E4" i="13" s="1"/>
  <c r="N5" i="13"/>
  <c r="E5" i="13" s="1"/>
  <c r="N12" i="13"/>
  <c r="N13" i="13"/>
  <c r="N20" i="13"/>
  <c r="N21" i="13"/>
  <c r="N28" i="13"/>
  <c r="N29" i="13"/>
  <c r="N36" i="13"/>
  <c r="N37" i="13"/>
  <c r="P2" i="13"/>
  <c r="M2" i="13" s="1"/>
  <c r="P3" i="13"/>
  <c r="M3" i="13" s="1"/>
  <c r="P4" i="13"/>
  <c r="M4" i="13" s="1"/>
  <c r="U4" i="13" s="1"/>
  <c r="P5" i="13"/>
  <c r="M5" i="13" s="1"/>
  <c r="U5" i="13" s="1"/>
  <c r="P6" i="13"/>
  <c r="N6" i="13" s="1"/>
  <c r="P7" i="13"/>
  <c r="N7" i="13" s="1"/>
  <c r="P8" i="13"/>
  <c r="N8" i="13" s="1"/>
  <c r="P9" i="13"/>
  <c r="N9" i="13" s="1"/>
  <c r="P10" i="13"/>
  <c r="M10" i="13" s="1"/>
  <c r="P11" i="13"/>
  <c r="M11" i="13" s="1"/>
  <c r="P12" i="13"/>
  <c r="M12" i="13" s="1"/>
  <c r="P13" i="13"/>
  <c r="M13" i="13" s="1"/>
  <c r="U13" i="13" s="1"/>
  <c r="P14" i="13"/>
  <c r="N14" i="13" s="1"/>
  <c r="P15" i="13"/>
  <c r="N15" i="13" s="1"/>
  <c r="P16" i="13"/>
  <c r="N16" i="13" s="1"/>
  <c r="P17" i="13"/>
  <c r="N17" i="13" s="1"/>
  <c r="P18" i="13"/>
  <c r="M18" i="13" s="1"/>
  <c r="P19" i="13"/>
  <c r="M19" i="13" s="1"/>
  <c r="P20" i="13"/>
  <c r="M20" i="13" s="1"/>
  <c r="P21" i="13"/>
  <c r="M21" i="13" s="1"/>
  <c r="P22" i="13"/>
  <c r="N22" i="13" s="1"/>
  <c r="P23" i="13"/>
  <c r="N23" i="13" s="1"/>
  <c r="P24" i="13"/>
  <c r="N24" i="13" s="1"/>
  <c r="P25" i="13"/>
  <c r="N25" i="13" s="1"/>
  <c r="P26" i="13"/>
  <c r="M26" i="13" s="1"/>
  <c r="P27" i="13"/>
  <c r="M27" i="13" s="1"/>
  <c r="P28" i="13"/>
  <c r="M28" i="13" s="1"/>
  <c r="P29" i="13"/>
  <c r="M29" i="13" s="1"/>
  <c r="P30" i="13"/>
  <c r="N30" i="13" s="1"/>
  <c r="P31" i="13"/>
  <c r="N31" i="13" s="1"/>
  <c r="P32" i="13"/>
  <c r="N32" i="13" s="1"/>
  <c r="P33" i="13"/>
  <c r="N33" i="13" s="1"/>
  <c r="P34" i="13"/>
  <c r="M34" i="13" s="1"/>
  <c r="P35" i="13"/>
  <c r="M35" i="13" s="1"/>
  <c r="P36" i="13"/>
  <c r="M36" i="13" s="1"/>
  <c r="P37" i="13"/>
  <c r="M37" i="13" s="1"/>
  <c r="P38" i="13"/>
  <c r="N38" i="13" s="1"/>
  <c r="P39" i="13"/>
  <c r="N39" i="13" s="1"/>
  <c r="M16" i="13"/>
  <c r="M17" i="13"/>
  <c r="M32" i="13"/>
  <c r="M33" i="13"/>
  <c r="E13" i="13"/>
  <c r="D3" i="13" a="1"/>
  <c r="D3" i="13" s="1"/>
  <c r="D4" i="13" a="1"/>
  <c r="D4" i="13" s="1"/>
  <c r="D5" i="13" a="1"/>
  <c r="D5" i="13" s="1"/>
  <c r="D6" i="13" a="1"/>
  <c r="D6" i="13" s="1"/>
  <c r="D7" i="13" a="1"/>
  <c r="D7" i="13" s="1"/>
  <c r="D8" i="13" a="1"/>
  <c r="D8" i="13" s="1"/>
  <c r="D9" i="13" a="1"/>
  <c r="D9" i="13" s="1"/>
  <c r="D10" i="13" a="1"/>
  <c r="D10" i="13" s="1"/>
  <c r="D11" i="13" a="1"/>
  <c r="D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 s="1"/>
  <c r="D38" i="13" a="1"/>
  <c r="D38" i="13" s="1"/>
  <c r="D39" i="13" a="1"/>
  <c r="D39" i="13" s="1"/>
  <c r="E2" i="10"/>
  <c r="D2" i="10" a="1"/>
  <c r="D2" i="10" s="1"/>
  <c r="A44" i="9"/>
  <c r="D111" i="12"/>
  <c r="C111" i="12"/>
  <c r="B111" i="12"/>
  <c r="K113" i="12"/>
  <c r="H113" i="12"/>
  <c r="I113" i="12"/>
  <c r="G113" i="12"/>
  <c r="M112" i="12"/>
  <c r="L112" i="12"/>
  <c r="K112" i="12"/>
  <c r="I112" i="12"/>
  <c r="H112" i="12"/>
  <c r="G112" i="12"/>
  <c r="U2" i="15" l="1"/>
  <c r="U14" i="15"/>
  <c r="U26" i="15"/>
  <c r="U25" i="15"/>
  <c r="M24" i="15"/>
  <c r="U24" i="15" s="1"/>
  <c r="M7" i="15"/>
  <c r="U7" i="15" s="1"/>
  <c r="M30" i="15"/>
  <c r="U30" i="15" s="1"/>
  <c r="M15" i="15"/>
  <c r="U15" i="15" s="1"/>
  <c r="N36" i="15"/>
  <c r="N19" i="15"/>
  <c r="U19" i="15" s="1"/>
  <c r="N4" i="15"/>
  <c r="N27" i="15"/>
  <c r="U27" i="15" s="1"/>
  <c r="N11" i="15"/>
  <c r="O32" i="15"/>
  <c r="O16" i="15"/>
  <c r="O39" i="15"/>
  <c r="O23" i="15"/>
  <c r="O8" i="15"/>
  <c r="M38" i="15"/>
  <c r="U38" i="15" s="1"/>
  <c r="M21" i="15"/>
  <c r="U21" i="15" s="1"/>
  <c r="M5" i="15"/>
  <c r="U5" i="15" s="1"/>
  <c r="M28" i="15"/>
  <c r="U28" i="15" s="1"/>
  <c r="M13" i="15"/>
  <c r="U13" i="15" s="1"/>
  <c r="N33" i="15"/>
  <c r="U33" i="15" s="1"/>
  <c r="N18" i="15"/>
  <c r="U18" i="15" s="1"/>
  <c r="N2" i="15"/>
  <c r="N25" i="15"/>
  <c r="N9" i="15"/>
  <c r="U9" i="15" s="1"/>
  <c r="O31" i="15"/>
  <c r="U31" i="15" s="1"/>
  <c r="O14" i="15"/>
  <c r="O37" i="15"/>
  <c r="O22" i="15"/>
  <c r="O6" i="15"/>
  <c r="M36" i="15"/>
  <c r="M4" i="15"/>
  <c r="U4" i="15" s="1"/>
  <c r="M11" i="15"/>
  <c r="N39" i="15"/>
  <c r="U39" i="15" s="1"/>
  <c r="N8" i="15"/>
  <c r="U8" i="15" s="1"/>
  <c r="N32" i="15"/>
  <c r="U32" i="15" s="1"/>
  <c r="N16" i="15"/>
  <c r="U16" i="15" s="1"/>
  <c r="N23" i="15"/>
  <c r="U23" i="15" s="1"/>
  <c r="N31" i="15"/>
  <c r="N14" i="15"/>
  <c r="N37" i="15"/>
  <c r="U37" i="15" s="1"/>
  <c r="N22" i="15"/>
  <c r="U22" i="15" s="1"/>
  <c r="N6" i="15"/>
  <c r="U6" i="15" s="1"/>
  <c r="O26" i="15"/>
  <c r="O10" i="15"/>
  <c r="U10" i="15" s="1"/>
  <c r="O34" i="15"/>
  <c r="U34" i="15" s="1"/>
  <c r="O17" i="15"/>
  <c r="U17" i="15" s="1"/>
  <c r="U12" i="13"/>
  <c r="U19" i="13"/>
  <c r="U3" i="13"/>
  <c r="E17" i="13"/>
  <c r="U2" i="13"/>
  <c r="E32" i="13"/>
  <c r="M31" i="13"/>
  <c r="M15" i="13"/>
  <c r="E37" i="13"/>
  <c r="E29" i="13"/>
  <c r="E21" i="13"/>
  <c r="N35" i="13"/>
  <c r="E35" i="13" s="1"/>
  <c r="N27" i="13"/>
  <c r="E27" i="13" s="1"/>
  <c r="N19" i="13"/>
  <c r="N11" i="13"/>
  <c r="U11" i="13" s="1"/>
  <c r="N3" i="13"/>
  <c r="O33" i="13"/>
  <c r="U33" i="13" s="1"/>
  <c r="O25" i="13"/>
  <c r="O17" i="13"/>
  <c r="U17" i="13" s="1"/>
  <c r="O9" i="13"/>
  <c r="E9" i="13" s="1"/>
  <c r="U32" i="13"/>
  <c r="M30" i="13"/>
  <c r="M14" i="13"/>
  <c r="U14" i="13" s="1"/>
  <c r="E36" i="13"/>
  <c r="E28" i="13"/>
  <c r="N34" i="13"/>
  <c r="U34" i="13" s="1"/>
  <c r="N26" i="13"/>
  <c r="U26" i="13" s="1"/>
  <c r="N18" i="13"/>
  <c r="U18" i="13" s="1"/>
  <c r="N10" i="13"/>
  <c r="U10" i="13" s="1"/>
  <c r="N2" i="13"/>
  <c r="O32" i="13"/>
  <c r="O24" i="13"/>
  <c r="O16" i="13"/>
  <c r="E16" i="13" s="1"/>
  <c r="O8" i="13"/>
  <c r="E8" i="13" s="1"/>
  <c r="M25" i="13"/>
  <c r="M9" i="13"/>
  <c r="U9" i="13" s="1"/>
  <c r="O39" i="13"/>
  <c r="O31" i="13"/>
  <c r="O23" i="13"/>
  <c r="O15" i="13"/>
  <c r="O7" i="13"/>
  <c r="E7" i="13" s="1"/>
  <c r="E33" i="13"/>
  <c r="M24" i="13"/>
  <c r="M8" i="13"/>
  <c r="U8" i="13" s="1"/>
  <c r="O38" i="13"/>
  <c r="O30" i="13"/>
  <c r="O22" i="13"/>
  <c r="O14" i="13"/>
  <c r="E14" i="13" s="1"/>
  <c r="O6" i="13"/>
  <c r="E6" i="13" s="1"/>
  <c r="U37" i="13"/>
  <c r="U21" i="13"/>
  <c r="M39" i="13"/>
  <c r="M23" i="13"/>
  <c r="M7" i="13"/>
  <c r="O37" i="13"/>
  <c r="O29" i="13"/>
  <c r="U29" i="13" s="1"/>
  <c r="U28" i="13"/>
  <c r="M38" i="13"/>
  <c r="M22" i="13"/>
  <c r="M6" i="13"/>
  <c r="O36" i="13"/>
  <c r="U36" i="13" s="1"/>
  <c r="O28" i="13"/>
  <c r="O20" i="13"/>
  <c r="E20" i="13" s="1"/>
  <c r="O12" i="13"/>
  <c r="E12" i="13" s="1"/>
  <c r="E19" i="13"/>
  <c r="E11" i="13"/>
  <c r="E3" i="13"/>
  <c r="E15" i="13"/>
  <c r="E34" i="13"/>
  <c r="E26" i="13"/>
  <c r="D105" i="12"/>
  <c r="B105" i="12"/>
  <c r="C105" i="12"/>
  <c r="H107" i="12"/>
  <c r="I107" i="12"/>
  <c r="G107" i="12"/>
  <c r="M106" i="12"/>
  <c r="L106" i="12"/>
  <c r="K106" i="12"/>
  <c r="H106" i="12"/>
  <c r="I106" i="12"/>
  <c r="G106" i="12"/>
  <c r="C93" i="12"/>
  <c r="F101" i="12"/>
  <c r="D101" i="12"/>
  <c r="C101" i="12"/>
  <c r="C91" i="12"/>
  <c r="C89" i="12"/>
  <c r="E89" i="12"/>
  <c r="C87" i="12"/>
  <c r="A99" i="12"/>
  <c r="D84" i="12"/>
  <c r="C84" i="12"/>
  <c r="B84" i="12"/>
  <c r="I84" i="12"/>
  <c r="H84" i="12"/>
  <c r="G84" i="12"/>
  <c r="M83" i="12"/>
  <c r="C83" i="12"/>
  <c r="D83" i="12"/>
  <c r="B83" i="12"/>
  <c r="L83" i="12"/>
  <c r="K83" i="12"/>
  <c r="H83" i="12"/>
  <c r="I83" i="12"/>
  <c r="G83" i="12"/>
  <c r="U11" i="15" l="1"/>
  <c r="U36" i="15"/>
  <c r="E38" i="13"/>
  <c r="U38" i="13"/>
  <c r="E24" i="13"/>
  <c r="U24" i="13"/>
  <c r="E25" i="13"/>
  <c r="U25" i="13"/>
  <c r="U27" i="13"/>
  <c r="U35" i="13"/>
  <c r="E18" i="13"/>
  <c r="U20" i="13"/>
  <c r="U15" i="13"/>
  <c r="E10" i="13"/>
  <c r="E39" i="13"/>
  <c r="U39" i="13"/>
  <c r="U7" i="13"/>
  <c r="U31" i="13"/>
  <c r="E31" i="13"/>
  <c r="U16" i="13"/>
  <c r="E22" i="13"/>
  <c r="U22" i="13"/>
  <c r="U6" i="13"/>
  <c r="E23" i="13"/>
  <c r="U23" i="13"/>
  <c r="E30" i="13"/>
  <c r="U30" i="13"/>
  <c r="K107" i="12"/>
  <c r="E78" i="12"/>
  <c r="E76" i="12"/>
  <c r="E74" i="12"/>
  <c r="H77" i="12"/>
  <c r="I77" i="12"/>
  <c r="G77" i="12"/>
  <c r="L75" i="12"/>
  <c r="K75" i="12"/>
  <c r="H75" i="12"/>
  <c r="I75" i="12"/>
  <c r="G75" i="12"/>
  <c r="D78" i="12"/>
  <c r="D76" i="12"/>
  <c r="D74" i="12"/>
  <c r="G60" i="12"/>
  <c r="I70" i="12"/>
  <c r="I64" i="12"/>
  <c r="F62" i="12"/>
  <c r="F60" i="12"/>
  <c r="F58" i="12"/>
  <c r="D67" i="12"/>
  <c r="D69" i="12"/>
  <c r="D65" i="12"/>
  <c r="B69" i="12"/>
  <c r="B67" i="12"/>
  <c r="B65" i="12"/>
  <c r="E62" i="12"/>
  <c r="E60" i="12"/>
  <c r="J60" i="12"/>
  <c r="K60" i="12"/>
  <c r="I60" i="12"/>
  <c r="D62" i="12"/>
  <c r="D60" i="12"/>
  <c r="D58" i="12"/>
  <c r="B53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O53" i="12"/>
  <c r="P53" i="12"/>
  <c r="A53" i="12"/>
  <c r="M60" i="12" l="1"/>
  <c r="N60" i="12" s="1"/>
  <c r="J61" i="12" s="1"/>
  <c r="K61" i="12" l="1"/>
  <c r="I61" i="12"/>
  <c r="E58" i="12" s="1"/>
  <c r="H24" i="9" l="1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7" i="9"/>
  <c r="H5" i="9"/>
  <c r="H2" i="9"/>
  <c r="N17" i="12" l="1"/>
  <c r="O17" i="12"/>
  <c r="P17" i="12"/>
  <c r="Q17" i="12"/>
  <c r="M17" i="12"/>
  <c r="M15" i="12"/>
  <c r="L15" i="12"/>
  <c r="D17" i="12"/>
  <c r="E17" i="12" s="1"/>
  <c r="D15" i="12"/>
  <c r="E15" i="12" s="1"/>
  <c r="J9" i="12"/>
  <c r="K9" i="12"/>
  <c r="L9" i="12"/>
  <c r="M9" i="12"/>
  <c r="D11" i="12"/>
  <c r="E9" i="12"/>
  <c r="E11" i="12"/>
  <c r="O11" i="12" s="1"/>
  <c r="D3" i="12"/>
  <c r="D9" i="12" s="1"/>
  <c r="N11" i="12" l="1"/>
  <c r="M11" i="12"/>
  <c r="L11" i="12"/>
  <c r="J11" i="12"/>
  <c r="K11" i="12"/>
  <c r="H11" i="12"/>
  <c r="Q11" i="12"/>
  <c r="I11" i="12"/>
  <c r="P11" i="12"/>
  <c r="D5" i="12"/>
  <c r="C2" i="10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B2" i="10"/>
  <c r="B3" i="10" s="1"/>
  <c r="B4" i="10" s="1"/>
  <c r="B5" i="10" s="1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D3" i="10" a="1"/>
  <c r="D3" i="10" s="1"/>
  <c r="D4" i="10" a="1"/>
  <c r="D4" i="10"/>
  <c r="D5" i="10" a="1"/>
  <c r="D5" i="10" s="1"/>
  <c r="D6" i="10" a="1"/>
  <c r="D6" i="10"/>
  <c r="D7" i="10" a="1"/>
  <c r="D7" i="10" s="1"/>
  <c r="D8" i="10" a="1"/>
  <c r="D8" i="10"/>
  <c r="D9" i="10" a="1"/>
  <c r="D9" i="10" s="1"/>
  <c r="D10" i="10" a="1"/>
  <c r="D10" i="10"/>
  <c r="D11" i="10" a="1"/>
  <c r="D11" i="10" s="1"/>
  <c r="D12" i="10" a="1"/>
  <c r="D12" i="10"/>
  <c r="D13" i="10" a="1"/>
  <c r="D13" i="10" s="1"/>
  <c r="D14" i="10" a="1"/>
  <c r="D14" i="10"/>
  <c r="D15" i="10" a="1"/>
  <c r="D15" i="10" s="1"/>
  <c r="D16" i="10" a="1"/>
  <c r="D16" i="10"/>
  <c r="D17" i="10" a="1"/>
  <c r="D17" i="10" s="1"/>
  <c r="D18" i="10" a="1"/>
  <c r="D18" i="10"/>
  <c r="D19" i="10" a="1"/>
  <c r="D19" i="10" s="1"/>
  <c r="D20" i="10" a="1"/>
  <c r="D20" i="10" s="1"/>
  <c r="D21" i="10" a="1"/>
  <c r="D21" i="10" s="1"/>
  <c r="D22" i="10" a="1"/>
  <c r="D22" i="10"/>
  <c r="D23" i="10" a="1"/>
  <c r="D23" i="10" s="1"/>
  <c r="D24" i="10" a="1"/>
  <c r="D24" i="10" s="1"/>
  <c r="D25" i="10" a="1"/>
  <c r="D25" i="10" s="1"/>
  <c r="D26" i="10" a="1"/>
  <c r="D26" i="10"/>
  <c r="D27" i="10" a="1"/>
  <c r="D27" i="10" s="1"/>
  <c r="D28" i="10" a="1"/>
  <c r="D28" i="10" s="1"/>
  <c r="D29" i="10" a="1"/>
  <c r="D29" i="10" s="1"/>
  <c r="D30" i="10" a="1"/>
  <c r="D30" i="10"/>
  <c r="D31" i="10" a="1"/>
  <c r="D31" i="10" s="1"/>
  <c r="D32" i="10" a="1"/>
  <c r="D32" i="10" s="1"/>
  <c r="D33" i="10" a="1"/>
  <c r="D33" i="10" s="1"/>
  <c r="D34" i="10" a="1"/>
  <c r="D34" i="10"/>
  <c r="D35" i="10" a="1"/>
  <c r="D35" i="10" s="1"/>
  <c r="D36" i="10" a="1"/>
  <c r="D36" i="10" s="1"/>
  <c r="D37" i="10" a="1"/>
  <c r="D37" i="10" s="1"/>
  <c r="D38" i="10" a="1"/>
  <c r="D38" i="10"/>
  <c r="D39" i="10" a="1"/>
  <c r="D39" i="10" s="1"/>
  <c r="D2" i="5" a="1"/>
  <c r="D2" i="5"/>
  <c r="BK88" i="9"/>
  <c r="BK85" i="9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2" i="7"/>
  <c r="C2" i="7" s="1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D3" i="7" a="1"/>
  <c r="D3" i="7" s="1"/>
  <c r="D4" i="7" a="1"/>
  <c r="D4" i="7"/>
  <c r="D5" i="7" a="1"/>
  <c r="D5" i="7" s="1"/>
  <c r="D6" i="7" a="1"/>
  <c r="D6" i="7" s="1"/>
  <c r="D7" i="7" a="1"/>
  <c r="D7" i="7" s="1"/>
  <c r="D8" i="7" a="1"/>
  <c r="D8" i="7" s="1"/>
  <c r="D9" i="7" a="1"/>
  <c r="D9" i="7" s="1"/>
  <c r="D10" i="7" a="1"/>
  <c r="D10" i="7"/>
  <c r="D11" i="7" a="1"/>
  <c r="D11" i="7" s="1"/>
  <c r="D12" i="7" a="1"/>
  <c r="D12" i="7" s="1"/>
  <c r="D13" i="7" a="1"/>
  <c r="D13" i="7" s="1"/>
  <c r="D14" i="7" a="1"/>
  <c r="D14" i="7"/>
  <c r="D15" i="7" a="1"/>
  <c r="D15" i="7" s="1"/>
  <c r="D16" i="7" a="1"/>
  <c r="D16" i="7"/>
  <c r="D17" i="7" a="1"/>
  <c r="D17" i="7" s="1"/>
  <c r="D18" i="7" a="1"/>
  <c r="D18" i="7"/>
  <c r="D19" i="7" a="1"/>
  <c r="D19" i="7" s="1"/>
  <c r="D20" i="7" a="1"/>
  <c r="D20" i="7"/>
  <c r="D21" i="7" a="1"/>
  <c r="D21" i="7" s="1"/>
  <c r="D22" i="7" a="1"/>
  <c r="D22" i="7" s="1"/>
  <c r="D23" i="7" a="1"/>
  <c r="D23" i="7" s="1"/>
  <c r="D24" i="7" a="1"/>
  <c r="D24" i="7" s="1"/>
  <c r="D25" i="7" a="1"/>
  <c r="D25" i="7" s="1"/>
  <c r="D26" i="7" a="1"/>
  <c r="D26" i="7"/>
  <c r="D27" i="7" a="1"/>
  <c r="D27" i="7" s="1"/>
  <c r="D28" i="7" a="1"/>
  <c r="D28" i="7" s="1"/>
  <c r="D29" i="7" a="1"/>
  <c r="D29" i="7" s="1"/>
  <c r="D30" i="7" a="1"/>
  <c r="D30" i="7" s="1"/>
  <c r="D31" i="7" a="1"/>
  <c r="D31" i="7" s="1"/>
  <c r="D32" i="7" a="1"/>
  <c r="D32" i="7" s="1"/>
  <c r="D33" i="7" a="1"/>
  <c r="D33" i="7" s="1"/>
  <c r="D34" i="7" a="1"/>
  <c r="D34" i="7" s="1"/>
  <c r="D35" i="7" a="1"/>
  <c r="D35" i="7" s="1"/>
  <c r="D36" i="7" a="1"/>
  <c r="D36" i="7" s="1"/>
  <c r="D37" i="7" a="1"/>
  <c r="D37" i="7" s="1"/>
  <c r="D38" i="7" a="1"/>
  <c r="D38" i="7"/>
  <c r="D39" i="7" a="1"/>
  <c r="D39" i="7" s="1"/>
  <c r="D2" i="7" a="1"/>
  <c r="D2" i="7" s="1"/>
  <c r="B2" i="7" s="1"/>
  <c r="B3" i="7" s="1"/>
  <c r="B4" i="7" s="1"/>
  <c r="B5" i="7" s="1"/>
  <c r="B2" i="5"/>
  <c r="BL88" i="6"/>
  <c r="BL85" i="6"/>
  <c r="BL60" i="6"/>
  <c r="BL57" i="6"/>
  <c r="BL54" i="6"/>
  <c r="BL51" i="6"/>
  <c r="BL48" i="6"/>
  <c r="BL45" i="6"/>
  <c r="BL17" i="6"/>
  <c r="BL14" i="6"/>
  <c r="BL11" i="6"/>
  <c r="BL8" i="6"/>
  <c r="BL5" i="6"/>
  <c r="BL2" i="6"/>
  <c r="AK35" i="6"/>
  <c r="AK32" i="6"/>
  <c r="AK29" i="6"/>
  <c r="AK26" i="6"/>
  <c r="AK23" i="6"/>
  <c r="AK20" i="6"/>
  <c r="AK17" i="6"/>
  <c r="AK14" i="6"/>
  <c r="AK11" i="6"/>
  <c r="AK8" i="6"/>
  <c r="AK5" i="6"/>
  <c r="AK2" i="6"/>
  <c r="I35" i="6"/>
  <c r="I32" i="6"/>
  <c r="I29" i="6"/>
  <c r="I26" i="6"/>
  <c r="I23" i="6"/>
  <c r="I20" i="6"/>
  <c r="I17" i="6"/>
  <c r="I14" i="6"/>
  <c r="I11" i="6"/>
  <c r="I8" i="6"/>
  <c r="I5" i="6"/>
  <c r="I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2" i="5"/>
  <c r="C2" i="5" s="1"/>
  <c r="C3" i="5" s="1"/>
  <c r="C4" i="5" s="1"/>
  <c r="C5" i="5" s="1"/>
  <c r="C6" i="5" s="1"/>
  <c r="C7" i="5" s="1"/>
  <c r="C8" i="5" s="1"/>
  <c r="D3" i="5" a="1"/>
  <c r="D3" i="5" s="1"/>
  <c r="D4" i="5" a="1"/>
  <c r="D4" i="5" s="1"/>
  <c r="D5" i="5" a="1"/>
  <c r="D5" i="5"/>
  <c r="D6" i="5" a="1"/>
  <c r="D6" i="5"/>
  <c r="D7" i="5" a="1"/>
  <c r="D7" i="5" s="1"/>
  <c r="D8" i="5" a="1"/>
  <c r="D8" i="5" s="1"/>
  <c r="D9" i="5" a="1"/>
  <c r="D9" i="5" s="1"/>
  <c r="D10" i="5" a="1"/>
  <c r="D10" i="5"/>
  <c r="D11" i="5" a="1"/>
  <c r="D11" i="5" s="1"/>
  <c r="D12" i="5" a="1"/>
  <c r="D12" i="5" s="1"/>
  <c r="D13" i="5" a="1"/>
  <c r="D13" i="5" s="1"/>
  <c r="D14" i="5" a="1"/>
  <c r="D14" i="5"/>
  <c r="D15" i="5" a="1"/>
  <c r="D15" i="5" s="1"/>
  <c r="D16" i="5" a="1"/>
  <c r="D16" i="5" s="1"/>
  <c r="D17" i="5" a="1"/>
  <c r="D17" i="5" s="1"/>
  <c r="D18" i="5" a="1"/>
  <c r="D18" i="5"/>
  <c r="D19" i="5" a="1"/>
  <c r="D19" i="5" s="1"/>
  <c r="D20" i="5" a="1"/>
  <c r="D20" i="5" s="1"/>
  <c r="D21" i="5" a="1"/>
  <c r="D21" i="5" s="1"/>
  <c r="D22" i="5" a="1"/>
  <c r="D22" i="5"/>
  <c r="D23" i="5" a="1"/>
  <c r="D23" i="5" s="1"/>
  <c r="D24" i="5" a="1"/>
  <c r="D24" i="5" s="1"/>
  <c r="D25" i="5" a="1"/>
  <c r="D25" i="5" s="1"/>
  <c r="D26" i="5" a="1"/>
  <c r="D26" i="5"/>
  <c r="D27" i="5" a="1"/>
  <c r="D27" i="5" s="1"/>
  <c r="D28" i="5" a="1"/>
  <c r="D28" i="5" s="1"/>
  <c r="D29" i="5" a="1"/>
  <c r="D29" i="5" s="1"/>
  <c r="D30" i="5" a="1"/>
  <c r="D30" i="5"/>
  <c r="D31" i="5" a="1"/>
  <c r="D31" i="5" s="1"/>
  <c r="D32" i="5" a="1"/>
  <c r="D32" i="5" s="1"/>
  <c r="D33" i="5" a="1"/>
  <c r="D33" i="5" s="1"/>
  <c r="D34" i="5" a="1"/>
  <c r="D34" i="5"/>
  <c r="D35" i="5" a="1"/>
  <c r="D35" i="5" s="1"/>
  <c r="D36" i="5" a="1"/>
  <c r="D36" i="5" s="1"/>
  <c r="D37" i="5" a="1"/>
  <c r="D37" i="5" s="1"/>
  <c r="D38" i="5" a="1"/>
  <c r="D38" i="5"/>
  <c r="D39" i="5" a="1"/>
  <c r="D39" i="5" s="1"/>
  <c r="AD3" i="5"/>
  <c r="AD11" i="5"/>
  <c r="AD19" i="5"/>
  <c r="AD27" i="5"/>
  <c r="AD35" i="5"/>
  <c r="AB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2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Z3" i="5"/>
  <c r="Z4" i="5"/>
  <c r="AD4" i="5" s="1"/>
  <c r="Z5" i="5"/>
  <c r="AD5" i="5" s="1"/>
  <c r="Z6" i="5"/>
  <c r="AD6" i="5" s="1"/>
  <c r="Z7" i="5"/>
  <c r="AD7" i="5" s="1"/>
  <c r="Z8" i="5"/>
  <c r="AD8" i="5" s="1"/>
  <c r="Z9" i="5"/>
  <c r="AD9" i="5" s="1"/>
  <c r="Z10" i="5"/>
  <c r="AD10" i="5" s="1"/>
  <c r="Z11" i="5"/>
  <c r="Z12" i="5"/>
  <c r="AD12" i="5" s="1"/>
  <c r="Z13" i="5"/>
  <c r="AD13" i="5" s="1"/>
  <c r="Z14" i="5"/>
  <c r="AD14" i="5" s="1"/>
  <c r="Z15" i="5"/>
  <c r="AD15" i="5" s="1"/>
  <c r="Z16" i="5"/>
  <c r="AD16" i="5" s="1"/>
  <c r="Z17" i="5"/>
  <c r="AD17" i="5" s="1"/>
  <c r="Z18" i="5"/>
  <c r="AD18" i="5" s="1"/>
  <c r="Z19" i="5"/>
  <c r="Z20" i="5"/>
  <c r="AD20" i="5" s="1"/>
  <c r="Z21" i="5"/>
  <c r="AD21" i="5" s="1"/>
  <c r="Z22" i="5"/>
  <c r="AD22" i="5" s="1"/>
  <c r="Z23" i="5"/>
  <c r="AD23" i="5" s="1"/>
  <c r="Z24" i="5"/>
  <c r="AD24" i="5" s="1"/>
  <c r="Z25" i="5"/>
  <c r="AD25" i="5" s="1"/>
  <c r="Z26" i="5"/>
  <c r="AD26" i="5" s="1"/>
  <c r="Z27" i="5"/>
  <c r="Z28" i="5"/>
  <c r="AD28" i="5" s="1"/>
  <c r="Z29" i="5"/>
  <c r="AD29" i="5" s="1"/>
  <c r="Z30" i="5"/>
  <c r="AD30" i="5" s="1"/>
  <c r="Z31" i="5"/>
  <c r="AD31" i="5" s="1"/>
  <c r="Z32" i="5"/>
  <c r="AD32" i="5" s="1"/>
  <c r="Z33" i="5"/>
  <c r="AD33" i="5" s="1"/>
  <c r="Z34" i="5"/>
  <c r="AD34" i="5" s="1"/>
  <c r="Z35" i="5"/>
  <c r="Z36" i="5"/>
  <c r="AD36" i="5" s="1"/>
  <c r="Z37" i="5"/>
  <c r="AD37" i="5" s="1"/>
  <c r="Z38" i="5"/>
  <c r="AD38" i="5" s="1"/>
  <c r="Z39" i="5"/>
  <c r="AD39" i="5" s="1"/>
  <c r="Z2" i="5"/>
  <c r="AD2" i="5" s="1"/>
  <c r="AA2" i="5"/>
  <c r="AL18" i="3"/>
  <c r="AL17" i="3"/>
  <c r="AK18" i="3"/>
  <c r="AK17" i="3"/>
  <c r="AJ18" i="3"/>
  <c r="AJ17" i="3"/>
  <c r="AK5" i="3"/>
  <c r="AL5" i="3"/>
  <c r="AQ14" i="3"/>
  <c r="AO14" i="3"/>
  <c r="AM14" i="3"/>
  <c r="AL4" i="3"/>
  <c r="AK4" i="3"/>
  <c r="AI14" i="3"/>
  <c r="AH18" i="3" s="1"/>
  <c r="AG14" i="3"/>
  <c r="AG18" i="3" s="1"/>
  <c r="AE14" i="3"/>
  <c r="AF17" i="3" s="1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E11" i="3"/>
  <c r="B6" i="7" l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C9" i="5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B3" i="5"/>
  <c r="B4" i="5" s="1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AH17" i="3"/>
  <c r="AF18" i="3"/>
  <c r="AG17" i="3"/>
  <c r="AK14" i="3"/>
  <c r="AI17" i="3" s="1"/>
  <c r="AI18" i="3" l="1"/>
  <c r="V13" i="3" l="1"/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2" i="4"/>
  <c r="Z7" i="3"/>
  <c r="AA7" i="3"/>
  <c r="AB7" i="3"/>
  <c r="Y7" i="3"/>
  <c r="G3" i="1" l="1"/>
  <c r="E3" i="1"/>
  <c r="F16" i="1"/>
  <c r="E16" i="1"/>
  <c r="M16" i="1"/>
  <c r="L16" i="1"/>
  <c r="K16" i="1"/>
  <c r="J16" i="1"/>
  <c r="D42" i="1"/>
  <c r="E42" i="1"/>
  <c r="L20" i="1"/>
  <c r="D15" i="1"/>
  <c r="L15" i="1" s="1"/>
  <c r="D17" i="1"/>
  <c r="L17" i="1" s="1"/>
  <c r="D18" i="1"/>
  <c r="I18" i="1" s="1"/>
  <c r="D19" i="1"/>
  <c r="I19" i="1" s="1"/>
  <c r="D20" i="1"/>
  <c r="I20" i="1" s="1"/>
  <c r="D14" i="1"/>
  <c r="L14" i="1" s="1"/>
  <c r="D9" i="1"/>
  <c r="I9" i="1" s="1"/>
  <c r="D10" i="1"/>
  <c r="I10" i="1" s="1"/>
  <c r="D11" i="1"/>
  <c r="I11" i="1" s="1"/>
  <c r="D12" i="1"/>
  <c r="I12" i="1" s="1"/>
  <c r="L13" i="1"/>
  <c r="D8" i="1"/>
  <c r="I8" i="1" s="1"/>
  <c r="C30" i="1"/>
  <c r="C31" i="1"/>
  <c r="C41" i="1"/>
  <c r="B40" i="1"/>
  <c r="B41" i="1" s="1"/>
  <c r="B42" i="1" s="1"/>
  <c r="B39" i="1"/>
  <c r="B37" i="1"/>
  <c r="B38" i="1"/>
  <c r="B36" i="1"/>
  <c r="C35" i="1"/>
  <c r="C28" i="1"/>
  <c r="C29" i="1"/>
  <c r="C32" i="1"/>
  <c r="E2" i="1"/>
  <c r="G2" i="1" s="1"/>
  <c r="L11" i="1" l="1"/>
  <c r="M11" i="1" s="1"/>
  <c r="L8" i="1"/>
  <c r="L12" i="1"/>
  <c r="M12" i="1" s="1"/>
  <c r="E12" i="1" s="1"/>
  <c r="I15" i="1"/>
  <c r="J15" i="1" s="1"/>
  <c r="J8" i="1"/>
  <c r="J19" i="1"/>
  <c r="J18" i="1"/>
  <c r="J12" i="1"/>
  <c r="M17" i="1"/>
  <c r="E17" i="1" s="1"/>
  <c r="J11" i="1"/>
  <c r="M15" i="1"/>
  <c r="E15" i="1" s="1"/>
  <c r="J20" i="1"/>
  <c r="K20" i="1" s="1"/>
  <c r="J10" i="1"/>
  <c r="J9" i="1"/>
  <c r="I17" i="1"/>
  <c r="D31" i="1"/>
  <c r="L19" i="1"/>
  <c r="M19" i="1" s="1"/>
  <c r="L10" i="1"/>
  <c r="M10" i="1" s="1"/>
  <c r="M14" i="1"/>
  <c r="E14" i="1" s="1"/>
  <c r="I14" i="1"/>
  <c r="L18" i="1"/>
  <c r="M18" i="1" s="1"/>
  <c r="L9" i="1"/>
  <c r="M13" i="1"/>
  <c r="E13" i="1" s="1"/>
  <c r="I13" i="1"/>
  <c r="M20" i="1"/>
  <c r="E20" i="1" s="1"/>
  <c r="D30" i="1"/>
  <c r="D29" i="1"/>
  <c r="D28" i="1"/>
  <c r="E41" i="1"/>
  <c r="E35" i="1"/>
  <c r="D36" i="1"/>
  <c r="E40" i="1"/>
  <c r="D37" i="1"/>
  <c r="D38" i="1"/>
  <c r="E36" i="1"/>
  <c r="D39" i="1"/>
  <c r="D32" i="1"/>
  <c r="D41" i="1"/>
  <c r="E37" i="1"/>
  <c r="D35" i="1"/>
  <c r="E38" i="1"/>
  <c r="E39" i="1"/>
  <c r="D40" i="1"/>
  <c r="E8" i="1" l="1"/>
  <c r="E11" i="1"/>
  <c r="M8" i="1"/>
  <c r="F20" i="1"/>
  <c r="K15" i="1"/>
  <c r="F15" i="1"/>
  <c r="K9" i="1"/>
  <c r="F9" i="1"/>
  <c r="K10" i="1"/>
  <c r="F10" i="1" s="1"/>
  <c r="K12" i="1"/>
  <c r="F12" i="1" s="1"/>
  <c r="K18" i="1"/>
  <c r="F18" i="1" s="1"/>
  <c r="K8" i="1"/>
  <c r="F8" i="1"/>
  <c r="K11" i="1"/>
  <c r="F11" i="1" s="1"/>
  <c r="K19" i="1"/>
  <c r="F19" i="1"/>
  <c r="J17" i="1"/>
  <c r="E18" i="1"/>
  <c r="J14" i="1"/>
  <c r="E10" i="1"/>
  <c r="E19" i="1"/>
  <c r="M9" i="1"/>
  <c r="E9" i="1" s="1"/>
  <c r="J13" i="1"/>
  <c r="K13" i="1" l="1"/>
  <c r="F13" i="1" s="1"/>
  <c r="K14" i="1"/>
  <c r="F14" i="1"/>
  <c r="K17" i="1"/>
  <c r="F1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<sst xmlns="http://schemas.openxmlformats.org/spreadsheetml/2006/main" count="2199" uniqueCount="428">
  <si>
    <t>Denise Coates</t>
  </si>
  <si>
    <t>Salary</t>
  </si>
  <si>
    <t>Dividens</t>
  </si>
  <si>
    <t>Pounds C</t>
  </si>
  <si>
    <t>Dollars</t>
  </si>
  <si>
    <t>MXN</t>
  </si>
  <si>
    <t>Pesos C</t>
  </si>
  <si>
    <t>Estafa Maestra</t>
  </si>
  <si>
    <t>Top Players</t>
  </si>
  <si>
    <t>Lionel Messi</t>
  </si>
  <si>
    <t>Cristiano Ronaldo</t>
  </si>
  <si>
    <t>Top Ten</t>
  </si>
  <si>
    <t>Coates</t>
  </si>
  <si>
    <t>Concepto</t>
  </si>
  <si>
    <t>Neymar, Mbappé, Salah, etcétera</t>
  </si>
  <si>
    <t>Presupuesto SEP</t>
  </si>
  <si>
    <t>Presupuesto Salud</t>
  </si>
  <si>
    <t>Tren Maya</t>
  </si>
  <si>
    <t>Estela de Luz</t>
  </si>
  <si>
    <t>Coates #Veces</t>
  </si>
  <si>
    <t>Coates en años</t>
  </si>
  <si>
    <t>Javier Duarte</t>
  </si>
  <si>
    <t>Javier Duarte por año</t>
  </si>
  <si>
    <t>Entre 2010 y 2016</t>
  </si>
  <si>
    <t>Neymar Jr.</t>
  </si>
  <si>
    <t>Kylian Mbappé</t>
  </si>
  <si>
    <t>YEAR 2020</t>
  </si>
  <si>
    <t>Denise Coates %</t>
  </si>
  <si>
    <t>Top Ten Football Players</t>
  </si>
  <si>
    <t>Days</t>
  </si>
  <si>
    <t>Years</t>
  </si>
  <si>
    <t>Denise Coates in years</t>
  </si>
  <si>
    <t>Denise Coates equivalence in time</t>
  </si>
  <si>
    <t>Time Denise Coates needs to work to match</t>
  </si>
  <si>
    <t>Javier Duarte per year (2010-2015)</t>
  </si>
  <si>
    <t>Presupuesto en Cultura</t>
  </si>
  <si>
    <t>Presupuesto en Cultura de México</t>
  </si>
  <si>
    <t>Presupuesto en Salud de México</t>
  </si>
  <si>
    <t>Presupuesto Educación de México</t>
  </si>
  <si>
    <t>Denise Coates, Bet365 CEO Salary in 2020 (Mexican Currency)</t>
  </si>
  <si>
    <t>08/07/2020</t>
  </si>
  <si>
    <t>Fiorentina</t>
  </si>
  <si>
    <t>Cagliari</t>
  </si>
  <si>
    <t>17/03/2013</t>
  </si>
  <si>
    <t>Stuttgart</t>
  </si>
  <si>
    <t>02/09/2012</t>
  </si>
  <si>
    <t>Inter</t>
  </si>
  <si>
    <t>Roma</t>
  </si>
  <si>
    <t>01/12/2017</t>
  </si>
  <si>
    <t>Napoli</t>
  </si>
  <si>
    <t>Juventus</t>
  </si>
  <si>
    <t>29/12/2019</t>
  </si>
  <si>
    <t>Celtic</t>
  </si>
  <si>
    <t>Rangers</t>
  </si>
  <si>
    <t>12/05/2021</t>
  </si>
  <si>
    <t>Olympiakos</t>
  </si>
  <si>
    <t>PAOK</t>
  </si>
  <si>
    <t>Liverpool</t>
  </si>
  <si>
    <t>12/09/2015</t>
  </si>
  <si>
    <t>02/03/2016</t>
  </si>
  <si>
    <t>Newcastle</t>
  </si>
  <si>
    <t>19/03/2017</t>
  </si>
  <si>
    <t>18/08/2018</t>
  </si>
  <si>
    <t>Leicester</t>
  </si>
  <si>
    <t>Wolves</t>
  </si>
  <si>
    <t>02/11/2018</t>
  </si>
  <si>
    <t>Galatasaray</t>
  </si>
  <si>
    <t>Fenerbahce</t>
  </si>
  <si>
    <t>Betis</t>
  </si>
  <si>
    <t>Getafe</t>
  </si>
  <si>
    <t>01/06/2013</t>
  </si>
  <si>
    <t>Granada</t>
  </si>
  <si>
    <t>20/04/2014</t>
  </si>
  <si>
    <t>29/09/2018</t>
  </si>
  <si>
    <t>Real Madrid</t>
  </si>
  <si>
    <t>Marseille</t>
  </si>
  <si>
    <t>17/10/2020</t>
  </si>
  <si>
    <t>Bordeaux</t>
  </si>
  <si>
    <t>25/04/2021</t>
  </si>
  <si>
    <t>Lyon</t>
  </si>
  <si>
    <t>Lille</t>
  </si>
  <si>
    <t>Fecha</t>
  </si>
  <si>
    <t>Local</t>
  </si>
  <si>
    <t>Visitante</t>
  </si>
  <si>
    <t>Eintracht Frankfurt</t>
  </si>
  <si>
    <t>Rayo Vallecano</t>
  </si>
  <si>
    <t>Manchester City</t>
  </si>
  <si>
    <t>Manchester United</t>
  </si>
  <si>
    <t>Atlético de Madrid</t>
  </si>
  <si>
    <t>Stoke City</t>
  </si>
  <si>
    <t>Cruz Azul</t>
  </si>
  <si>
    <t>Tigres</t>
  </si>
  <si>
    <t>Atlas</t>
  </si>
  <si>
    <t>Monterrey</t>
  </si>
  <si>
    <t>Liga</t>
  </si>
  <si>
    <t>Scottish Premier League</t>
  </si>
  <si>
    <t>Serie A</t>
  </si>
  <si>
    <t>English Premier League</t>
  </si>
  <si>
    <t>Bundesliga</t>
  </si>
  <si>
    <t>Super League 1</t>
  </si>
  <si>
    <t>Ligue 1</t>
  </si>
  <si>
    <t>Liga MX</t>
  </si>
  <si>
    <t>Süper Lig</t>
  </si>
  <si>
    <t>LaLiga</t>
  </si>
  <si>
    <t>Primeira Liga</t>
  </si>
  <si>
    <t>Sporting Lisboa</t>
  </si>
  <si>
    <t>Sporting Braga</t>
  </si>
  <si>
    <t>Birmingham</t>
  </si>
  <si>
    <t>Nottingham Forest</t>
  </si>
  <si>
    <t>Championship</t>
  </si>
  <si>
    <t>Escenario</t>
  </si>
  <si>
    <t>Local 48%</t>
  </si>
  <si>
    <t>Goles Local</t>
  </si>
  <si>
    <t>Goles Visitante</t>
  </si>
  <si>
    <t>Disparos del Local</t>
  </si>
  <si>
    <t>Disparos del Visitante</t>
  </si>
  <si>
    <t>Disparos a puerta del Local</t>
  </si>
  <si>
    <t>Disparos a puerta del Visitante</t>
  </si>
  <si>
    <t>Faltas del Local</t>
  </si>
  <si>
    <t>Faltas del Visitante</t>
  </si>
  <si>
    <t>Tarjetas Amarillas del Visitante</t>
  </si>
  <si>
    <t>Tarjetas Rojas del Local</t>
  </si>
  <si>
    <t>Tarjetas Rojas del Visitante</t>
  </si>
  <si>
    <t>Tarjetas Amarillas del Local</t>
  </si>
  <si>
    <t>Disparos desviados del Local</t>
  </si>
  <si>
    <t>Disparos desviados del Visitante</t>
  </si>
  <si>
    <t>Puntos Local</t>
  </si>
  <si>
    <t>Puntos Visitante</t>
  </si>
  <si>
    <t>Local 58%</t>
  </si>
  <si>
    <t>Local 38%</t>
  </si>
  <si>
    <t>TOTALES</t>
  </si>
  <si>
    <t>OddA</t>
  </si>
  <si>
    <t>ProbH</t>
  </si>
  <si>
    <t>ProbD</t>
  </si>
  <si>
    <t>ProbA</t>
  </si>
  <si>
    <t>Puntos Esperados del Local</t>
  </si>
  <si>
    <t>Puntos Esperados del Visitante</t>
  </si>
  <si>
    <t>Goles Esperados por el Local</t>
  </si>
  <si>
    <t>Goles Esperados por el Visitante</t>
  </si>
  <si>
    <t>Total</t>
  </si>
  <si>
    <t>Goles Totales</t>
  </si>
  <si>
    <t>Disparos Totales</t>
  </si>
  <si>
    <t>Disparos a puerta totales</t>
  </si>
  <si>
    <t>Disparos desviados totales</t>
  </si>
  <si>
    <t>Faltas local</t>
  </si>
  <si>
    <t>Tarjetas amarillas</t>
  </si>
  <si>
    <t>Tarjetas rojas</t>
  </si>
  <si>
    <t>Barcelona</t>
  </si>
  <si>
    <t>Goles</t>
  </si>
  <si>
    <t>Disparos</t>
  </si>
  <si>
    <t>Disparos a puerta</t>
  </si>
  <si>
    <t>Disparos fallados</t>
  </si>
  <si>
    <t>Disparos desviados</t>
  </si>
  <si>
    <t>Faltas</t>
  </si>
  <si>
    <t>Tarjetas Amarilas</t>
  </si>
  <si>
    <t>Tarjetas Rojas</t>
  </si>
  <si>
    <t>Escenario 48%</t>
  </si>
  <si>
    <t>J01</t>
  </si>
  <si>
    <t>Puntos Obtenidos</t>
  </si>
  <si>
    <t>Puntos Esperados</t>
  </si>
  <si>
    <t>Season</t>
  </si>
  <si>
    <t>Div</t>
  </si>
  <si>
    <t>Date</t>
  </si>
  <si>
    <t>HomeTeam</t>
  </si>
  <si>
    <t>AwayTeam</t>
  </si>
  <si>
    <t>FTHG</t>
  </si>
  <si>
    <t>FTAG</t>
  </si>
  <si>
    <t>FTR</t>
  </si>
  <si>
    <t>2015-2016</t>
  </si>
  <si>
    <t>E0</t>
  </si>
  <si>
    <t>29/12/2015</t>
  </si>
  <si>
    <t>Man City</t>
  </si>
  <si>
    <t>D</t>
  </si>
  <si>
    <t>24/10/2015</t>
  </si>
  <si>
    <t>Crystal Palace</t>
  </si>
  <si>
    <t>H</t>
  </si>
  <si>
    <t>03/04/2016</t>
  </si>
  <si>
    <t>Southampton</t>
  </si>
  <si>
    <t>26/09/2015</t>
  </si>
  <si>
    <t>Arsenal</t>
  </si>
  <si>
    <t>A</t>
  </si>
  <si>
    <t>27/02/2016</t>
  </si>
  <si>
    <t>Norwich</t>
  </si>
  <si>
    <t>23/01/2016</t>
  </si>
  <si>
    <t>Stoke</t>
  </si>
  <si>
    <t>28/11/2015</t>
  </si>
  <si>
    <t>Man United</t>
  </si>
  <si>
    <t>14/12/2015</t>
  </si>
  <si>
    <t>Chelsea</t>
  </si>
  <si>
    <t>01/03/2016</t>
  </si>
  <si>
    <t>West Brom</t>
  </si>
  <si>
    <t>24/04/2016</t>
  </si>
  <si>
    <t>Swansea</t>
  </si>
  <si>
    <t>14/03/2016</t>
  </si>
  <si>
    <t>08/08/2015</t>
  </si>
  <si>
    <t>Sunderland</t>
  </si>
  <si>
    <t>17/04/2016</t>
  </si>
  <si>
    <t>West Ham</t>
  </si>
  <si>
    <t>13/09/2015</t>
  </si>
  <si>
    <t>Aston Villa</t>
  </si>
  <si>
    <t>07/11/2015</t>
  </si>
  <si>
    <t>Watford</t>
  </si>
  <si>
    <t>02/01/2016</t>
  </si>
  <si>
    <t>Bournemouth</t>
  </si>
  <si>
    <t>07/05/2016</t>
  </si>
  <si>
    <t>Everton</t>
  </si>
  <si>
    <t>22/08/2015</t>
  </si>
  <si>
    <t>Tottenham</t>
  </si>
  <si>
    <t>02/02/2016</t>
  </si>
  <si>
    <t>19/09/2015</t>
  </si>
  <si>
    <t>15/08/2015</t>
  </si>
  <si>
    <t>29/08/2015</t>
  </si>
  <si>
    <t>05/03/2016</t>
  </si>
  <si>
    <t>19/03/2016</t>
  </si>
  <si>
    <t>03/10/2015</t>
  </si>
  <si>
    <t>15/05/2016</t>
  </si>
  <si>
    <t>19/12/2015</t>
  </si>
  <si>
    <t>01/05/2016</t>
  </si>
  <si>
    <t>16/01/2016</t>
  </si>
  <si>
    <t>10/04/2016</t>
  </si>
  <si>
    <t>06/02/2016</t>
  </si>
  <si>
    <t>17/10/2015</t>
  </si>
  <si>
    <t>13/01/2016</t>
  </si>
  <si>
    <t>14/02/2016</t>
  </si>
  <si>
    <t>31/10/2015</t>
  </si>
  <si>
    <t>21/11/2015</t>
  </si>
  <si>
    <t>26/12/2015</t>
  </si>
  <si>
    <t>05/12/2015</t>
  </si>
  <si>
    <t>Día</t>
  </si>
  <si>
    <t>Mes</t>
  </si>
  <si>
    <t>Año</t>
  </si>
  <si>
    <t>Day</t>
  </si>
  <si>
    <t>Month</t>
  </si>
  <si>
    <t>Year</t>
  </si>
  <si>
    <t>Puntos de Jornada</t>
  </si>
  <si>
    <t>J02</t>
  </si>
  <si>
    <t>J03</t>
  </si>
  <si>
    <t>J04</t>
  </si>
  <si>
    <t>J05</t>
  </si>
  <si>
    <t>J06</t>
  </si>
  <si>
    <t>J07</t>
  </si>
  <si>
    <t>J08</t>
  </si>
  <si>
    <t>J09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</si>
  <si>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</si>
  <si>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</si>
  <si>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</si>
  <si>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</si>
  <si>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</si>
  <si>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</si>
  <si>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</si>
  <si>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</si>
  <si>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</si>
  <si>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</si>
  <si>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</si>
  <si>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</si>
  <si>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</si>
  <si>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</si>
  <si>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</si>
  <si>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</si>
  <si>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</si>
  <si>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</si>
  <si>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</si>
  <si>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</si>
  <si>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</si>
  <si>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</si>
  <si>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</si>
  <si>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</si>
  <si>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</si>
  <si>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</si>
  <si>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</si>
  <si>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</si>
  <si>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</si>
  <si>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xPTS de jornada</t>
  </si>
  <si>
    <t>J01-J02</t>
  </si>
  <si>
    <t>Ratio</t>
  </si>
  <si>
    <t>J01-J03</t>
  </si>
  <si>
    <t>J01-J04</t>
  </si>
  <si>
    <t>J01-J05</t>
  </si>
  <si>
    <t>J01-J06</t>
  </si>
  <si>
    <t>J01-J07</t>
  </si>
  <si>
    <t>J01-J08</t>
  </si>
  <si>
    <t>J01-J09</t>
  </si>
  <si>
    <t>J01-J10</t>
  </si>
  <si>
    <t>J01-J11</t>
  </si>
  <si>
    <t>J01-J12</t>
  </si>
  <si>
    <t>J01-J13</t>
  </si>
  <si>
    <t>J01-J14</t>
  </si>
  <si>
    <t>J01-J15</t>
  </si>
  <si>
    <t>J01-J17</t>
  </si>
  <si>
    <t>J01-J18</t>
  </si>
  <si>
    <t>J01-J19</t>
  </si>
  <si>
    <t>J01-J20</t>
  </si>
  <si>
    <t>J01-J21</t>
  </si>
  <si>
    <t>J01-J22</t>
  </si>
  <si>
    <t>J01-J23</t>
  </si>
  <si>
    <t>J01-J24</t>
  </si>
  <si>
    <t>J01-J25</t>
  </si>
  <si>
    <t>J01-J26</t>
  </si>
  <si>
    <t>J01-J27</t>
  </si>
  <si>
    <t>J01-J28</t>
  </si>
  <si>
    <t>J01-J29</t>
  </si>
  <si>
    <t>J01-J30</t>
  </si>
  <si>
    <t>J01-J32</t>
  </si>
  <si>
    <t>J01-J33</t>
  </si>
  <si>
    <t>J01-J34</t>
  </si>
  <si>
    <t>J01-J35</t>
  </si>
  <si>
    <t>J01-J36</t>
  </si>
  <si>
    <t>J01-J37</t>
  </si>
  <si>
    <t>J01-J38</t>
  </si>
  <si>
    <t>J01-J31</t>
  </si>
  <si>
    <t>J01-J16</t>
  </si>
  <si>
    <t>2020-2021</t>
  </si>
  <si>
    <t>SP1</t>
  </si>
  <si>
    <t>Ath Madrid</t>
  </si>
  <si>
    <t>Villarreal</t>
  </si>
  <si>
    <t>Celta</t>
  </si>
  <si>
    <t>Sociedad</t>
  </si>
  <si>
    <t>Sevilla</t>
  </si>
  <si>
    <t>Osasuna</t>
  </si>
  <si>
    <t>Alaves</t>
  </si>
  <si>
    <t>Huesca</t>
  </si>
  <si>
    <t>Cadiz</t>
  </si>
  <si>
    <t>Valladolid</t>
  </si>
  <si>
    <t>Valencia</t>
  </si>
  <si>
    <t>Eibar</t>
  </si>
  <si>
    <t>Levante</t>
  </si>
  <si>
    <t>Elche</t>
  </si>
  <si>
    <t>Ath Bilbao</t>
  </si>
  <si>
    <t>Player</t>
  </si>
  <si>
    <t>Monty</t>
  </si>
  <si>
    <t>Chances</t>
  </si>
  <si>
    <t>Box 1</t>
  </si>
  <si>
    <t>Box 2</t>
  </si>
  <si>
    <t>Boxes</t>
  </si>
  <si>
    <t>Desempeño</t>
  </si>
  <si>
    <t>León o Empate</t>
  </si>
  <si>
    <t>Chivas o Empate</t>
  </si>
  <si>
    <t>León o Chivas</t>
  </si>
  <si>
    <t>León</t>
  </si>
  <si>
    <t>Empate</t>
  </si>
  <si>
    <t>Chivas</t>
  </si>
  <si>
    <t>Margin</t>
  </si>
  <si>
    <t>Momios</t>
  </si>
  <si>
    <t>León or Draw</t>
  </si>
  <si>
    <t>Draw?</t>
  </si>
  <si>
    <t>P(León)</t>
  </si>
  <si>
    <t>P(Colo Colo or Draw)</t>
  </si>
  <si>
    <t>P(Colo Colo or Audax Italiano)</t>
  </si>
  <si>
    <t>P(Draw or Audax Italiano)</t>
  </si>
  <si>
    <t>Colo Colo</t>
  </si>
  <si>
    <t>Draw</t>
  </si>
  <si>
    <t>Audax Italiano</t>
  </si>
  <si>
    <t>Montreal</t>
  </si>
  <si>
    <t>Santos Laguna</t>
  </si>
  <si>
    <t>X or Santos</t>
  </si>
  <si>
    <t>Montreal or X</t>
  </si>
  <si>
    <t>Montreal or Santos</t>
  </si>
  <si>
    <t>a) Jan or Feb</t>
  </si>
  <si>
    <t>b) march or aries</t>
  </si>
  <si>
    <t>march</t>
  </si>
  <si>
    <t>aries</t>
  </si>
  <si>
    <t>11 días en marzo</t>
  </si>
  <si>
    <t>20 días abril</t>
  </si>
  <si>
    <t>c) Leo, Virgo or July</t>
  </si>
  <si>
    <t>Abril</t>
  </si>
  <si>
    <t>Mayo</t>
  </si>
  <si>
    <t>Junio</t>
  </si>
  <si>
    <t>Julio</t>
  </si>
  <si>
    <t>Marzo</t>
  </si>
  <si>
    <t>d) Cancer, Gemini or Spring</t>
  </si>
  <si>
    <t>Fight wont start 5</t>
  </si>
  <si>
    <t>Fight starts 5</t>
  </si>
  <si>
    <t>Napoli or X</t>
  </si>
  <si>
    <t>X or Barcelona</t>
  </si>
  <si>
    <t>Napoli or Barcelona</t>
  </si>
  <si>
    <t>X</t>
  </si>
  <si>
    <t>Indepen or X</t>
  </si>
  <si>
    <t>X or Boca</t>
  </si>
  <si>
    <t>Indepen or Boca</t>
  </si>
  <si>
    <t>Indepen</t>
  </si>
  <si>
    <t>Boca</t>
  </si>
  <si>
    <t>OddD</t>
  </si>
  <si>
    <t>OddH</t>
  </si>
  <si>
    <t>Puntos</t>
  </si>
  <si>
    <t>Equipo</t>
  </si>
  <si>
    <t>Athletic Bilbao</t>
  </si>
  <si>
    <t>Real Betis</t>
  </si>
  <si>
    <t>Atletico de Madrid</t>
  </si>
  <si>
    <t>No.</t>
  </si>
  <si>
    <t>Real Sociedad</t>
  </si>
  <si>
    <t>Performance</t>
  </si>
  <si>
    <t>Once Caldas</t>
  </si>
  <si>
    <t>Deportes Tolima</t>
  </si>
  <si>
    <t>X=Number of points</t>
  </si>
  <si>
    <t>P(Number of points)</t>
  </si>
  <si>
    <t>E(Points)</t>
  </si>
  <si>
    <t>Var(Points)</t>
  </si>
  <si>
    <t>STD(Points)</t>
  </si>
  <si>
    <t>X=Prize</t>
  </si>
  <si>
    <t>P(Prize)</t>
  </si>
  <si>
    <t>Talleres</t>
  </si>
  <si>
    <t>Godoy Cruz</t>
  </si>
  <si>
    <t>Talleres or X</t>
  </si>
  <si>
    <t>Godoy or X</t>
  </si>
  <si>
    <t>X=scored</t>
  </si>
  <si>
    <t>P(Scored)</t>
  </si>
  <si>
    <t>Mallorca</t>
  </si>
  <si>
    <t>X=Points</t>
  </si>
  <si>
    <t>P(X)</t>
  </si>
  <si>
    <t>Lazio or X</t>
  </si>
  <si>
    <t>Venezia or X</t>
  </si>
  <si>
    <t>Lazio</t>
  </si>
  <si>
    <t>Venezia</t>
  </si>
  <si>
    <t>ManU or X</t>
  </si>
  <si>
    <t>AtMad or X</t>
  </si>
  <si>
    <t>ManU</t>
  </si>
  <si>
    <t>AtMad</t>
  </si>
  <si>
    <t>Medellín</t>
  </si>
  <si>
    <t>Millonarios</t>
  </si>
  <si>
    <t>Millonarios or X</t>
  </si>
  <si>
    <t>Medellín or X</t>
  </si>
  <si>
    <t>Millonarios or Medellín</t>
  </si>
  <si>
    <t>Inter or X</t>
  </si>
  <si>
    <t>Turkey</t>
  </si>
  <si>
    <t>Portugal</t>
  </si>
  <si>
    <t>Portugal or X</t>
  </si>
  <si>
    <t>X or Turkey</t>
  </si>
  <si>
    <t>No draw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</si>
</sst>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0.000"/>
    <numFmt numFmtId="166" formatCode="yyyy\-mm\-dd;@"/>
    <numFmt numFmtId="167" formatCode="0.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name val="Calibri"/>
      <family val="2"/>
    </font>
    <font>
      <b/>
      <sz val="11"/>
      <color rgb="FF0070C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2"/>
      <color theme="3"/>
      <name val="Calibri"/>
      <family val="2"/>
      <scheme val="minor"/>
    </font>
    <font>
      <b/>
      <sz val="14"/>
      <color theme="3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CF4FA"/>
        <bgColor indexed="64"/>
      </patternFill>
    </fill>
    <fill>
      <patternFill patternType="solid">
        <fgColor rgb="FFFEEBE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2" borderId="2" applyNumberFormat="0" applyAlignment="0" applyProtection="0"/>
    <xf numFmtId="0" fontId="4" fillId="3" borderId="3" applyNumberFormat="0" applyAlignment="0" applyProtection="0"/>
    <xf numFmtId="0" fontId="5" fillId="0" borderId="4" applyNumberFormat="0" applyFill="0" applyAlignment="0" applyProtection="0"/>
    <xf numFmtId="0" fontId="18" fillId="2" borderId="10" applyNumberFormat="0" applyAlignment="0" applyProtection="0"/>
    <xf numFmtId="43" fontId="1" fillId="0" borderId="0" applyFont="0" applyFill="0" applyBorder="0" applyAlignment="0" applyProtection="0"/>
  </cellStyleXfs>
  <cellXfs count="99">
    <xf numFmtId="0" fontId="0" fillId="0" borderId="0" xfId="0"/>
    <xf numFmtId="44" fontId="0" fillId="0" borderId="0" xfId="1" applyFont="1"/>
    <xf numFmtId="44" fontId="0" fillId="0" borderId="0" xfId="0" applyNumberFormat="1"/>
    <xf numFmtId="9" fontId="0" fillId="0" borderId="0" xfId="2" applyFont="1"/>
    <xf numFmtId="44" fontId="3" fillId="2" borderId="2" xfId="4" applyNumberFormat="1"/>
    <xf numFmtId="9" fontId="3" fillId="2" borderId="2" xfId="2" applyFont="1" applyFill="1" applyBorder="1" applyAlignment="1">
      <alignment horizontal="center" vertical="center"/>
    </xf>
    <xf numFmtId="0" fontId="4" fillId="5" borderId="3" xfId="5" applyFill="1" applyAlignment="1">
      <alignment horizontal="center"/>
    </xf>
    <xf numFmtId="9" fontId="3" fillId="2" borderId="2" xfId="4" applyNumberFormat="1" applyAlignment="1">
      <alignment horizontal="center" vertical="center"/>
    </xf>
    <xf numFmtId="2" fontId="3" fillId="2" borderId="2" xfId="4" applyNumberFormat="1" applyAlignment="1">
      <alignment horizontal="center" vertical="center"/>
    </xf>
    <xf numFmtId="164" fontId="3" fillId="2" borderId="2" xfId="4" applyNumberFormat="1" applyAlignment="1">
      <alignment horizontal="center" vertical="center"/>
    </xf>
    <xf numFmtId="164" fontId="3" fillId="2" borderId="2" xfId="4" applyNumberFormat="1" applyAlignment="1">
      <alignment horizontal="center"/>
    </xf>
    <xf numFmtId="1" fontId="0" fillId="0" borderId="0" xfId="0" applyNumberFormat="1"/>
    <xf numFmtId="0" fontId="4" fillId="5" borderId="0" xfId="5" applyFill="1" applyBorder="1" applyAlignment="1">
      <alignment horizontal="center"/>
    </xf>
    <xf numFmtId="0" fontId="3" fillId="2" borderId="2" xfId="4" applyAlignment="1">
      <alignment horizontal="center" vertical="center"/>
    </xf>
    <xf numFmtId="0" fontId="4" fillId="4" borderId="3" xfId="5" applyFill="1" applyAlignment="1">
      <alignment horizontal="center" vertical="center" wrapText="1"/>
    </xf>
    <xf numFmtId="0" fontId="4" fillId="5" borderId="3" xfId="5" applyFill="1" applyAlignment="1">
      <alignment horizontal="center" vertical="center" wrapText="1"/>
    </xf>
    <xf numFmtId="0" fontId="4" fillId="5" borderId="5" xfId="5" applyFill="1" applyBorder="1" applyAlignment="1">
      <alignment horizontal="center" vertical="center" wrapText="1"/>
    </xf>
    <xf numFmtId="0" fontId="4" fillId="6" borderId="0" xfId="0" applyFont="1" applyFill="1"/>
    <xf numFmtId="44" fontId="4" fillId="4" borderId="3" xfId="5" applyNumberFormat="1" applyFill="1" applyAlignment="1">
      <alignment horizontal="center" vertical="center"/>
    </xf>
    <xf numFmtId="0" fontId="4" fillId="5" borderId="3" xfId="5" applyFont="1" applyFill="1" applyAlignment="1">
      <alignment horizontal="center"/>
    </xf>
    <xf numFmtId="0" fontId="7" fillId="5" borderId="3" xfId="5" applyFont="1" applyFill="1" applyAlignment="1">
      <alignment horizontal="center" vertical="center"/>
    </xf>
    <xf numFmtId="0" fontId="3" fillId="7" borderId="2" xfId="4" applyFill="1" applyAlignment="1">
      <alignment horizontal="center" vertical="center"/>
    </xf>
    <xf numFmtId="14" fontId="3" fillId="7" borderId="2" xfId="4" applyNumberFormat="1" applyFill="1"/>
    <xf numFmtId="14" fontId="3" fillId="7" borderId="2" xfId="4" applyNumberFormat="1" applyFill="1" applyAlignment="1">
      <alignment horizontal="center" vertical="center"/>
    </xf>
    <xf numFmtId="14" fontId="3" fillId="7" borderId="2" xfId="4" applyNumberFormat="1" applyFill="1" applyAlignment="1">
      <alignment horizontal="center"/>
    </xf>
    <xf numFmtId="0" fontId="0" fillId="0" borderId="0" xfId="0" applyAlignment="1">
      <alignment horizontal="center" vertical="center" wrapText="1"/>
    </xf>
    <xf numFmtId="0" fontId="2" fillId="8" borderId="1" xfId="3" applyFill="1" applyAlignment="1">
      <alignment horizontal="center" vertical="center" wrapText="1"/>
    </xf>
    <xf numFmtId="0" fontId="2" fillId="11" borderId="1" xfId="3" applyFill="1" applyAlignment="1">
      <alignment horizontal="center" vertical="center" wrapText="1"/>
    </xf>
    <xf numFmtId="0" fontId="8" fillId="0" borderId="4" xfId="6" applyFont="1" applyAlignment="1">
      <alignment horizontal="center" vertical="center" wrapText="1"/>
    </xf>
    <xf numFmtId="0" fontId="9" fillId="0" borderId="1" xfId="3" applyFont="1" applyAlignment="1">
      <alignment horizontal="center" vertical="center" wrapText="1"/>
    </xf>
    <xf numFmtId="0" fontId="9" fillId="0" borderId="0" xfId="3" applyFont="1" applyBorder="1" applyAlignment="1">
      <alignment horizontal="center" vertical="center" wrapText="1"/>
    </xf>
    <xf numFmtId="0" fontId="2" fillId="8" borderId="0" xfId="3" applyFill="1" applyBorder="1" applyAlignment="1">
      <alignment horizontal="center" vertical="center" wrapText="1"/>
    </xf>
    <xf numFmtId="0" fontId="2" fillId="11" borderId="0" xfId="3" applyFill="1" applyBorder="1" applyAlignment="1">
      <alignment horizontal="center" vertical="center" wrapText="1"/>
    </xf>
    <xf numFmtId="0" fontId="8" fillId="2" borderId="0" xfId="4" applyFont="1" applyBorder="1" applyAlignment="1">
      <alignment horizontal="center" vertical="center" wrapText="1"/>
    </xf>
    <xf numFmtId="164" fontId="3" fillId="9" borderId="0" xfId="4" applyNumberFormat="1" applyFill="1" applyBorder="1" applyAlignment="1">
      <alignment horizontal="center" vertical="center" wrapText="1"/>
    </xf>
    <xf numFmtId="164" fontId="3" fillId="10" borderId="0" xfId="4" applyNumberFormat="1" applyFill="1" applyBorder="1" applyAlignment="1">
      <alignment horizontal="center" vertical="center" wrapText="1"/>
    </xf>
    <xf numFmtId="0" fontId="8" fillId="2" borderId="6" xfId="4" applyFont="1" applyBorder="1" applyAlignment="1">
      <alignment horizontal="center" vertical="center" wrapText="1"/>
    </xf>
    <xf numFmtId="164" fontId="3" fillId="9" borderId="6" xfId="4" applyNumberFormat="1" applyFill="1" applyBorder="1" applyAlignment="1">
      <alignment horizontal="center" vertical="center" wrapText="1"/>
    </xf>
    <xf numFmtId="164" fontId="3" fillId="10" borderId="6" xfId="4" applyNumberFormat="1" applyFill="1" applyBorder="1" applyAlignment="1">
      <alignment horizontal="center" vertical="center" wrapText="1"/>
    </xf>
    <xf numFmtId="0" fontId="8" fillId="2" borderId="7" xfId="4" applyFont="1" applyBorder="1" applyAlignment="1">
      <alignment horizontal="center" vertical="center" wrapText="1"/>
    </xf>
    <xf numFmtId="164" fontId="3" fillId="9" borderId="7" xfId="4" applyNumberFormat="1" applyFill="1" applyBorder="1" applyAlignment="1">
      <alignment horizontal="center" vertical="center" wrapText="1"/>
    </xf>
    <xf numFmtId="164" fontId="3" fillId="10" borderId="7" xfId="4" applyNumberFormat="1" applyFill="1" applyBorder="1" applyAlignment="1">
      <alignment horizontal="center" vertical="center" wrapText="1"/>
    </xf>
    <xf numFmtId="0" fontId="5" fillId="2" borderId="4" xfId="6" applyFill="1" applyAlignment="1">
      <alignment horizontal="center" vertical="center" wrapText="1"/>
    </xf>
    <xf numFmtId="1" fontId="3" fillId="9" borderId="6" xfId="4" applyNumberFormat="1" applyFill="1" applyBorder="1" applyAlignment="1">
      <alignment horizontal="center" vertical="center" wrapText="1"/>
    </xf>
    <xf numFmtId="1" fontId="3" fillId="10" borderId="6" xfId="4" applyNumberFormat="1" applyFill="1" applyBorder="1" applyAlignment="1">
      <alignment horizontal="center" vertical="center" wrapText="1"/>
    </xf>
    <xf numFmtId="1" fontId="3" fillId="9" borderId="7" xfId="4" applyNumberFormat="1" applyFill="1" applyBorder="1" applyAlignment="1">
      <alignment horizontal="center" vertical="center" wrapText="1"/>
    </xf>
    <xf numFmtId="1" fontId="3" fillId="10" borderId="7" xfId="4" applyNumberFormat="1" applyFill="1" applyBorder="1" applyAlignment="1">
      <alignment horizontal="center" vertical="center" wrapText="1"/>
    </xf>
    <xf numFmtId="1" fontId="3" fillId="9" borderId="0" xfId="4" applyNumberFormat="1" applyFill="1" applyBorder="1" applyAlignment="1">
      <alignment horizontal="center" vertical="center" wrapText="1"/>
    </xf>
    <xf numFmtId="1" fontId="3" fillId="10" borderId="0" xfId="4" applyNumberFormat="1" applyFill="1" applyBorder="1" applyAlignment="1">
      <alignment horizontal="center" vertical="center" wrapText="1"/>
    </xf>
    <xf numFmtId="1" fontId="10" fillId="0" borderId="4" xfId="6" applyNumberFormat="1" applyFont="1" applyAlignment="1">
      <alignment horizontal="center" vertical="center"/>
    </xf>
    <xf numFmtId="0" fontId="11" fillId="0" borderId="8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165" fontId="5" fillId="9" borderId="4" xfId="6" applyNumberFormat="1" applyFill="1" applyAlignment="1">
      <alignment horizontal="center" vertical="center" wrapText="1"/>
    </xf>
    <xf numFmtId="165" fontId="5" fillId="10" borderId="4" xfId="6" applyNumberFormat="1" applyFill="1" applyAlignment="1">
      <alignment horizontal="center" vertical="center" wrapText="1"/>
    </xf>
    <xf numFmtId="1" fontId="5" fillId="9" borderId="4" xfId="6" applyNumberFormat="1" applyFill="1" applyAlignment="1">
      <alignment horizontal="center" vertical="center" wrapText="1"/>
    </xf>
    <xf numFmtId="1" fontId="5" fillId="10" borderId="4" xfId="6" applyNumberForma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8" fillId="0" borderId="8" xfId="3" applyFont="1" applyBorder="1" applyAlignment="1">
      <alignment horizontal="center" vertical="center" wrapText="1"/>
    </xf>
    <xf numFmtId="0" fontId="2" fillId="0" borderId="8" xfId="3" applyBorder="1" applyAlignment="1">
      <alignment horizontal="center" vertical="center" wrapText="1"/>
    </xf>
    <xf numFmtId="0" fontId="12" fillId="2" borderId="9" xfId="4" applyFont="1" applyBorder="1" applyAlignment="1">
      <alignment horizontal="center" vertical="center"/>
    </xf>
    <xf numFmtId="1" fontId="12" fillId="2" borderId="9" xfId="4" applyNumberFormat="1" applyFont="1" applyBorder="1" applyAlignment="1">
      <alignment horizontal="center" vertical="center"/>
    </xf>
    <xf numFmtId="0" fontId="13" fillId="2" borderId="2" xfId="4" applyFont="1" applyAlignment="1">
      <alignment horizontal="center" vertical="center"/>
    </xf>
    <xf numFmtId="1" fontId="13" fillId="2" borderId="2" xfId="4" applyNumberFormat="1" applyFont="1" applyAlignment="1">
      <alignment horizontal="center" vertical="center"/>
    </xf>
    <xf numFmtId="9" fontId="12" fillId="2" borderId="9" xfId="2" applyFont="1" applyFill="1" applyBorder="1" applyAlignment="1">
      <alignment horizontal="center" vertical="center"/>
    </xf>
    <xf numFmtId="9" fontId="13" fillId="2" borderId="2" xfId="2" applyFont="1" applyFill="1" applyBorder="1" applyAlignment="1">
      <alignment horizontal="center" vertical="center"/>
    </xf>
    <xf numFmtId="0" fontId="14" fillId="0" borderId="8" xfId="3" applyFont="1" applyBorder="1" applyAlignment="1">
      <alignment horizontal="center" vertical="center" wrapText="1"/>
    </xf>
    <xf numFmtId="0" fontId="15" fillId="0" borderId="8" xfId="3" applyFont="1" applyBorder="1" applyAlignment="1">
      <alignment horizontal="center" vertical="center" wrapText="1"/>
    </xf>
    <xf numFmtId="0" fontId="16" fillId="0" borderId="8" xfId="3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164" fontId="0" fillId="0" borderId="0" xfId="0" applyNumberFormat="1"/>
    <xf numFmtId="14" fontId="0" fillId="0" borderId="0" xfId="0" applyNumberFormat="1"/>
    <xf numFmtId="166" fontId="0" fillId="0" borderId="0" xfId="0" applyNumberFormat="1"/>
    <xf numFmtId="0" fontId="0" fillId="12" borderId="8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0" xfId="0" applyFill="1"/>
    <xf numFmtId="0" fontId="0" fillId="4" borderId="8" xfId="0" applyFill="1" applyBorder="1" applyAlignment="1">
      <alignment horizontal="center" vertical="center"/>
    </xf>
    <xf numFmtId="2" fontId="0" fillId="0" borderId="0" xfId="2" applyNumberFormat="1" applyFont="1"/>
    <xf numFmtId="0" fontId="18" fillId="8" borderId="10" xfId="7" applyFill="1"/>
    <xf numFmtId="0" fontId="18" fillId="14" borderId="10" xfId="7" applyFill="1"/>
    <xf numFmtId="0" fontId="18" fillId="15" borderId="10" xfId="7" applyFill="1"/>
    <xf numFmtId="0" fontId="18" fillId="12" borderId="10" xfId="7" applyFill="1"/>
    <xf numFmtId="0" fontId="19" fillId="0" borderId="0" xfId="0" applyFont="1"/>
    <xf numFmtId="167" fontId="0" fillId="0" borderId="0" xfId="0" applyNumberFormat="1"/>
    <xf numFmtId="2" fontId="0" fillId="0" borderId="0" xfId="0" applyNumberFormat="1"/>
    <xf numFmtId="9" fontId="0" fillId="0" borderId="0" xfId="2" applyNumberFormat="1" applyFont="1"/>
    <xf numFmtId="0" fontId="0" fillId="0" borderId="8" xfId="0" applyBorder="1"/>
    <xf numFmtId="167" fontId="0" fillId="0" borderId="8" xfId="0" applyNumberFormat="1" applyBorder="1"/>
    <xf numFmtId="0" fontId="0" fillId="0" borderId="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165" fontId="0" fillId="0" borderId="0" xfId="0" applyNumberFormat="1"/>
    <xf numFmtId="165" fontId="0" fillId="0" borderId="8" xfId="0" applyNumberFormat="1" applyBorder="1"/>
    <xf numFmtId="43" fontId="0" fillId="0" borderId="0" xfId="8" applyFont="1"/>
  </cellXfs>
  <cellStyles count="9">
    <cellStyle name="Calculation" xfId="7" builtinId="22"/>
    <cellStyle name="Check Cell" xfId="5" builtinId="23"/>
    <cellStyle name="Comma" xfId="8" builtinId="3"/>
    <cellStyle name="Currency" xfId="1" builtinId="4"/>
    <cellStyle name="Heading 3" xfId="3" builtinId="18"/>
    <cellStyle name="Normal" xfId="0" builtinId="0"/>
    <cellStyle name="Output" xfId="4" builtinId="21"/>
    <cellStyle name="Percent" xfId="2" builtinId="5"/>
    <cellStyle name="Total" xfId="6" builtinId="25"/>
  </cellStyles>
  <dxfs count="35"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6" formatCode="yyyy\-mm\-dd;@"/>
    </dxf>
    <dxf>
      <numFmt numFmtId="166" formatCode="yyyy\-mm\-dd;@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CCFFFF"/>
      <color rgb="FFEAEAEA"/>
      <color rgb="FFECF4FA"/>
      <color rgb="FFFF7C80"/>
      <color rgb="FFFEEB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6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9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5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8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1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4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5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7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0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3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6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9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2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5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8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1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2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3.xml"/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4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6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7.xml"/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Sheet3!$BC$4</c:f>
              <c:strCache>
                <c:ptCount val="1"/>
                <c:pt idx="0">
                  <c:v>Barcelona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Sheet3!$BD$3:$BJ$3</c:f>
              <c:strCache>
                <c:ptCount val="7"/>
                <c:pt idx="0">
                  <c:v>Goles</c:v>
                </c:pt>
                <c:pt idx="1">
                  <c:v>Disparos</c:v>
                </c:pt>
                <c:pt idx="2">
                  <c:v>Disparos a puerta</c:v>
                </c:pt>
                <c:pt idx="3">
                  <c:v>Disparos desviados</c:v>
                </c:pt>
                <c:pt idx="4">
                  <c:v>Faltas</c:v>
                </c:pt>
                <c:pt idx="5">
                  <c:v>Tarjetas Amarilas</c:v>
                </c:pt>
                <c:pt idx="6">
                  <c:v>Tarjetas Rojas</c:v>
                </c:pt>
              </c:strCache>
            </c:strRef>
          </c:cat>
          <c:val>
            <c:numRef>
              <c:f>Sheet3!$BD$4:$BJ$4</c:f>
              <c:numCache>
                <c:formatCode>0%</c:formatCode>
                <c:ptCount val="7"/>
                <c:pt idx="0">
                  <c:v>0.59161272164368139</c:v>
                </c:pt>
                <c:pt idx="1">
                  <c:v>0.56725052483133276</c:v>
                </c:pt>
                <c:pt idx="2">
                  <c:v>0.57242033547496873</c:v>
                </c:pt>
                <c:pt idx="3">
                  <c:v>0.56419280795715376</c:v>
                </c:pt>
                <c:pt idx="4">
                  <c:v>0.49029673040452865</c:v>
                </c:pt>
                <c:pt idx="5">
                  <c:v>0.45082123758594345</c:v>
                </c:pt>
                <c:pt idx="6">
                  <c:v>0.40194489465153971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F-4547-BF80-9B16947296EC}"/>
            </c:ext>
          </c:extLst>
        </c:ser>
        <c:ser>
          <c:idx val="1"/>
          <c:order val="1"/>
          <c:tx>
            <c:strRef>
              <c:f>Sheet3!$BC$5</c:f>
              <c:strCache>
                <c:ptCount val="1"/>
                <c:pt idx="0">
                  <c:v>Real Madrid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Sheet3!$BD$3:$BJ$3</c:f>
              <c:strCache>
                <c:ptCount val="7"/>
                <c:pt idx="0">
                  <c:v>Goles</c:v>
                </c:pt>
                <c:pt idx="1">
                  <c:v>Disparos</c:v>
                </c:pt>
                <c:pt idx="2">
                  <c:v>Disparos a puerta</c:v>
                </c:pt>
                <c:pt idx="3">
                  <c:v>Disparos desviados</c:v>
                </c:pt>
                <c:pt idx="4">
                  <c:v>Faltas</c:v>
                </c:pt>
                <c:pt idx="5">
                  <c:v>Tarjetas Amarilas</c:v>
                </c:pt>
                <c:pt idx="6">
                  <c:v>Tarjetas Rojas</c:v>
                </c:pt>
              </c:strCache>
            </c:strRef>
          </c:cat>
          <c:val>
            <c:numRef>
              <c:f>Sheet3!$BD$5:$BJ$5</c:f>
              <c:numCache>
                <c:formatCode>0%</c:formatCode>
                <c:ptCount val="7"/>
                <c:pt idx="0">
                  <c:v>0.40838727835631866</c:v>
                </c:pt>
                <c:pt idx="1">
                  <c:v>0.43274947516866713</c:v>
                </c:pt>
                <c:pt idx="2">
                  <c:v>0.42757966452503121</c:v>
                </c:pt>
                <c:pt idx="3">
                  <c:v>0.43580719204284618</c:v>
                </c:pt>
                <c:pt idx="4">
                  <c:v>0.5097032695954713</c:v>
                </c:pt>
                <c:pt idx="5">
                  <c:v>0.54917876241405661</c:v>
                </c:pt>
                <c:pt idx="6">
                  <c:v>0.59805510534846029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0F-4547-BF80-9B1694729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582720"/>
        <c:axId val="535584800"/>
      </c:barChart>
      <c:catAx>
        <c:axId val="535582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5584800"/>
        <c:crosses val="autoZero"/>
        <c:auto val="1"/>
        <c:lblAlgn val="ctr"/>
        <c:lblOffset val="100"/>
        <c:noMultiLvlLbl val="0"/>
      </c:catAx>
      <c:valAx>
        <c:axId val="53558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558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MX" sz="1800" b="1" i="0" baseline="0">
                <a:solidFill>
                  <a:srgbClr val="FF0000"/>
                </a:solidFill>
                <a:effectLst/>
              </a:rPr>
              <a:t>Descripción en el largo plazo</a:t>
            </a:r>
            <a:br>
              <a:rPr lang="es-MX"/>
            </a:br>
            <a:r>
              <a:rPr lang="es-MX"/>
              <a:t>Escenario:</a:t>
            </a:r>
            <a:br>
              <a:rPr lang="es-MX"/>
            </a:br>
            <a:r>
              <a:rPr lang="es-MX" sz="1200" baseline="0"/>
              <a:t>Local 48% | Empate 26% | Visitante 26%</a:t>
            </a:r>
            <a:endParaRPr lang="es-MX" sz="1600" b="1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Sheet3!$BL$4</c:f>
              <c:strCache>
                <c:ptCount val="1"/>
                <c:pt idx="0">
                  <c:v>Local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Sheet3!$BM$3:$BS$3</c15:sqref>
                  </c15:fullRef>
                </c:ext>
              </c:extLst>
              <c:f>(Sheet3!$BM$3:$BO$3,Sheet3!$BQ$3:$BS$3)</c:f>
              <c:strCache>
                <c:ptCount val="6"/>
                <c:pt idx="0">
                  <c:v>Tarjetas Rojas</c:v>
                </c:pt>
                <c:pt idx="1">
                  <c:v>Tarjetas Amarilas</c:v>
                </c:pt>
                <c:pt idx="2">
                  <c:v>Faltas</c:v>
                </c:pt>
                <c:pt idx="3">
                  <c:v>Disparos a puerta</c:v>
                </c:pt>
                <c:pt idx="4">
                  <c:v>Disparos</c:v>
                </c:pt>
                <c:pt idx="5">
                  <c:v>Goles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Sheet3!$BM$4:$BS$4</c15:sqref>
                  </c15:fullRef>
                </c:ext>
              </c:extLst>
              <c:f>(Sheet3!$BM$4:$BO$4,Sheet3!$BQ$4:$BS$4)</c:f>
              <c:numCache>
                <c:formatCode>0%</c:formatCode>
                <c:ptCount val="6"/>
                <c:pt idx="0">
                  <c:v>0.40194489465153971</c:v>
                </c:pt>
                <c:pt idx="1">
                  <c:v>0.45082123758594345</c:v>
                </c:pt>
                <c:pt idx="2">
                  <c:v>0.49029673040452865</c:v>
                </c:pt>
                <c:pt idx="3">
                  <c:v>0.57242033547496873</c:v>
                </c:pt>
                <c:pt idx="4">
                  <c:v>0.56725052483133276</c:v>
                </c:pt>
                <c:pt idx="5">
                  <c:v>0.59161272164368139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6-4FA4-8171-E6663D2EAD4B}"/>
            </c:ext>
          </c:extLst>
        </c:ser>
        <c:ser>
          <c:idx val="1"/>
          <c:order val="1"/>
          <c:tx>
            <c:strRef>
              <c:f>Sheet3!$BL$5</c:f>
              <c:strCache>
                <c:ptCount val="1"/>
                <c:pt idx="0">
                  <c:v>Visitante</c:v>
                </c:pt>
              </c:strCache>
            </c:strRef>
          </c:tx>
          <c:spPr>
            <a:solidFill>
              <a:schemeClr val="bg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Sheet3!$BM$3:$BS$3</c15:sqref>
                  </c15:fullRef>
                </c:ext>
              </c:extLst>
              <c:f>(Sheet3!$BM$3:$BO$3,Sheet3!$BQ$3:$BS$3)</c:f>
              <c:strCache>
                <c:ptCount val="6"/>
                <c:pt idx="0">
                  <c:v>Tarjetas Rojas</c:v>
                </c:pt>
                <c:pt idx="1">
                  <c:v>Tarjetas Amarilas</c:v>
                </c:pt>
                <c:pt idx="2">
                  <c:v>Faltas</c:v>
                </c:pt>
                <c:pt idx="3">
                  <c:v>Disparos a puerta</c:v>
                </c:pt>
                <c:pt idx="4">
                  <c:v>Disparos</c:v>
                </c:pt>
                <c:pt idx="5">
                  <c:v>Goles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Sheet3!$BM$5:$BS$5</c15:sqref>
                  </c15:fullRef>
                </c:ext>
              </c:extLst>
              <c:f>(Sheet3!$BM$5:$BO$5,Sheet3!$BQ$5:$BS$5)</c:f>
              <c:numCache>
                <c:formatCode>0%</c:formatCode>
                <c:ptCount val="6"/>
                <c:pt idx="0">
                  <c:v>0.59805510534846029</c:v>
                </c:pt>
                <c:pt idx="1">
                  <c:v>0.54917876241405661</c:v>
                </c:pt>
                <c:pt idx="2">
                  <c:v>0.5097032695954713</c:v>
                </c:pt>
                <c:pt idx="3">
                  <c:v>0.42757966452503121</c:v>
                </c:pt>
                <c:pt idx="4">
                  <c:v>0.43274947516866713</c:v>
                </c:pt>
                <c:pt idx="5">
                  <c:v>0.40838727835631866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F6-4FA4-8171-E6663D2EAD4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32389152"/>
        <c:axId val="432389568"/>
      </c:barChart>
      <c:catAx>
        <c:axId val="432389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2389568"/>
        <c:crosses val="autoZero"/>
        <c:auto val="1"/>
        <c:lblAlgn val="ctr"/>
        <c:lblOffset val="100"/>
        <c:noMultiLvlLbl val="0"/>
      </c:catAx>
      <c:valAx>
        <c:axId val="432389568"/>
        <c:scaling>
          <c:orientation val="minMax"/>
          <c:max val="1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43238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21D-41C0-B2F3-23DD91D7597E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LeicesterGraphs!$G$2:$H$2</c:f>
              <c:numCache>
                <c:formatCode>0.0</c:formatCode>
                <c:ptCount val="2"/>
                <c:pt idx="0" formatCode="General">
                  <c:v>3</c:v>
                </c:pt>
                <c:pt idx="1">
                  <c:v>1.7848669165066395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baseline="0"/>
              <a:t>ornada </a:t>
            </a:r>
            <a:r>
              <a:rPr lang="en-US"/>
              <a:t>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LeicesterGraphs!$F$5</c:f>
              <c:strCache>
                <c:ptCount val="1"/>
                <c:pt idx="0">
                  <c:v>J01-J02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4C-423A-A280-5F4D222E9B23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LeicesterGraphs!$G$5:$H$5</c:f>
              <c:numCache>
                <c:formatCode>0.0</c:formatCode>
                <c:ptCount val="2"/>
                <c:pt idx="0" formatCode="General">
                  <c:v>6</c:v>
                </c:pt>
                <c:pt idx="1">
                  <c:v>2.9205656404406577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LeicesterGraphs!$F$8</c:f>
              <c:strCache>
                <c:ptCount val="1"/>
                <c:pt idx="0">
                  <c:v>J01-J03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11-4D4E-9C0F-DBCE91AE976C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LeicesterGraphs!$G$8:$H$8</c:f>
              <c:numCache>
                <c:formatCode>0.0</c:formatCode>
                <c:ptCount val="2"/>
                <c:pt idx="0" formatCode="General">
                  <c:v>7</c:v>
                </c:pt>
                <c:pt idx="1">
                  <c:v>4.3101714578031292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LeicesterGraphs!$F$11</c:f>
              <c:strCache>
                <c:ptCount val="1"/>
                <c:pt idx="0">
                  <c:v>J01-J04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336-4D0D-8D89-31C4FA83AE0F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LeicesterGraphs!$G$11:$H$11</c:f>
              <c:numCache>
                <c:formatCode>0.0</c:formatCode>
                <c:ptCount val="2"/>
                <c:pt idx="0" formatCode="General">
                  <c:v>8</c:v>
                </c:pt>
                <c:pt idx="1">
                  <c:v>5.4350476709146367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LeicesterGraphs!$F$14</c:f>
              <c:strCache>
                <c:ptCount val="1"/>
                <c:pt idx="0">
                  <c:v>J01-J05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DE-4DCC-9BA2-3AFC374B3BBF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LeicesterGraphs!$G$14:$H$14</c:f>
              <c:numCache>
                <c:formatCode>0.0</c:formatCode>
                <c:ptCount val="2"/>
                <c:pt idx="0" formatCode="General">
                  <c:v>11</c:v>
                </c:pt>
                <c:pt idx="1">
                  <c:v>7.2441632881097675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LeicesterGraphs!$F$17</c:f>
              <c:strCache>
                <c:ptCount val="1"/>
                <c:pt idx="0">
                  <c:v>J01-J06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D3-4C0C-989B-28F23BCBBC77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LeicesterGraphs!$G$17:$H$17</c:f>
              <c:numCache>
                <c:formatCode>0.0</c:formatCode>
                <c:ptCount val="2"/>
                <c:pt idx="0" formatCode="General">
                  <c:v>12</c:v>
                </c:pt>
                <c:pt idx="1">
                  <c:v>8.5016796279790494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LeicesterGraphs!$F$20</c:f>
              <c:strCache>
                <c:ptCount val="1"/>
                <c:pt idx="0">
                  <c:v>J01-J07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A5-43A4-8140-08FD4A34A47C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LeicesterGraphs!$G$20:$H$20</c:f>
              <c:numCache>
                <c:formatCode>0.0</c:formatCode>
                <c:ptCount val="2"/>
                <c:pt idx="0" formatCode="General">
                  <c:v>12</c:v>
                </c:pt>
                <c:pt idx="1">
                  <c:v>9.3813092576086792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LeicesterGraphs!$F$23</c:f>
              <c:strCache>
                <c:ptCount val="1"/>
                <c:pt idx="0">
                  <c:v>J01-J08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FB-44EF-9C5B-A515807FA2A5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LeicesterGraphs!$G$23:$H$23</c:f>
              <c:numCache>
                <c:formatCode>0.0</c:formatCode>
                <c:ptCount val="2"/>
                <c:pt idx="0" formatCode="General">
                  <c:v>15</c:v>
                </c:pt>
                <c:pt idx="1">
                  <c:v>10.544744855826886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LeicesterGraphs!$F$26</c:f>
              <c:strCache>
                <c:ptCount val="1"/>
                <c:pt idx="0">
                  <c:v>J01-J09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9E-4689-A2BC-8CDBE3F3D62C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LeicesterGraphs!$G$26:$H$26</c:f>
              <c:numCache>
                <c:formatCode>0.0</c:formatCode>
                <c:ptCount val="2"/>
                <c:pt idx="0" formatCode="General">
                  <c:v>16</c:v>
                </c:pt>
                <c:pt idx="1">
                  <c:v>11.366173427255458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LeicesterGraphs!$F$29</c:f>
              <c:strCache>
                <c:ptCount val="1"/>
                <c:pt idx="0">
                  <c:v>J01-J10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542-4BD1-8192-62AF07E572D1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LeicesterGraphs!$G$29:$H$29</c:f>
              <c:numCache>
                <c:formatCode>0.0</c:formatCode>
                <c:ptCount val="2"/>
                <c:pt idx="0" formatCode="General">
                  <c:v>19</c:v>
                </c:pt>
                <c:pt idx="1">
                  <c:v>12.972333062826857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LeicesterGraphs!$F$32</c:f>
              <c:strCache>
                <c:ptCount val="1"/>
                <c:pt idx="0">
                  <c:v>J01-J11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340-4981-A82A-6CE44BAA12C4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LeicesterGraphs!$G$32:$H$32</c:f>
              <c:numCache>
                <c:formatCode>0.0</c:formatCode>
                <c:ptCount val="2"/>
                <c:pt idx="0" formatCode="General">
                  <c:v>22</c:v>
                </c:pt>
                <c:pt idx="1">
                  <c:v>14.388882706557029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LeicesterGraphs!$F$35</c:f>
              <c:strCache>
                <c:ptCount val="1"/>
                <c:pt idx="0">
                  <c:v>J01-J12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67D-46BD-82F8-EC1DB60BD565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LeicesterGraphs!$G$1:$H$1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LeicesterGraphs!$G$35:$H$35</c:f>
              <c:numCache>
                <c:formatCode>0.0</c:formatCode>
                <c:ptCount val="2"/>
                <c:pt idx="0" formatCode="General">
                  <c:v>25</c:v>
                </c:pt>
                <c:pt idx="1">
                  <c:v>16.239101346249353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1-4A21-880A-5C2129777489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LeicesterGraphs!$AI$2:$AJ$2</c:f>
              <c:numCache>
                <c:formatCode>0.0</c:formatCode>
                <c:ptCount val="2"/>
                <c:pt idx="0" formatCode="General">
                  <c:v>28</c:v>
                </c:pt>
                <c:pt idx="1">
                  <c:v>17.683545790693799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LeicesterGraphs!$F$5</c:f>
              <c:strCache>
                <c:ptCount val="1"/>
                <c:pt idx="0">
                  <c:v>J01-J02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A3-47DE-92AF-1E2B1848D5AA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LeicesterGraphs!$AI$5:$AJ$5</c:f>
              <c:numCache>
                <c:formatCode>0.0</c:formatCode>
                <c:ptCount val="2"/>
                <c:pt idx="0" formatCode="General">
                  <c:v>29</c:v>
                </c:pt>
                <c:pt idx="1">
                  <c:v>18.903719881835631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LeicesterGraphs!$F$8</c:f>
              <c:strCache>
                <c:ptCount val="1"/>
                <c:pt idx="0">
                  <c:v>J01-J03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71-4F71-8B75-3A27B82B559C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LeicesterGraphs!$AI$8:$AJ$8</c:f>
              <c:numCache>
                <c:formatCode>0.0</c:formatCode>
                <c:ptCount val="2"/>
                <c:pt idx="0" formatCode="General">
                  <c:v>32</c:v>
                </c:pt>
                <c:pt idx="1">
                  <c:v>20.251247445049469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LeicesterGraphs!$F$11</c:f>
              <c:strCache>
                <c:ptCount val="1"/>
                <c:pt idx="0">
                  <c:v>J01-J04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6C-4794-949A-44C853B94119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LeicesterGraphs!$AI$11:$AJ$11</c:f>
              <c:numCache>
                <c:formatCode>0.0</c:formatCode>
                <c:ptCount val="2"/>
                <c:pt idx="0" formatCode="General">
                  <c:v>35</c:v>
                </c:pt>
                <c:pt idx="1">
                  <c:v>21.442800129953216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LeicesterGraphs!$F$14</c:f>
              <c:strCache>
                <c:ptCount val="1"/>
                <c:pt idx="0">
                  <c:v>J01-J05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2F-4949-B98F-F2A3B7F34EBC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LeicesterGraphs!$AI$14:$AJ$14</c:f>
              <c:numCache>
                <c:formatCode>0.0</c:formatCode>
                <c:ptCount val="2"/>
                <c:pt idx="0" formatCode="General">
                  <c:v>38</c:v>
                </c:pt>
                <c:pt idx="1">
                  <c:v>22.515286902439989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LeicesterGraphs!$F$17</c:f>
              <c:strCache>
                <c:ptCount val="1"/>
                <c:pt idx="0">
                  <c:v>J01-J06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75-4F4C-BC9C-0C29F6D4C217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LeicesterGraphs!$AI$17:$AJ$17</c:f>
              <c:numCache>
                <c:formatCode>0.0</c:formatCode>
                <c:ptCount val="2"/>
                <c:pt idx="0" formatCode="General">
                  <c:v>38</c:v>
                </c:pt>
                <c:pt idx="1">
                  <c:v>23.501417149523668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LeicesterGraphs!$F$20</c:f>
              <c:strCache>
                <c:ptCount val="1"/>
                <c:pt idx="0">
                  <c:v>J01-J07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288-426C-AC4F-50D8F9FD91C2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LeicesterGraphs!$AI$20:$AJ$20</c:f>
              <c:numCache>
                <c:formatCode>0.0</c:formatCode>
                <c:ptCount val="2"/>
                <c:pt idx="0" formatCode="General">
                  <c:v>39</c:v>
                </c:pt>
                <c:pt idx="1">
                  <c:v>24.415607899164765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LeicesterGraphs!$F$23</c:f>
              <c:strCache>
                <c:ptCount val="1"/>
                <c:pt idx="0">
                  <c:v>J01-J08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79-44DD-8D6B-CFB1649E8C45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LeicesterGraphs!$AI$23:$AJ$23</c:f>
              <c:numCache>
                <c:formatCode>0.0</c:formatCode>
                <c:ptCount val="2"/>
                <c:pt idx="0" formatCode="General">
                  <c:v>40</c:v>
                </c:pt>
                <c:pt idx="1">
                  <c:v>26.224723516359894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LeicesterGraphs!$F$26</c:f>
              <c:strCache>
                <c:ptCount val="1"/>
                <c:pt idx="0">
                  <c:v>J01-J09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EB-46D7-AE46-680B1126ECFD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LeicesterGraphs!$AI$26:$AJ$26</c:f>
              <c:numCache>
                <c:formatCode>0.0</c:formatCode>
                <c:ptCount val="2"/>
                <c:pt idx="0" formatCode="General">
                  <c:v>43</c:v>
                </c:pt>
                <c:pt idx="1">
                  <c:v>27.025893107003171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LeicesterGraphs!$F$29</c:f>
              <c:strCache>
                <c:ptCount val="1"/>
                <c:pt idx="0">
                  <c:v>J01-J10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30E-4617-BF99-ECBD14BCEF2C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LeicesterGraphs!$AI$29:$AJ$29</c:f>
              <c:numCache>
                <c:formatCode>0.0</c:formatCode>
                <c:ptCount val="2"/>
                <c:pt idx="0" formatCode="General">
                  <c:v>44</c:v>
                </c:pt>
                <c:pt idx="1">
                  <c:v>28.648392611855616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LeicesterGraphs!$F$32</c:f>
              <c:strCache>
                <c:ptCount val="1"/>
                <c:pt idx="0">
                  <c:v>J01-J11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E16-4FAB-8520-543D6DC01666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LeicesterGraphs!$AI$32:$AJ$32</c:f>
              <c:numCache>
                <c:formatCode>0.0</c:formatCode>
                <c:ptCount val="2"/>
                <c:pt idx="0" formatCode="General">
                  <c:v>47</c:v>
                </c:pt>
                <c:pt idx="1">
                  <c:v>30.329261450619192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Leicester City FC 2015-2016</a:t>
            </a:r>
            <a:br>
              <a:rPr lang="en-US"/>
            </a:br>
            <a:r>
              <a:rPr lang="en-US"/>
              <a:t>J</a:t>
            </a:r>
            <a:r>
              <a:rPr lang="en-US" sz="1600" b="0" i="0" u="none" strike="noStrike" cap="none" normalizeH="0" baseline="0">
                <a:effectLst/>
              </a:rPr>
              <a:t>ornada </a:t>
            </a:r>
            <a:r>
              <a:rPr lang="en-US"/>
              <a:t>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LeicesterGraphs!$F$35</c:f>
              <c:strCache>
                <c:ptCount val="1"/>
                <c:pt idx="0">
                  <c:v>J01-J12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F7-4F8A-A67A-B130042E2F3C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LeicesterGraphs!$AI$1:$AJ$1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LeicesterGraphs!$AI$35:$AJ$35</c:f>
              <c:numCache>
                <c:formatCode>0.0</c:formatCode>
                <c:ptCount val="2"/>
                <c:pt idx="0" formatCode="General">
                  <c:v>50</c:v>
                </c:pt>
                <c:pt idx="1">
                  <c:v>31.735306166773505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754-47AC-9FB6-1C3AC702F53C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LeicesterGraphs!$BJ$2:$BK$2</c:f>
              <c:numCache>
                <c:formatCode>0.0</c:formatCode>
                <c:ptCount val="2"/>
                <c:pt idx="0" formatCode="General">
                  <c:v>53</c:v>
                </c:pt>
                <c:pt idx="1">
                  <c:v>32.444006931029826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LeicesterGraphs!$F$5</c:f>
              <c:strCache>
                <c:ptCount val="1"/>
                <c:pt idx="0">
                  <c:v>J01-J02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AC-4213-B097-9105EEAB721A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LeicesterGraphs!$BJ$5:$BK$5</c:f>
              <c:numCache>
                <c:formatCode>0.0</c:formatCode>
                <c:ptCount val="2"/>
                <c:pt idx="0" formatCode="General">
                  <c:v>53</c:v>
                </c:pt>
                <c:pt idx="1">
                  <c:v>33.265435502458395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27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LeicesterGraphs!$F$8</c:f>
              <c:strCache>
                <c:ptCount val="1"/>
                <c:pt idx="0">
                  <c:v>J01-J03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EC-4FA3-AB7E-BE02120E1AC7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LeicesterGraphs!$BJ$8:$BK$8</c:f>
              <c:numCache>
                <c:formatCode>0.0</c:formatCode>
                <c:ptCount val="2"/>
                <c:pt idx="0" formatCode="General">
                  <c:v>56</c:v>
                </c:pt>
                <c:pt idx="1">
                  <c:v>35.410675430608251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LeicesterGraphs!$F$11</c:f>
              <c:strCache>
                <c:ptCount val="1"/>
                <c:pt idx="0">
                  <c:v>J01-J04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59B-4A29-BE26-BBCB0852CFFE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LeicesterGraphs!$BJ$11:$BK$11</c:f>
              <c:numCache>
                <c:formatCode>0.0</c:formatCode>
                <c:ptCount val="2"/>
                <c:pt idx="0" formatCode="General">
                  <c:v>57</c:v>
                </c:pt>
                <c:pt idx="1">
                  <c:v>37.377256360073268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LeicesterGraphs!$F$14</c:f>
              <c:strCache>
                <c:ptCount val="1"/>
                <c:pt idx="0">
                  <c:v>J01-J05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AA-4C0C-8105-0DD15CA441CB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LeicesterGraphs!$BJ$14:$BK$14</c:f>
              <c:numCache>
                <c:formatCode>0.0</c:formatCode>
                <c:ptCount val="2"/>
                <c:pt idx="0" formatCode="General">
                  <c:v>60</c:v>
                </c:pt>
                <c:pt idx="1">
                  <c:v>38.821700804517711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LeicesterGraphs!$F$17</c:f>
              <c:strCache>
                <c:ptCount val="1"/>
                <c:pt idx="0">
                  <c:v>J01-J06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2FB-459D-91EE-19D53619D6C9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LeicesterGraphs!$BJ$17:$BK$17</c:f>
              <c:numCache>
                <c:formatCode>0.0</c:formatCode>
                <c:ptCount val="2"/>
                <c:pt idx="0" formatCode="General">
                  <c:v>63</c:v>
                </c:pt>
                <c:pt idx="1">
                  <c:v>40.926289635710738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LeicesterGraphs!$F$45</c:f>
              <c:strCache>
                <c:ptCount val="1"/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37-44E0-9DB8-2D0BB97D9A11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LeicesterGraphs!$BJ$45:$BK$45</c:f>
              <c:numCache>
                <c:formatCode>0.0</c:formatCode>
                <c:ptCount val="2"/>
                <c:pt idx="0" formatCode="General">
                  <c:v>66</c:v>
                </c:pt>
                <c:pt idx="1">
                  <c:v>42.383805975580017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LeicesterGraphs!$F$48</c:f>
              <c:strCache>
                <c:ptCount val="1"/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2A-45BC-AC9F-4F1616599C7D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LeicesterGraphs!$BJ$48:$BK$48</c:f>
              <c:numCache>
                <c:formatCode>0.0</c:formatCode>
                <c:ptCount val="2"/>
                <c:pt idx="0" formatCode="General">
                  <c:v>69</c:v>
                </c:pt>
                <c:pt idx="1">
                  <c:v>43.978888453015436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LeicesterGraphs!$F$51</c:f>
              <c:strCache>
                <c:ptCount val="1"/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14-4299-8004-EDA4239951A0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LeicesterGraphs!$BJ$51:$BK$51</c:f>
              <c:numCache>
                <c:formatCode>0.0</c:formatCode>
                <c:ptCount val="2"/>
                <c:pt idx="0" formatCode="General">
                  <c:v>72</c:v>
                </c:pt>
                <c:pt idx="1">
                  <c:v>45.615676501568188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LeicesterGraphs!$F$54</c:f>
              <c:strCache>
                <c:ptCount val="1"/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59A-448C-9EEC-1A765891EDA1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LeicesterGraphs!$BJ$54:$BK$54</c:f>
              <c:numCache>
                <c:formatCode>0.0</c:formatCode>
                <c:ptCount val="2"/>
                <c:pt idx="0" formatCode="General">
                  <c:v>73</c:v>
                </c:pt>
                <c:pt idx="1">
                  <c:v>47.393657779549464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LeicesterGraphs!$F$57</c:f>
              <c:strCache>
                <c:ptCount val="1"/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46-4320-8D2F-9CF92AAFC2D6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LeicesterGraphs!$BJ$57:$BK$57</c:f>
              <c:numCache>
                <c:formatCode>0.0</c:formatCode>
                <c:ptCount val="2"/>
                <c:pt idx="0" formatCode="General">
                  <c:v>76</c:v>
                </c:pt>
                <c:pt idx="1">
                  <c:v>49.34685773274942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LeicesterGraphs!$F$60</c:f>
              <c:strCache>
                <c:ptCount val="1"/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E42-4731-8926-01186E542483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LeicesterGraphs!$BJ$60:$BK$60</c:f>
              <c:numCache>
                <c:formatCode>0.0</c:formatCode>
                <c:ptCount val="2"/>
                <c:pt idx="0" formatCode="General">
                  <c:v>77</c:v>
                </c:pt>
                <c:pt idx="1">
                  <c:v>50.374581642826271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LeicesterGraphs!$F$85</c:f>
              <c:strCache>
                <c:ptCount val="1"/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C8-4C7C-8049-F5FEE73E9321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LeicesterGraphs!$BJ$85:$BK$85</c:f>
              <c:numCache>
                <c:formatCode>0.0</c:formatCode>
                <c:ptCount val="2"/>
                <c:pt idx="0" formatCode="General">
                  <c:v>80</c:v>
                </c:pt>
                <c:pt idx="1">
                  <c:v>52.163848658533077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800"/>
              <a:t>Leicester City FC 2015-2016</a:t>
            </a:r>
            <a:br>
              <a:rPr lang="en-US" sz="1800"/>
            </a:br>
            <a:r>
              <a:rPr lang="en-US" sz="1800"/>
              <a:t>J</a:t>
            </a:r>
            <a:r>
              <a:rPr lang="en-US" sz="1800" b="0" i="0" u="none" strike="noStrike" cap="none" normalizeH="0" baseline="0">
                <a:effectLst/>
              </a:rPr>
              <a:t>ornada </a:t>
            </a:r>
            <a:r>
              <a:rPr lang="en-US" sz="1800"/>
              <a:t>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LeicesterGraphs!$F$88</c:f>
              <c:strCache>
                <c:ptCount val="1"/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0070C0"/>
              </a:solidFill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ECF4FA"/>
              </a:solidFill>
              <a:ln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843-44A4-BE86-19A5532E646E}"/>
              </c:ext>
            </c:extLst>
          </c:dPt>
          <c:dLbls>
            <c:spPr>
              <a:solidFill>
                <a:schemeClr val="bg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LeicesterGraphs!$BJ$1:$BK$1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LeicesterGraphs!$BJ$88:$BK$88</c:f>
              <c:numCache>
                <c:formatCode>0.0</c:formatCode>
                <c:ptCount val="2"/>
                <c:pt idx="0" formatCode="General">
                  <c:v>81</c:v>
                </c:pt>
                <c:pt idx="1">
                  <c:v>53.366217366652137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8-438D-9DC8-BCB1C82E1A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6068112"/>
        <c:axId val="776069360"/>
      </c:barChart>
      <c:catAx>
        <c:axId val="7760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9360"/>
        <c:crosses val="autoZero"/>
        <c:auto val="1"/>
        <c:lblAlgn val="ctr"/>
        <c:lblOffset val="100"/>
        <c:noMultiLvlLbl val="0"/>
      </c:catAx>
      <c:valAx>
        <c:axId val="776069360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60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Jornada 1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4D9-41D0-BB73-F4B1CE5E1316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D9-41D0-BB73-F4B1CE5E13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AthMadridGraphs!$F$2:$G$2</c:f>
              <c:numCache>
                <c:formatCode>0.0</c:formatCode>
                <c:ptCount val="2"/>
                <c:pt idx="0" formatCode="General">
                  <c:v>3</c:v>
                </c:pt>
                <c:pt idx="1">
                  <c:v>2.1833333333333331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AthMadridGraphs!$A$5</c:f>
              <c:strCache>
                <c:ptCount val="1"/>
                <c:pt idx="0">
                  <c:v>J04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4D9-41D0-BB73-F4B1CE5E1316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D9-41D0-BB73-F4B1CE5E13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AthMadridGraphs!$F$5:$G$5</c:f>
              <c:numCache>
                <c:formatCode>0.0</c:formatCode>
                <c:ptCount val="2"/>
                <c:pt idx="0" formatCode="General">
                  <c:v>4</c:v>
                </c:pt>
                <c:pt idx="1">
                  <c:v>4.4089490968801313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3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AthMadridGraphs!$A$7</c:f>
              <c:strCache>
                <c:ptCount val="1"/>
                <c:pt idx="0">
                  <c:v>J06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FEF-4017-870F-70C14265A4D6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EF-4017-870F-70C14265A4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AthMadridGraphs!$F$7:$G$7</c:f>
              <c:numCache>
                <c:formatCode>0.0</c:formatCode>
                <c:ptCount val="2"/>
                <c:pt idx="0" formatCode="General">
                  <c:v>5</c:v>
                </c:pt>
                <c:pt idx="1">
                  <c:v>6.4495847896897374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4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AthMadridGraphs!$A$5</c:f>
              <c:strCache>
                <c:ptCount val="1"/>
                <c:pt idx="0">
                  <c:v>J04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A4C-47C1-8D13-23C0E9D81D86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4C-47C1-8D13-23C0E9D81D8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AthMadridGraphs!$F$8:$G$8</c:f>
              <c:numCache>
                <c:formatCode>0.0</c:formatCode>
                <c:ptCount val="2"/>
                <c:pt idx="0" formatCode="General">
                  <c:v>8</c:v>
                </c:pt>
                <c:pt idx="1">
                  <c:v>8.3918647319696795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5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AthMadridGraphs!$A$5</c:f>
              <c:strCache>
                <c:ptCount val="1"/>
                <c:pt idx="0">
                  <c:v>J04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AD-4C3D-8E4D-F2A4DEB027EC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AD-4C3D-8E4D-F2A4DEB027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AthMadridGraphs!$F$9:$G$9</c:f>
              <c:numCache>
                <c:formatCode>0.0</c:formatCode>
                <c:ptCount val="2"/>
                <c:pt idx="0" formatCode="General">
                  <c:v>11</c:v>
                </c:pt>
                <c:pt idx="1">
                  <c:v>10.507619379133494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6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AthMadridGraphs!$A$10</c:f>
              <c:strCache>
                <c:ptCount val="1"/>
                <c:pt idx="0">
                  <c:v>J09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6D5-4787-9450-8169D0F4AB5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6D5-4787-9450-8169D0F4AB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AthMadridGraphs!$F$10:$G$10</c:f>
              <c:numCache>
                <c:formatCode>0.0</c:formatCode>
                <c:ptCount val="2"/>
                <c:pt idx="0" formatCode="General">
                  <c:v>14</c:v>
                </c:pt>
                <c:pt idx="1">
                  <c:v>12.449899321413437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7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AthMadridGraphs!$A$11</c:f>
              <c:strCache>
                <c:ptCount val="1"/>
                <c:pt idx="0">
                  <c:v>J10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A6D-40F0-9018-B66F4209C00C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A6D-40F0-9018-B66F4209C0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AthMadridGraphs!$F$11:$G$11</c:f>
              <c:numCache>
                <c:formatCode>0.0</c:formatCode>
                <c:ptCount val="2"/>
                <c:pt idx="0" formatCode="General">
                  <c:v>17</c:v>
                </c:pt>
                <c:pt idx="1">
                  <c:v>14.761010432524547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8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AthMadridGraphs!$A$12</c:f>
              <c:strCache>
                <c:ptCount val="1"/>
                <c:pt idx="0">
                  <c:v>J11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7A-4B96-99F5-57DB024BBA2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27A-4B96-99F5-57DB024BBA2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AthMadridGraphs!$F$12:$G$12</c:f>
              <c:numCache>
                <c:formatCode>0.0</c:formatCode>
                <c:ptCount val="2"/>
                <c:pt idx="0" formatCode="General">
                  <c:v>20</c:v>
                </c:pt>
                <c:pt idx="1">
                  <c:v>16.011230409937891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9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AthMadridGraphs!$A$13</c:f>
              <c:strCache>
                <c:ptCount val="1"/>
                <c:pt idx="0">
                  <c:v>J12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01-47FD-8470-489CE3034A4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C01-47FD-8470-489CE3034A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AthMadridGraphs!$F$13:$G$13</c:f>
              <c:numCache>
                <c:formatCode>0.0</c:formatCode>
                <c:ptCount val="2"/>
                <c:pt idx="0" formatCode="General">
                  <c:v>23</c:v>
                </c:pt>
                <c:pt idx="1">
                  <c:v>17.94513493870166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10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AthMadridGraphs!$A$14</c:f>
              <c:strCache>
                <c:ptCount val="1"/>
                <c:pt idx="0">
                  <c:v>J13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EC-4D71-8CBF-18614298EFDD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8EC-4D71-8CBF-18614298EF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AthMadridGraphs!$F$14:$G$14</c:f>
              <c:numCache>
                <c:formatCode>0.0</c:formatCode>
                <c:ptCount val="2"/>
                <c:pt idx="0" formatCode="General">
                  <c:v>26</c:v>
                </c:pt>
                <c:pt idx="1">
                  <c:v>20.251611291245837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11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AthMadridGraphs!$A$15</c:f>
              <c:strCache>
                <c:ptCount val="1"/>
                <c:pt idx="0">
                  <c:v>J14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4D9-41D0-BB73-F4B1CE5E1316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D9-41D0-BB73-F4B1CE5E13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AthMadridGraphs!$F$15:$G$15</c:f>
              <c:numCache>
                <c:formatCode>0.0</c:formatCode>
                <c:ptCount val="2"/>
                <c:pt idx="0" formatCode="General">
                  <c:v>26</c:v>
                </c:pt>
                <c:pt idx="1">
                  <c:v>21.441858787243682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12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AthMadridGraphs!$A$16</c:f>
              <c:strCache>
                <c:ptCount val="1"/>
                <c:pt idx="0">
                  <c:v>J15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4D9-41D0-BB73-F4B1CE5E1316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D9-41D0-BB73-F4B1CE5E131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AthMadridGraphs!$F$16:$G$16</c:f>
              <c:numCache>
                <c:formatCode>0.0</c:formatCode>
                <c:ptCount val="2"/>
                <c:pt idx="0" formatCode="General">
                  <c:v>29</c:v>
                </c:pt>
                <c:pt idx="1">
                  <c:v>24.038350015313856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13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AthMadridGraphs!$A$17</c:f>
              <c:strCache>
                <c:ptCount val="1"/>
                <c:pt idx="0">
                  <c:v>J16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189-45B0-AB10-D6C39C94CC4A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89-45B0-AB10-D6C39C94CC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AthMadridGraphs!$F$17:$G$17</c:f>
              <c:numCache>
                <c:formatCode>0.0</c:formatCode>
                <c:ptCount val="2"/>
                <c:pt idx="0" formatCode="General">
                  <c:v>32</c:v>
                </c:pt>
                <c:pt idx="1">
                  <c:v>25.60421701868086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14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AthMadridGraphs!$A$18</c:f>
              <c:strCache>
                <c:ptCount val="1"/>
                <c:pt idx="0">
                  <c:v>J17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B40-4224-9CDF-25CE9E2F3ACF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40-4224-9CDF-25CE9E2F3AC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AthMadridGraphs!$F$18:$G$18</c:f>
              <c:numCache>
                <c:formatCode>0.0</c:formatCode>
                <c:ptCount val="2"/>
                <c:pt idx="0" formatCode="General">
                  <c:v>35</c:v>
                </c:pt>
                <c:pt idx="1">
                  <c:v>27.858729934958482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15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AthMadridGraphs!$A$19</c:f>
              <c:strCache>
                <c:ptCount val="1"/>
                <c:pt idx="0">
                  <c:v>J18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0B8-48D1-9D44-D33B2F574FC2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B8-48D1-9D44-D33B2F574F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AthMadridGraphs!$F$19:$G$19</c:f>
              <c:numCache>
                <c:formatCode>0.0</c:formatCode>
                <c:ptCount val="2"/>
                <c:pt idx="0" formatCode="General">
                  <c:v>38</c:v>
                </c:pt>
                <c:pt idx="1">
                  <c:v>30.002022807663121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16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AthMadridGraphs!$A$20</c:f>
              <c:strCache>
                <c:ptCount val="1"/>
                <c:pt idx="0">
                  <c:v>J19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660-41A8-A7F5-E7FF1D4FB28C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60-41A8-A7F5-E7FF1D4FB28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AthMadridGraphs!$F$20:$G$20</c:f>
              <c:numCache>
                <c:formatCode>0.0</c:formatCode>
                <c:ptCount val="2"/>
                <c:pt idx="0" formatCode="General">
                  <c:v>41</c:v>
                </c:pt>
                <c:pt idx="1">
                  <c:v>31.812086160489631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17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AthMadridGraphs!$A$21</c:f>
              <c:strCache>
                <c:ptCount val="1"/>
                <c:pt idx="0">
                  <c:v>J20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2F8-4023-AF05-843FF2BADCCD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2F8-4023-AF05-843FF2BADC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AthMadridGraphs!$F$21:$G$21</c:f>
              <c:numCache>
                <c:formatCode>0.0</c:formatCode>
                <c:ptCount val="2"/>
                <c:pt idx="0" formatCode="General">
                  <c:v>44</c:v>
                </c:pt>
                <c:pt idx="1">
                  <c:v>33.846268137265511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18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AthMadridGraphs!$A$22</c:f>
              <c:strCache>
                <c:ptCount val="1"/>
                <c:pt idx="0">
                  <c:v>J21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185-41DC-8A98-4110100E4FC2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85-41DC-8A98-4110100E4F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AthMadridGraphs!$F$22:$G$22</c:f>
              <c:numCache>
                <c:formatCode>0.0</c:formatCode>
                <c:ptCount val="2"/>
                <c:pt idx="0" formatCode="General">
                  <c:v>47</c:v>
                </c:pt>
                <c:pt idx="1">
                  <c:v>36.133235555811879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19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AthMadridGraphs!$A$23</c:f>
              <c:strCache>
                <c:ptCount val="1"/>
                <c:pt idx="0">
                  <c:v>J22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AA-49AC-9555-06FE808EB0E8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1AA-49AC-9555-06FE808EB0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AthMadridGraphs!$F$23:$G$23</c:f>
              <c:numCache>
                <c:formatCode>0.0</c:formatCode>
                <c:ptCount val="2"/>
                <c:pt idx="0" formatCode="General">
                  <c:v>50</c:v>
                </c:pt>
                <c:pt idx="1">
                  <c:v>38.392494815071139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20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AthMadridGraphs!$A$24</c:f>
              <c:strCache>
                <c:ptCount val="1"/>
                <c:pt idx="0">
                  <c:v>J23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79-4834-A759-631EFA7B8A8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079-4834-A759-631EFA7B8A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AthMadridGraphs!$F$24:$G$24</c:f>
              <c:numCache>
                <c:formatCode>0.0</c:formatCode>
                <c:ptCount val="2"/>
                <c:pt idx="0" formatCode="General">
                  <c:v>51</c:v>
                </c:pt>
                <c:pt idx="1">
                  <c:v>40.469774017350339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21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AthMadridGraphs!$A$3</c:f>
              <c:strCache>
                <c:ptCount val="1"/>
                <c:pt idx="0">
                  <c:v>J02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369-42F1-B5F8-FB5EC6A9C882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69-42F1-B5F8-FB5EC6A9C8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AthMadridGraphs!$AU$3:$AV$3</c:f>
              <c:numCache>
                <c:formatCode>0.0</c:formatCode>
                <c:ptCount val="2"/>
                <c:pt idx="0" formatCode="General">
                  <c:v>54</c:v>
                </c:pt>
                <c:pt idx="1">
                  <c:v>42.361356508932829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22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AthMadridGraphs!$A$4</c:f>
              <c:strCache>
                <c:ptCount val="1"/>
                <c:pt idx="0">
                  <c:v>J03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F61-4E30-82B8-C5B7B75CC5B2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61-4E30-82B8-C5B7B75CC5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AthMadridGraphs!$AU$4:$AV$4</c:f>
              <c:numCache>
                <c:formatCode>0.0</c:formatCode>
                <c:ptCount val="2"/>
                <c:pt idx="0" formatCode="General">
                  <c:v>55</c:v>
                </c:pt>
                <c:pt idx="1">
                  <c:v>44.241874798119852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23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AthMadridGraphs!$A$5</c:f>
              <c:strCache>
                <c:ptCount val="1"/>
                <c:pt idx="0">
                  <c:v>J04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227-4A09-89CA-9FAE5BB1321A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227-4A09-89CA-9FAE5BB132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AthMadridGraphs!$AU$5:$AV$5</c:f>
              <c:numCache>
                <c:formatCode>0.0</c:formatCode>
                <c:ptCount val="2"/>
                <c:pt idx="0" formatCode="General">
                  <c:v>55</c:v>
                </c:pt>
                <c:pt idx="1">
                  <c:v>46.390723226380047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24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AthMadridGraphs!$A$6</c:f>
              <c:strCache>
                <c:ptCount val="1"/>
                <c:pt idx="0">
                  <c:v>J05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C88-44AF-9C56-B58A0EE17040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88-44AF-9C56-B58A0EE1704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AthMadridGraphs!$AU$6:$AV$6</c:f>
              <c:numCache>
                <c:formatCode>0.0</c:formatCode>
                <c:ptCount val="2"/>
                <c:pt idx="0" formatCode="General">
                  <c:v>58</c:v>
                </c:pt>
                <c:pt idx="1">
                  <c:v>47.880135120169818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25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AthMadridGraphs!$A$7</c:f>
              <c:strCache>
                <c:ptCount val="1"/>
                <c:pt idx="0">
                  <c:v>J06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1A2-408A-B385-C7BA786B7406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A2-408A-B385-C7BA786B740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AthMadridGraphs!$AU$7:$AV$7</c:f>
              <c:numCache>
                <c:formatCode>0.0</c:formatCode>
                <c:ptCount val="2"/>
                <c:pt idx="0" formatCode="General">
                  <c:v>59</c:v>
                </c:pt>
                <c:pt idx="1">
                  <c:v>49.288308645990405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26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AthMadridGraphs!$A$8</c:f>
              <c:strCache>
                <c:ptCount val="1"/>
                <c:pt idx="0">
                  <c:v>J07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C88-439B-9E84-4C4A9484409A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C88-439B-9E84-4C4A948440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AthMadridGraphs!$AU$8:$AV$8</c:f>
              <c:numCache>
                <c:formatCode>0.0</c:formatCode>
                <c:ptCount val="2"/>
                <c:pt idx="0" formatCode="General">
                  <c:v>62</c:v>
                </c:pt>
                <c:pt idx="1">
                  <c:v>51.192589550271308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27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AthMadridGraphs!$A$9</c:f>
              <c:strCache>
                <c:ptCount val="1"/>
                <c:pt idx="0">
                  <c:v>J08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F04-4398-AB8E-0B0DF90DD14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04-4398-AB8E-0B0DF90DD1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AthMadridGraphs!$AU$9:$AV$9</c:f>
              <c:numCache>
                <c:formatCode>0.0</c:formatCode>
                <c:ptCount val="2"/>
                <c:pt idx="0" formatCode="General">
                  <c:v>63</c:v>
                </c:pt>
                <c:pt idx="1">
                  <c:v>53.01488722995439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28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AthMadridGraphs!$A$10</c:f>
              <c:strCache>
                <c:ptCount val="1"/>
                <c:pt idx="0">
                  <c:v>J09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9AF-40D0-A12C-A228478E6BD1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AF-40D0-A12C-A228478E6BD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AthMadridGraphs!$AU$10:$AV$10</c:f>
              <c:numCache>
                <c:formatCode>0.0</c:formatCode>
                <c:ptCount val="2"/>
                <c:pt idx="0" formatCode="General">
                  <c:v>66</c:v>
                </c:pt>
                <c:pt idx="1">
                  <c:v>55.366303351958749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29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AthMadridGraphs!$A$11</c:f>
              <c:strCache>
                <c:ptCount val="1"/>
                <c:pt idx="0">
                  <c:v>J10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725-4420-8F47-B39ABFC83EC3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25-4420-8F47-B39ABFC83E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AthMadridGraphs!$AU$11:$AV$11</c:f>
              <c:numCache>
                <c:formatCode>0.0</c:formatCode>
                <c:ptCount val="2"/>
                <c:pt idx="0" formatCode="General">
                  <c:v>66</c:v>
                </c:pt>
                <c:pt idx="1">
                  <c:v>56.746039409855726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30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AthMadridGraphs!$A$12</c:f>
              <c:strCache>
                <c:ptCount val="1"/>
                <c:pt idx="0">
                  <c:v>J11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F7F-45FB-BCC5-20068875F9D5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7F-45FB-BCC5-20068875F9D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AthMadridGraphs!$AU$12:$AV$12</c:f>
              <c:numCache>
                <c:formatCode>0.0</c:formatCode>
                <c:ptCount val="2"/>
                <c:pt idx="0" formatCode="General">
                  <c:v>67</c:v>
                </c:pt>
                <c:pt idx="1">
                  <c:v>58.289587347425403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31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AthMadridGraphs!$A$13</c:f>
              <c:strCache>
                <c:ptCount val="1"/>
                <c:pt idx="0">
                  <c:v>J12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2C5-401D-8075-6C916A98C9C0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C5-401D-8075-6C916A98C9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AthMadridGraphs!$AU$13:$AV$13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60.588266429014418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</a:p>
          <a:p>
            <a:pPr>
              <a:defRPr sz="2000"/>
            </a:pP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32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AthMadridGraphs!$A$14</c:f>
              <c:strCache>
                <c:ptCount val="1"/>
                <c:pt idx="0">
                  <c:v>J13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E1C-4937-A108-C02DFB8705C0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1C-4937-A108-C02DFB8705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AthMadridGraphs!$AU$14:$AV$14</c:f>
              <c:numCache>
                <c:formatCode>0.0</c:formatCode>
                <c:ptCount val="2"/>
                <c:pt idx="0" formatCode="General">
                  <c:v>73</c:v>
                </c:pt>
                <c:pt idx="1">
                  <c:v>62.92876637168154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33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AthMadridGraphs!$A$15</c:f>
              <c:strCache>
                <c:ptCount val="1"/>
                <c:pt idx="0">
                  <c:v>J14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023-437B-8270-3AB5CB1A66A0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023-437B-8270-3AB5CB1A66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AthMadridGraphs!$AU$15:$AV$15</c:f>
              <c:numCache>
                <c:formatCode>0.0</c:formatCode>
                <c:ptCount val="2"/>
                <c:pt idx="0" formatCode="General">
                  <c:v>73</c:v>
                </c:pt>
                <c:pt idx="1">
                  <c:v>64.734429177344339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34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AthMadridGraphs!$A$16</c:f>
              <c:strCache>
                <c:ptCount val="1"/>
                <c:pt idx="0">
                  <c:v>J15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DA3-4B57-98D1-BE31BB63B891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DA3-4B57-98D1-BE31BB63B89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AthMadridGraphs!$AU$16:$AV$16</c:f>
              <c:numCache>
                <c:formatCode>0.0</c:formatCode>
                <c:ptCount val="2"/>
                <c:pt idx="0" formatCode="General">
                  <c:v>76</c:v>
                </c:pt>
                <c:pt idx="1">
                  <c:v>67.033108258933353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35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AthMadridGraphs!$A$17</c:f>
              <c:strCache>
                <c:ptCount val="1"/>
                <c:pt idx="0">
                  <c:v>J16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E1-49C6-BF7C-E14A3F4269E4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4E1-49C6-BF7C-E14A3F4269E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AthMadridGraphs!$AU$17:$AV$17</c:f>
              <c:numCache>
                <c:formatCode>0.0</c:formatCode>
                <c:ptCount val="2"/>
                <c:pt idx="0" formatCode="General">
                  <c:v>77</c:v>
                </c:pt>
                <c:pt idx="1">
                  <c:v>67.887187902486687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36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AthMadridGraphs!$A$18</c:f>
              <c:strCache>
                <c:ptCount val="1"/>
                <c:pt idx="0">
                  <c:v>J17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38-44DC-9C56-D1C1A200FB8D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838-44DC-9C56-D1C1A200FB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AthMadridGraphs!$AU$18:$AV$18</c:f>
              <c:numCache>
                <c:formatCode>0.0</c:formatCode>
                <c:ptCount val="2"/>
                <c:pt idx="0" formatCode="General">
                  <c:v>80</c:v>
                </c:pt>
                <c:pt idx="1">
                  <c:v>69.936430326729109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37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AthMadridGraphs!$A$19</c:f>
              <c:strCache>
                <c:ptCount val="1"/>
                <c:pt idx="0">
                  <c:v>J18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1E-46D7-B6DD-D59E58AB0637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B1E-46D7-B6DD-D59E58AB063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AthMadridGraphs!$AU$19:$AV$19</c:f>
              <c:numCache>
                <c:formatCode>0.0</c:formatCode>
                <c:ptCount val="2"/>
                <c:pt idx="0" formatCode="General">
                  <c:v>83</c:v>
                </c:pt>
                <c:pt idx="1">
                  <c:v>72.489023975260039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2000" b="0" i="0" baseline="0">
                <a:effectLst/>
              </a:rPr>
              <a:t>Atlético de Madrid</a:t>
            </a:r>
            <a:br>
              <a:rPr lang="en-US" sz="2000" b="0" i="0" baseline="0">
                <a:effectLst/>
              </a:rPr>
            </a:br>
            <a:r>
              <a:rPr lang="en-US" sz="2000" b="0" i="0" baseline="0">
                <a:effectLst/>
              </a:rPr>
              <a:t>J</a:t>
            </a:r>
            <a:r>
              <a:rPr lang="en-US" sz="2000" b="0" i="0" u="none" strike="noStrike" cap="none" normalizeH="0" baseline="0">
                <a:effectLst/>
              </a:rPr>
              <a:t>ornada </a:t>
            </a:r>
            <a:r>
              <a:rPr lang="en-US" sz="2000" b="0" i="0" baseline="0">
                <a:effectLst/>
              </a:rPr>
              <a:t>38</a:t>
            </a:r>
            <a:endParaRPr lang="es-MX" sz="20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AthMadridGraphs!$A$20</c:f>
              <c:strCache>
                <c:ptCount val="1"/>
                <c:pt idx="0">
                  <c:v>J19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rgbClr val="C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8B-4CF7-AAD0-9827F986618A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rgbClr val="C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68B-4CF7-AAD0-9827F98661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AthMadridGraphs!$AU$1:$AV$1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AthMadridGraphs!$AU$20:$AV$20</c:f>
              <c:numCache>
                <c:formatCode>0.0</c:formatCode>
                <c:ptCount val="2"/>
                <c:pt idx="0" formatCode="General">
                  <c:v>86</c:v>
                </c:pt>
                <c:pt idx="1">
                  <c:v>74.863849929033364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9-41D0-BB73-F4B1CE5E13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118835712"/>
        <c:axId val="1118842368"/>
      </c:barChart>
      <c:catAx>
        <c:axId val="111883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42368"/>
        <c:crosses val="autoZero"/>
        <c:auto val="1"/>
        <c:lblAlgn val="ctr"/>
        <c:lblOffset val="100"/>
        <c:noMultiLvlLbl val="0"/>
      </c:catAx>
      <c:valAx>
        <c:axId val="1118842368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883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Jornada: </a:t>
            </a:r>
            <a:r>
              <a:rPr lang="en-US" b="1">
                <a:solidFill>
                  <a:sysClr val="windowText" lastClr="000000"/>
                </a:solidFill>
              </a:rPr>
              <a:t>1</a:t>
            </a:r>
            <a:endParaRPr lang="es-MX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4E-48CD-B1EB-74F3AE5723D7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4E-48CD-B1EB-74F3AE5723D7}"/>
              </c:ext>
            </c:extLst>
          </c:dPt>
          <c:dLbls>
            <c:spPr>
              <a:noFill/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RealMadridGraphs!$F$2:$G$2</c:f>
              <c:numCache>
                <c:formatCode>0.0</c:formatCode>
                <c:ptCount val="2"/>
                <c:pt idx="0" formatCode="General">
                  <c:v>1</c:v>
                </c:pt>
                <c:pt idx="1">
                  <c:v>1.9339045287637699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solidFill>
                  <a:sysClr val="windowText" lastClr="000000"/>
                </a:solidFill>
                <a:effectLst/>
              </a:rPr>
              <a:t>2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RealMadridGraphs!$E$4</c:f>
              <c:strCache>
                <c:ptCount val="1"/>
                <c:pt idx="0">
                  <c:v>J02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4E-48CD-B1EB-74F3AE5723D7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4E-48CD-B1EB-74F3AE5723D7}"/>
              </c:ext>
            </c:extLst>
          </c:dPt>
          <c:dLbls>
            <c:spPr>
              <a:noFill/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RealMadridGraphs!$F$4:$G$4</c:f>
              <c:numCache>
                <c:formatCode>0.0</c:formatCode>
                <c:ptCount val="2"/>
                <c:pt idx="0" formatCode="General">
                  <c:v>4</c:v>
                </c:pt>
                <c:pt idx="1">
                  <c:v>3.7764971213563623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solidFill>
                  <a:sysClr val="windowText" lastClr="000000"/>
                </a:solidFill>
                <a:effectLst/>
              </a:rPr>
              <a:t>3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RealMadridGraphs!$E$6</c:f>
              <c:strCache>
                <c:ptCount val="1"/>
                <c:pt idx="0">
                  <c:v>J03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BAC-42E8-807F-72F903864CF9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AC-42E8-807F-72F903864CF9}"/>
              </c:ext>
            </c:extLst>
          </c:dPt>
          <c:dLbls>
            <c:spPr>
              <a:noFill/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RealMadridGraphs!$F$6:$G$6</c:f>
              <c:numCache>
                <c:formatCode>0.0</c:formatCode>
                <c:ptCount val="2"/>
                <c:pt idx="0" formatCode="General">
                  <c:v>7</c:v>
                </c:pt>
                <c:pt idx="1">
                  <c:v>6.2991829965012531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effectLst/>
              </a:rPr>
              <a:t>4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RealMadridGraphs!$E$8</c:f>
              <c:strCache>
                <c:ptCount val="1"/>
                <c:pt idx="0">
                  <c:v>J04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4E-48CD-B1EB-74F3AE5723D7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4E-48CD-B1EB-74F3AE5723D7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RealMadridGraphs!$F$8:$G$8</c:f>
              <c:numCache>
                <c:formatCode>0.0</c:formatCode>
                <c:ptCount val="2"/>
                <c:pt idx="0" formatCode="General">
                  <c:v>10</c:v>
                </c:pt>
                <c:pt idx="1">
                  <c:v>8.4473311446494002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effectLst/>
              </a:rPr>
              <a:t>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RealMadridGraphs!$E$10</c:f>
              <c:strCache>
                <c:ptCount val="1"/>
                <c:pt idx="0">
                  <c:v>J05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52-450D-B1E4-797A63672B9B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52-450D-B1E4-797A63672B9B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RealMadridGraphs!$F$10:$G$10</c:f>
              <c:numCache>
                <c:formatCode>0.0</c:formatCode>
                <c:ptCount val="2"/>
                <c:pt idx="0" formatCode="General">
                  <c:v>10</c:v>
                </c:pt>
                <c:pt idx="1">
                  <c:v>11.056585920005871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effectLst/>
              </a:rPr>
              <a:t>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RealMadridGraphs!$E$12</c:f>
              <c:strCache>
                <c:ptCount val="1"/>
                <c:pt idx="0">
                  <c:v>J06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CAB-4C26-B396-CFA0787EC7AC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CAB-4C26-B396-CFA0787EC7AC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RealMadridGraphs!$F$12:$G$12</c:f>
              <c:numCache>
                <c:formatCode>0.0</c:formatCode>
                <c:ptCount val="2"/>
                <c:pt idx="0" formatCode="General">
                  <c:v>13</c:v>
                </c:pt>
                <c:pt idx="1">
                  <c:v>12.093622957042907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effectLst/>
              </a:rPr>
              <a:t>7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RealMadridGraphs!$E$14</c:f>
              <c:strCache>
                <c:ptCount val="1"/>
                <c:pt idx="0">
                  <c:v>J07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4E-48CD-B1EB-74F3AE5723D7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4E-48CD-B1EB-74F3AE5723D7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RealMadridGraphs!$F$14:$G$14</c:f>
              <c:numCache>
                <c:formatCode>0.0</c:formatCode>
                <c:ptCount val="2"/>
                <c:pt idx="0" formatCode="General">
                  <c:v>16</c:v>
                </c:pt>
                <c:pt idx="1">
                  <c:v>14.468448910816228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effectLst/>
              </a:rPr>
              <a:t>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RealMadridGraphs!$E$16</c:f>
              <c:strCache>
                <c:ptCount val="1"/>
                <c:pt idx="0">
                  <c:v>J08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991-414D-B9C2-EC7512A850C1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91-414D-B9C2-EC7512A850C1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RealMadridGraphs!$F$16:$G$16</c:f>
              <c:numCache>
                <c:formatCode>0.0</c:formatCode>
                <c:ptCount val="2"/>
                <c:pt idx="0" formatCode="General">
                  <c:v>16</c:v>
                </c:pt>
                <c:pt idx="1">
                  <c:v>16.658809870687168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effectLst/>
              </a:rPr>
              <a:t>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RealMadridGraphs!$E$18</c:f>
              <c:strCache>
                <c:ptCount val="1"/>
                <c:pt idx="0">
                  <c:v>J09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583-4A84-9ECA-2C80DBE5D3A9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583-4A84-9ECA-2C80DBE5D3A9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RealMadridGraphs!$F$18:$G$18</c:f>
              <c:numCache>
                <c:formatCode>0.0</c:formatCode>
                <c:ptCount val="2"/>
                <c:pt idx="0" formatCode="General">
                  <c:v>17</c:v>
                </c:pt>
                <c:pt idx="1">
                  <c:v>18.180588572183456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effectLst/>
              </a:rPr>
              <a:t>10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RealMadridGraphs!$E$20</c:f>
              <c:strCache>
                <c:ptCount val="1"/>
                <c:pt idx="0">
                  <c:v>J10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4E-48CD-B1EB-74F3AE5723D7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4E-48CD-B1EB-74F3AE5723D7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RealMadridGraphs!$F$20:$G$20</c:f>
              <c:numCache>
                <c:formatCode>0.0</c:formatCode>
                <c:ptCount val="2"/>
                <c:pt idx="0" formatCode="General">
                  <c:v>17</c:v>
                </c:pt>
                <c:pt idx="1">
                  <c:v>20.555414525956778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effectLst/>
              </a:rPr>
              <a:t>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RealMadridGraphs!$E$22</c:f>
              <c:strCache>
                <c:ptCount val="1"/>
                <c:pt idx="0">
                  <c:v>J11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137-4F96-92FA-24B1D318FDEE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37-4F96-92FA-24B1D318FDEE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RealMadridGraphs!$F$22:$G$22</c:f>
              <c:numCache>
                <c:formatCode>0.0</c:formatCode>
                <c:ptCount val="2"/>
                <c:pt idx="0" formatCode="General">
                  <c:v>20</c:v>
                </c:pt>
                <c:pt idx="1">
                  <c:v>21.877460381335965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effectLst/>
              </a:rPr>
              <a:t>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RealMadridGraphs!$E$24</c:f>
              <c:strCache>
                <c:ptCount val="1"/>
                <c:pt idx="0">
                  <c:v>J12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6E6-4451-9EE2-6063AB3AC861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E6-4451-9EE2-6063AB3AC861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RealMadridGraphs!$F$24:$G$24</c:f>
              <c:numCache>
                <c:formatCode>0.0</c:formatCode>
                <c:ptCount val="2"/>
                <c:pt idx="0" formatCode="General">
                  <c:v>23</c:v>
                </c:pt>
                <c:pt idx="1">
                  <c:v>23.404313767936898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 sz="1600" b="0" i="0" u="none" strike="noStrike" cap="none" normalizeH="0" baseline="0">
                <a:effectLst/>
              </a:rPr>
              <a:t>Jornada: </a:t>
            </a:r>
            <a:r>
              <a:rPr lang="en-US" sz="1600" b="1" i="0" u="none" strike="noStrike" cap="none" normalizeH="0" baseline="0">
                <a:effectLst/>
              </a:rPr>
              <a:t>13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RealMadridGraphs!$E$26</c:f>
              <c:strCache>
                <c:ptCount val="1"/>
                <c:pt idx="0">
                  <c:v>J13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4E-48CD-B1EB-74F3AE5723D7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4E-48CD-B1EB-74F3AE5723D7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RealMadridGraphs!$F$26:$G$26</c:f>
              <c:numCache>
                <c:formatCode>0.0</c:formatCode>
                <c:ptCount val="2"/>
                <c:pt idx="0" formatCode="General">
                  <c:v>26</c:v>
                </c:pt>
                <c:pt idx="1">
                  <c:v>25.518105367963237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RealMadridGraphs!$E$28</c:f>
              <c:strCache>
                <c:ptCount val="1"/>
                <c:pt idx="0">
                  <c:v>J14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309-4512-B04D-DC375E73EA95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309-4512-B04D-DC375E73EA95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RealMadridGraphs!$F$28:$G$28</c:f>
              <c:numCache>
                <c:formatCode>0.0</c:formatCode>
                <c:ptCount val="2"/>
                <c:pt idx="0" formatCode="General">
                  <c:v>29</c:v>
                </c:pt>
                <c:pt idx="1">
                  <c:v>27.678056527914396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RealMadridGraphs!$E$30</c:f>
              <c:strCache>
                <c:ptCount val="1"/>
                <c:pt idx="0">
                  <c:v>J15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B76-4728-9005-2F1FAF22447E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B76-4728-9005-2F1FAF22447E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RealMadridGraphs!$F$1:$G$1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RealMadridGraphs!$F$30:$G$30</c:f>
              <c:numCache>
                <c:formatCode>0.0</c:formatCode>
                <c:ptCount val="2"/>
                <c:pt idx="0" formatCode="General">
                  <c:v>32</c:v>
                </c:pt>
                <c:pt idx="1">
                  <c:v>30.052882481687718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BAC-42E8-807F-72F903864CF9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BAC-42E8-807F-72F903864CF9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RealMadridGraphs!$AL$2:$AM$2</c:f>
              <c:numCache>
                <c:formatCode>0.0</c:formatCode>
                <c:ptCount val="2"/>
                <c:pt idx="0" formatCode="General">
                  <c:v>33</c:v>
                </c:pt>
                <c:pt idx="1">
                  <c:v>32.534933763738998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2A-472A-AE8E-2DDD8EDAEF21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82A-472A-AE8E-2DDD8EDAEF21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RealMadridGraphs!$AL$4:$AM$4</c:f>
              <c:numCache>
                <c:formatCode>0.0</c:formatCode>
                <c:ptCount val="2"/>
                <c:pt idx="0" formatCode="General">
                  <c:v>36</c:v>
                </c:pt>
                <c:pt idx="1">
                  <c:v>34.750370860755041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BA-471E-9B1F-31F3B352EDDA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BBA-471E-9B1F-31F3B352EDDA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RealMadridGraphs!$AL$6:$AM$6</c:f>
              <c:numCache>
                <c:formatCode>0.0</c:formatCode>
                <c:ptCount val="2"/>
                <c:pt idx="0" formatCode="General">
                  <c:v>37</c:v>
                </c:pt>
                <c:pt idx="1">
                  <c:v>36.957825837720002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RealMadridGraphs!$E$8</c:f>
              <c:strCache>
                <c:ptCount val="1"/>
                <c:pt idx="0">
                  <c:v>J04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68-4CD6-A1F0-11E71EAB9C09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768-4CD6-A1F0-11E71EAB9C09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RealMadridGraphs!$AL$8:$AM$8</c:f>
              <c:numCache>
                <c:formatCode>0.0</c:formatCode>
                <c:ptCount val="2"/>
                <c:pt idx="0" formatCode="General">
                  <c:v>40</c:v>
                </c:pt>
                <c:pt idx="1">
                  <c:v>39.047021451761033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RealMadridGraphs!$E$10</c:f>
              <c:strCache>
                <c:ptCount val="1"/>
                <c:pt idx="0">
                  <c:v>J05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FF9-4A0C-BB64-DF620BD0BBFD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3FF9-4A0C-BB64-DF620BD0BBFD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RealMadridGraphs!$AL$10:$AM$10</c:f>
              <c:numCache>
                <c:formatCode>0.0</c:formatCode>
                <c:ptCount val="2"/>
                <c:pt idx="0" formatCode="General">
                  <c:v>40</c:v>
                </c:pt>
                <c:pt idx="1">
                  <c:v>41.40621488990184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RealMadridGraphs!$E$12</c:f>
              <c:strCache>
                <c:ptCount val="1"/>
                <c:pt idx="0">
                  <c:v>J06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AF-4859-9DFE-60EFCAB62AD0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4AF-4859-9DFE-60EFCAB62AD0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RealMadridGraphs!$AL$12:$AM$12</c:f>
              <c:numCache>
                <c:formatCode>0.0</c:formatCode>
                <c:ptCount val="2"/>
                <c:pt idx="0" formatCode="General">
                  <c:v>43</c:v>
                </c:pt>
                <c:pt idx="1">
                  <c:v>43.632405366092314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RealMadridGraphs!$E$14</c:f>
              <c:strCache>
                <c:ptCount val="1"/>
                <c:pt idx="0">
                  <c:v>J07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AC-4E8C-AA08-D8FD71007148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CAC-4E8C-AA08-D8FD71007148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RealMadridGraphs!$AL$14:$AM$14</c:f>
              <c:numCache>
                <c:formatCode>0.0</c:formatCode>
                <c:ptCount val="2"/>
                <c:pt idx="0" formatCode="General">
                  <c:v>46</c:v>
                </c:pt>
                <c:pt idx="1">
                  <c:v>45.766601779700494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RealMadridGraphs!$E$16</c:f>
              <c:strCache>
                <c:ptCount val="1"/>
                <c:pt idx="0">
                  <c:v>J08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B2-4E88-874E-576B42D91C3A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7B2-4E88-874E-576B42D91C3A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RealMadridGraphs!$AL$16:$AM$16</c:f>
              <c:numCache>
                <c:formatCode>0.0</c:formatCode>
                <c:ptCount val="2"/>
                <c:pt idx="0" formatCode="General">
                  <c:v>49</c:v>
                </c:pt>
                <c:pt idx="1">
                  <c:v>48.053569198246862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RealMadridGraphs!$E$18</c:f>
              <c:strCache>
                <c:ptCount val="1"/>
                <c:pt idx="0">
                  <c:v>J09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9E-4E5E-B8D2-9FA6476E3925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49E-4E5E-B8D2-9FA6476E3925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RealMadridGraphs!$AL$18:$AM$18</c:f>
              <c:numCache>
                <c:formatCode>0.0</c:formatCode>
                <c:ptCount val="2"/>
                <c:pt idx="0" formatCode="General">
                  <c:v>52</c:v>
                </c:pt>
                <c:pt idx="1">
                  <c:v>50.126684335056268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RealMadridGraphs!$E$20</c:f>
              <c:strCache>
                <c:ptCount val="1"/>
                <c:pt idx="0">
                  <c:v>J10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46-4E64-B8B2-211CC6826D69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946-4E64-B8B2-211CC6826D69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RealMadridGraphs!$AL$20:$AM$20</c:f>
              <c:numCache>
                <c:formatCode>0.0</c:formatCode>
                <c:ptCount val="2"/>
                <c:pt idx="0" formatCode="General">
                  <c:v>53</c:v>
                </c:pt>
                <c:pt idx="1">
                  <c:v>51.95409781410909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RealMadridGraphs!$E$22</c:f>
              <c:strCache>
                <c:ptCount val="1"/>
                <c:pt idx="0">
                  <c:v>J11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74-4C86-9AA7-384F871D71C9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F74-4C86-9AA7-384F871D71C9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RealMadridGraphs!$AL$22:$AM$22</c:f>
              <c:numCache>
                <c:formatCode>0.0</c:formatCode>
                <c:ptCount val="2"/>
                <c:pt idx="0" formatCode="General">
                  <c:v>54</c:v>
                </c:pt>
                <c:pt idx="1">
                  <c:v>53.257229323122949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J01-J27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RealMadridGraphs!$E$24</c:f>
              <c:strCache>
                <c:ptCount val="1"/>
                <c:pt idx="0">
                  <c:v>J12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7D-430A-AE92-B93289668D52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17D-430A-AE92-B93289668D52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RealMadridGraphs!$AL$24:$AM$24</c:f>
              <c:numCache>
                <c:formatCode>0.0</c:formatCode>
                <c:ptCount val="2"/>
                <c:pt idx="0" formatCode="General">
                  <c:v>57</c:v>
                </c:pt>
                <c:pt idx="1">
                  <c:v>55.866484098479418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RealMadridGraphs!$E$26</c:f>
              <c:strCache>
                <c:ptCount val="1"/>
                <c:pt idx="0">
                  <c:v>J13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15D-4F55-B36F-037B5CEACF66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15D-4F55-B36F-037B5CEACF66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RealMadridGraphs!$AL$26:$AM$26</c:f>
              <c:numCache>
                <c:formatCode>0.0</c:formatCode>
                <c:ptCount val="2"/>
                <c:pt idx="0" formatCode="General">
                  <c:v>60</c:v>
                </c:pt>
                <c:pt idx="1">
                  <c:v>57.777547170251978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J01-J29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RealMadridGraphs!$E$28</c:f>
              <c:strCache>
                <c:ptCount val="1"/>
                <c:pt idx="0">
                  <c:v>J14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15-4819-AC50-FBF880709FB1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E15-4819-AC50-FBF880709FB1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RealMadridGraphs!$AL$28:$AM$28</c:f>
              <c:numCache>
                <c:formatCode>0.0</c:formatCode>
                <c:ptCount val="2"/>
                <c:pt idx="0" formatCode="General">
                  <c:v>63</c:v>
                </c:pt>
                <c:pt idx="1">
                  <c:v>60.136740608392785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RealMadridGraphs!$E$30</c:f>
              <c:strCache>
                <c:ptCount val="1"/>
                <c:pt idx="0">
                  <c:v>J15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66-41BA-B69A-AA3069BD3D11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566-41BA-B69A-AA3069BD3D11}"/>
              </c:ext>
            </c:extLst>
          </c:dPt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RealMadridGraphs!$AL$30:$AM$30</c:f>
              <c:numCache>
                <c:formatCode>0.0</c:formatCode>
                <c:ptCount val="2"/>
                <c:pt idx="0" formatCode="General">
                  <c:v>66</c:v>
                </c:pt>
                <c:pt idx="1">
                  <c:v>61.39788259379106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RealMadridGraphs!$BQ$2:$BR$2</c:f>
              <c:numCache>
                <c:formatCode>0.0</c:formatCode>
                <c:ptCount val="2"/>
                <c:pt idx="0" formatCode="General">
                  <c:v>67</c:v>
                </c:pt>
                <c:pt idx="1">
                  <c:v>63.455301503383879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J01-J32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RealMadridGraphs!$BQ$4:$BR$4</c:f>
              <c:numCache>
                <c:formatCode>0.0</c:formatCode>
                <c:ptCount val="2"/>
                <c:pt idx="0" formatCode="General">
                  <c:v>70</c:v>
                </c:pt>
                <c:pt idx="1">
                  <c:v>65.795801446051001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J01-J33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RealMadridGraphs!$BQ$6:$BR$6</c:f>
              <c:numCache>
                <c:formatCode>0.0</c:formatCode>
                <c:ptCount val="2"/>
                <c:pt idx="0" formatCode="General">
                  <c:v>71</c:v>
                </c:pt>
                <c:pt idx="1">
                  <c:v>68.003256423015955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RealMadridGraphs!$BQ$8:$BR$8</c:f>
              <c:numCache>
                <c:formatCode>0.0</c:formatCode>
                <c:ptCount val="2"/>
                <c:pt idx="0" formatCode="General">
                  <c:v>74</c:v>
                </c:pt>
                <c:pt idx="1">
                  <c:v>70.338550540663007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J01-J35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RealMadridGraphs!$BQ$10:$BR$10</c:f>
              <c:numCache>
                <c:formatCode>0.0</c:formatCode>
                <c:ptCount val="2"/>
                <c:pt idx="0" formatCode="General">
                  <c:v>75</c:v>
                </c:pt>
                <c:pt idx="1">
                  <c:v>72.10463241200803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RealMadridGraphs!$BQ$12:$BR$12</c:f>
              <c:numCache>
                <c:formatCode>0.0</c:formatCode>
                <c:ptCount val="2"/>
                <c:pt idx="0" formatCode="General">
                  <c:v>78</c:v>
                </c:pt>
                <c:pt idx="1">
                  <c:v>74.387701195076815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RealMadridGraphs!$BQ$14:$BR$14</c:f>
              <c:numCache>
                <c:formatCode>0.0</c:formatCode>
                <c:ptCount val="2"/>
                <c:pt idx="0" formatCode="General">
                  <c:v>81</c:v>
                </c:pt>
                <c:pt idx="1">
                  <c:v>76.416669449045074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Real Madrid Madrid 2020-2021</a:t>
            </a:r>
            <a:br>
              <a:rPr lang="en-US"/>
            </a:br>
            <a:r>
              <a:rPr lang="en-US"/>
              <a:t>J01-J38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RealMadridGraphs!$E$2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dk1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RealMadridGraphs!$AL$1:$AM$1</c:f>
              <c:strCache>
                <c:ptCount val="2"/>
                <c:pt idx="0">
                  <c:v>Puntos Obtenidos</c:v>
                </c:pt>
                <c:pt idx="1">
                  <c:v>Puntos Esperados</c:v>
                </c:pt>
              </c:strCache>
            </c:strRef>
          </c:cat>
          <c:val>
            <c:numRef>
              <c:f>RealMadridGraphs!$BQ$16:$BR$16</c:f>
              <c:numCache>
                <c:formatCode>0.0</c:formatCode>
                <c:ptCount val="2"/>
                <c:pt idx="0" formatCode="General">
                  <c:v>84</c:v>
                </c:pt>
                <c:pt idx="1">
                  <c:v>78.668684101059725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4E-48CD-B1EB-74F3AE5723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775612576"/>
        <c:axId val="775617984"/>
      </c:barChart>
      <c:catAx>
        <c:axId val="7756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7984"/>
        <c:crosses val="autoZero"/>
        <c:auto val="1"/>
        <c:lblAlgn val="ctr"/>
        <c:lblOffset val="100"/>
        <c:noMultiLvlLbl val="0"/>
      </c:catAx>
      <c:valAx>
        <c:axId val="775617984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561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</c:f>
              <c:strCache>
                <c:ptCount val="1"/>
                <c:pt idx="0">
                  <c:v>J01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B70-416A-AF2D-27D527D4E167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B70-416A-AF2D-27D527D4E16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BB70-416A-AF2D-27D527D4E167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BB70-416A-AF2D-27D527D4E167}"/>
              </c:ext>
            </c:extLst>
          </c:dPt>
          <c:dPt>
            <c:idx val="4"/>
            <c:invertIfNegative val="0"/>
            <c:bubble3D val="0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BB70-416A-AF2D-27D527D4E16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B70-416A-AF2D-27D527D4E16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BB70-416A-AF2D-27D527D4E16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BB70-416A-AF2D-27D527D4E167}"/>
              </c:ext>
            </c:extLst>
          </c:dPt>
          <c:dLbls>
            <c:delete val="1"/>
          </c:dLbls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'GraphsTop4SP1_2020-2021'!$B$2:$I$2</c:f>
              <c:numCache>
                <c:formatCode>0.0</c:formatCode>
                <c:ptCount val="8"/>
                <c:pt idx="0" formatCode="General">
                  <c:v>3</c:v>
                </c:pt>
                <c:pt idx="1">
                  <c:v>2.1833333333333331</c:v>
                </c:pt>
                <c:pt idx="2" formatCode="General">
                  <c:v>1</c:v>
                </c:pt>
                <c:pt idx="3">
                  <c:v>1.9339045287637699</c:v>
                </c:pt>
                <c:pt idx="4" formatCode="General">
                  <c:v>3</c:v>
                </c:pt>
                <c:pt idx="5">
                  <c:v>2.1114088147336232</c:v>
                </c:pt>
                <c:pt idx="6" formatCode="General">
                  <c:v>3</c:v>
                </c:pt>
                <c:pt idx="7">
                  <c:v>1.9544662309368195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</c:f>
              <c:strCache>
                <c:ptCount val="1"/>
                <c:pt idx="0">
                  <c:v>J02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2-4C5C-9559-764D22955061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2-4C5C-9559-764D2295506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CA2-4C5C-9559-764D22955061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CA2-4C5C-9559-764D22955061}"/>
              </c:ext>
            </c:extLst>
          </c:dPt>
          <c:dPt>
            <c:idx val="4"/>
            <c:invertIfNegative val="0"/>
            <c:bubble3D val="0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A2-4C5C-9559-764D22955061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CA2-4C5C-9559-764D2295506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A2-4C5C-9559-764D22955061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'GraphsTop4SP1_2020-2021'!$B$3:$I$3</c:f>
              <c:numCache>
                <c:formatCode>0.0</c:formatCode>
                <c:ptCount val="8"/>
                <c:pt idx="0" formatCode="General">
                  <c:v>4</c:v>
                </c:pt>
                <c:pt idx="1">
                  <c:v>4.4089490968801313</c:v>
                </c:pt>
                <c:pt idx="2" formatCode="General">
                  <c:v>4</c:v>
                </c:pt>
                <c:pt idx="3">
                  <c:v>3.7764971213563623</c:v>
                </c:pt>
                <c:pt idx="4" formatCode="General">
                  <c:v>3</c:v>
                </c:pt>
                <c:pt idx="5">
                  <c:v>4.0453133434973934</c:v>
                </c:pt>
                <c:pt idx="6" formatCode="General">
                  <c:v>6</c:v>
                </c:pt>
                <c:pt idx="7">
                  <c:v>4.2264239028944921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3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'GraphsTop4SP1_2020-2021'!$A$4</c:f>
              <c:strCache>
                <c:ptCount val="1"/>
                <c:pt idx="0">
                  <c:v>J03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CB-46FA-9BA4-0522144FEDA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CB-46FA-9BA4-0522144FEDA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CB-46FA-9BA4-0522144FEDAE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ACB-46FA-9BA4-0522144FEDAE}"/>
              </c:ext>
            </c:extLst>
          </c:dPt>
          <c:dPt>
            <c:idx val="4"/>
            <c:invertIfNegative val="0"/>
            <c:bubble3D val="0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CB-46FA-9BA4-0522144FEDA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CB-46FA-9BA4-0522144FED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ACB-46FA-9BA4-0522144FED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ACB-46FA-9BA4-0522144FEDAE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'GraphsTop4SP1_2020-2021'!$B$4:$I$4</c:f>
              <c:numCache>
                <c:formatCode>0.0</c:formatCode>
                <c:ptCount val="8"/>
                <c:pt idx="0" formatCode="General">
                  <c:v>5</c:v>
                </c:pt>
                <c:pt idx="1">
                  <c:v>6.4495847896897374</c:v>
                </c:pt>
                <c:pt idx="2" formatCode="General">
                  <c:v>7</c:v>
                </c:pt>
                <c:pt idx="3">
                  <c:v>6.2991829965012531</c:v>
                </c:pt>
                <c:pt idx="4" formatCode="General">
                  <c:v>4</c:v>
                </c:pt>
                <c:pt idx="5">
                  <c:v>6.260750440513438</c:v>
                </c:pt>
                <c:pt idx="6" formatCode="General">
                  <c:v>7</c:v>
                </c:pt>
                <c:pt idx="7">
                  <c:v>4.9509783594034653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4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'GraphsTop4SP1_2020-2021'!$A$5</c:f>
              <c:strCache>
                <c:ptCount val="1"/>
                <c:pt idx="0">
                  <c:v>J04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60-413E-A18B-04405B0AD9FF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60-413E-A18B-04405B0AD9F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60-413E-A18B-04405B0AD9FF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A60-413E-A18B-04405B0AD9FF}"/>
              </c:ext>
            </c:extLst>
          </c:dPt>
          <c:dPt>
            <c:idx val="4"/>
            <c:invertIfNegative val="0"/>
            <c:bubble3D val="0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A60-413E-A18B-04405B0AD9F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60-413E-A18B-04405B0AD9F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A60-413E-A18B-04405B0AD9F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A60-413E-A18B-04405B0AD9FF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'GraphsTop4SP1_2020-2021'!$B$5:$I$5</c:f>
              <c:numCache>
                <c:formatCode>0.0</c:formatCode>
                <c:ptCount val="8"/>
                <c:pt idx="0" formatCode="General">
                  <c:v>8</c:v>
                </c:pt>
                <c:pt idx="1">
                  <c:v>8.3918647319696795</c:v>
                </c:pt>
                <c:pt idx="2" formatCode="General">
                  <c:v>10</c:v>
                </c:pt>
                <c:pt idx="3">
                  <c:v>8.4473311446494002</c:v>
                </c:pt>
                <c:pt idx="4" formatCode="General">
                  <c:v>4</c:v>
                </c:pt>
                <c:pt idx="5">
                  <c:v>7.7423104441162174</c:v>
                </c:pt>
                <c:pt idx="6" formatCode="General">
                  <c:v>7</c:v>
                </c:pt>
                <c:pt idx="7">
                  <c:v>6.7460051420463465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5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'GraphsTop4SP1_2020-2021'!$A$6</c:f>
              <c:strCache>
                <c:ptCount val="1"/>
                <c:pt idx="0">
                  <c:v>J05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F3-4D72-B0BD-4E8041ECDD99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F3-4D72-B0BD-4E8041ECDD9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8F3-4D72-B0BD-4E8041ECDD99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8F3-4D72-B0BD-4E8041ECDD99}"/>
              </c:ext>
            </c:extLst>
          </c:dPt>
          <c:dPt>
            <c:idx val="4"/>
            <c:invertIfNegative val="0"/>
            <c:bubble3D val="0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F3-4D72-B0BD-4E8041ECDD9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F3-4D72-B0BD-4E8041ECDD99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F3-4D72-B0BD-4E8041ECDD9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8F3-4D72-B0BD-4E8041ECDD99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'GraphsTop4SP1_2020-2021'!$B$6:$I$6</c:f>
              <c:numCache>
                <c:formatCode>0.0</c:formatCode>
                <c:ptCount val="8"/>
                <c:pt idx="0" formatCode="General">
                  <c:v>11</c:v>
                </c:pt>
                <c:pt idx="1">
                  <c:v>10.507619379133494</c:v>
                </c:pt>
                <c:pt idx="2" formatCode="General">
                  <c:v>10</c:v>
                </c:pt>
                <c:pt idx="3">
                  <c:v>11.056585920005871</c:v>
                </c:pt>
                <c:pt idx="4" formatCode="General">
                  <c:v>4</c:v>
                </c:pt>
                <c:pt idx="5">
                  <c:v>10.077604561763277</c:v>
                </c:pt>
                <c:pt idx="6" formatCode="General">
                  <c:v>7</c:v>
                </c:pt>
                <c:pt idx="7">
                  <c:v>8.9740036908858603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6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'GraphsTop4SP1_2020-2021'!$A$7</c:f>
              <c:strCache>
                <c:ptCount val="1"/>
                <c:pt idx="0">
                  <c:v>J06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B70-416A-AF2D-27D527D4E167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B70-416A-AF2D-27D527D4E16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BB70-416A-AF2D-27D527D4E167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BB70-416A-AF2D-27D527D4E16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B70-416A-AF2D-27D527D4E16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BB70-416A-AF2D-27D527D4E16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BB70-416A-AF2D-27D527D4E167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'GraphsTop4SP1_2020-2021'!$B$7:$I$7</c:f>
              <c:numCache>
                <c:formatCode>0.0</c:formatCode>
                <c:ptCount val="8"/>
                <c:pt idx="0" formatCode="General">
                  <c:v>14</c:v>
                </c:pt>
                <c:pt idx="1">
                  <c:v>12.449899321413437</c:v>
                </c:pt>
                <c:pt idx="2" formatCode="General">
                  <c:v>13</c:v>
                </c:pt>
                <c:pt idx="3">
                  <c:v>12.093622957042907</c:v>
                </c:pt>
                <c:pt idx="4" formatCode="General">
                  <c:v>7</c:v>
                </c:pt>
                <c:pt idx="5">
                  <c:v>12.384223505637122</c:v>
                </c:pt>
                <c:pt idx="6" formatCode="General">
                  <c:v>7</c:v>
                </c:pt>
                <c:pt idx="7">
                  <c:v>10.392807109689279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7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'GraphsTop4SP1_2020-2021'!$A$8</c:f>
              <c:strCache>
                <c:ptCount val="1"/>
                <c:pt idx="0">
                  <c:v>J07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2-4C5C-9559-764D22955061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2-4C5C-9559-764D2295506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CA2-4C5C-9559-764D22955061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CA2-4C5C-9559-764D2295506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9D7-41EF-85CE-D818A1AC99B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CA2-4C5C-9559-764D2295506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A2-4C5C-9559-764D22955061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'GraphsTop4SP1_2020-2021'!$B$8:$I$8</c:f>
              <c:numCache>
                <c:formatCode>0.0</c:formatCode>
                <c:ptCount val="8"/>
                <c:pt idx="0" formatCode="General">
                  <c:v>17</c:v>
                </c:pt>
                <c:pt idx="1">
                  <c:v>14.761010432524547</c:v>
                </c:pt>
                <c:pt idx="2" formatCode="General">
                  <c:v>16</c:v>
                </c:pt>
                <c:pt idx="3">
                  <c:v>14.468448910816228</c:v>
                </c:pt>
                <c:pt idx="4" formatCode="General">
                  <c:v>10</c:v>
                </c:pt>
                <c:pt idx="5">
                  <c:v>14.599660602653167</c:v>
                </c:pt>
                <c:pt idx="6" formatCode="General">
                  <c:v>10</c:v>
                </c:pt>
                <c:pt idx="7">
                  <c:v>12.5634420303242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8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'GraphsTop4SP1_2020-2021'!$A$9</c:f>
              <c:strCache>
                <c:ptCount val="1"/>
                <c:pt idx="0">
                  <c:v>J08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CB-46FA-9BA4-0522144FEDA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CB-46FA-9BA4-0522144FEDA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CB-46FA-9BA4-0522144FEDAE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ACB-46FA-9BA4-0522144FEDA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CB-46FA-9BA4-0522144FED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ACB-46FA-9BA4-0522144FED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ACB-46FA-9BA4-0522144FEDAE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'GraphsTop4SP1_2020-2021'!$B$9:$I$9</c:f>
              <c:numCache>
                <c:formatCode>0.0</c:formatCode>
                <c:ptCount val="8"/>
                <c:pt idx="0" formatCode="General">
                  <c:v>20</c:v>
                </c:pt>
                <c:pt idx="1">
                  <c:v>16.011230409937891</c:v>
                </c:pt>
                <c:pt idx="2" formatCode="General">
                  <c:v>16</c:v>
                </c:pt>
                <c:pt idx="3">
                  <c:v>16.658809870687168</c:v>
                </c:pt>
                <c:pt idx="4" formatCode="General">
                  <c:v>13</c:v>
                </c:pt>
                <c:pt idx="5">
                  <c:v>16.433687838319745</c:v>
                </c:pt>
                <c:pt idx="6" formatCode="General">
                  <c:v>13</c:v>
                </c:pt>
                <c:pt idx="7">
                  <c:v>14.519206765158703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9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'GraphsTop4SP1_2020-2021'!$A$10</c:f>
              <c:strCache>
                <c:ptCount val="1"/>
                <c:pt idx="0">
                  <c:v>J09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60-413E-A18B-04405B0AD9FF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60-413E-A18B-04405B0AD9F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60-413E-A18B-04405B0AD9FF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A60-413E-A18B-04405B0AD9F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60-413E-A18B-04405B0AD9F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A60-413E-A18B-04405B0AD9F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A60-413E-A18B-04405B0AD9FF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'GraphsTop4SP1_2020-2021'!$B$10:$I$10</c:f>
              <c:numCache>
                <c:formatCode>0.0</c:formatCode>
                <c:ptCount val="8"/>
                <c:pt idx="0" formatCode="General">
                  <c:v>23</c:v>
                </c:pt>
                <c:pt idx="1">
                  <c:v>17.94513493870166</c:v>
                </c:pt>
                <c:pt idx="2" formatCode="General">
                  <c:v>17</c:v>
                </c:pt>
                <c:pt idx="3">
                  <c:v>18.180588572183456</c:v>
                </c:pt>
                <c:pt idx="4" formatCode="General">
                  <c:v>16</c:v>
                </c:pt>
                <c:pt idx="5">
                  <c:v>18.688877093508999</c:v>
                </c:pt>
                <c:pt idx="6" formatCode="General">
                  <c:v>16</c:v>
                </c:pt>
                <c:pt idx="7">
                  <c:v>16.251529997481935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10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'GraphsTop4SP1_2020-2021'!$A$11</c:f>
              <c:strCache>
                <c:ptCount val="1"/>
                <c:pt idx="0">
                  <c:v>J10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F3-4D72-B0BD-4E8041ECDD99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F3-4D72-B0BD-4E8041ECDD9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8F3-4D72-B0BD-4E8041ECDD99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8F3-4D72-B0BD-4E8041ECDD9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F3-4D72-B0BD-4E8041ECDD9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F3-4D72-B0BD-4E8041ECDD9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8F3-4D72-B0BD-4E8041ECDD99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'GraphsTop4SP1_2020-2021'!$B$11:$I$11</c:f>
              <c:numCache>
                <c:formatCode>0.0</c:formatCode>
                <c:ptCount val="8"/>
                <c:pt idx="0" formatCode="General">
                  <c:v>26</c:v>
                </c:pt>
                <c:pt idx="1">
                  <c:v>20.251611291245837</c:v>
                </c:pt>
                <c:pt idx="2" formatCode="General">
                  <c:v>17</c:v>
                </c:pt>
                <c:pt idx="3">
                  <c:v>20.555414525956778</c:v>
                </c:pt>
                <c:pt idx="4" formatCode="General">
                  <c:v>19</c:v>
                </c:pt>
                <c:pt idx="5">
                  <c:v>21.017541892762033</c:v>
                </c:pt>
                <c:pt idx="6" formatCode="General">
                  <c:v>16</c:v>
                </c:pt>
                <c:pt idx="7">
                  <c:v>17.662464741750014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11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'GraphsTop4SP1_2020-2021'!$A$12</c:f>
              <c:strCache>
                <c:ptCount val="1"/>
                <c:pt idx="0">
                  <c:v>J11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B70-416A-AF2D-27D527D4E167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B70-416A-AF2D-27D527D4E16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BB70-416A-AF2D-27D527D4E167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BB70-416A-AF2D-27D527D4E16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B70-416A-AF2D-27D527D4E16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BB70-416A-AF2D-27D527D4E16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BB70-416A-AF2D-27D527D4E167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'GraphsTop4SP1_2020-2021'!$B$12:$I$12</c:f>
              <c:numCache>
                <c:formatCode>0.0</c:formatCode>
                <c:ptCount val="8"/>
                <c:pt idx="0" formatCode="General">
                  <c:v>26</c:v>
                </c:pt>
                <c:pt idx="1">
                  <c:v>21.441858787243682</c:v>
                </c:pt>
                <c:pt idx="2" formatCode="General">
                  <c:v>20</c:v>
                </c:pt>
                <c:pt idx="3">
                  <c:v>21.877460381335965</c:v>
                </c:pt>
                <c:pt idx="4" formatCode="General">
                  <c:v>22</c:v>
                </c:pt>
                <c:pt idx="5">
                  <c:v>23.157638511119522</c:v>
                </c:pt>
                <c:pt idx="6" formatCode="General">
                  <c:v>19</c:v>
                </c:pt>
                <c:pt idx="7">
                  <c:v>19.329726646511919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12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'GraphsTop4SP1_2020-2021'!$A$13</c:f>
              <c:strCache>
                <c:ptCount val="1"/>
                <c:pt idx="0">
                  <c:v>J12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2-4C5C-9559-764D22955061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2-4C5C-9559-764D2295506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CA2-4C5C-9559-764D22955061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CA2-4C5C-9559-764D2295506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C6D-4393-BD2B-78765096DD7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CA2-4C5C-9559-764D2295506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A2-4C5C-9559-764D22955061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'GraphsTop4SP1_2020-2021'!$B$13:$I$13</c:f>
              <c:numCache>
                <c:formatCode>0.0</c:formatCode>
                <c:ptCount val="8"/>
                <c:pt idx="0" formatCode="General">
                  <c:v>29</c:v>
                </c:pt>
                <c:pt idx="1">
                  <c:v>24.038350015313856</c:v>
                </c:pt>
                <c:pt idx="2" formatCode="General">
                  <c:v>23</c:v>
                </c:pt>
                <c:pt idx="3">
                  <c:v>23.404313767936898</c:v>
                </c:pt>
                <c:pt idx="4" formatCode="General">
                  <c:v>25</c:v>
                </c:pt>
                <c:pt idx="5">
                  <c:v>24.736642840123853</c:v>
                </c:pt>
                <c:pt idx="6" formatCode="General">
                  <c:v>20</c:v>
                </c:pt>
                <c:pt idx="7">
                  <c:v>21.485717931914969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13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'GraphsTop4SP1_2020-2021'!$A$14</c:f>
              <c:strCache>
                <c:ptCount val="1"/>
                <c:pt idx="0">
                  <c:v>J13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CB-46FA-9BA4-0522144FEDA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CB-46FA-9BA4-0522144FEDA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CB-46FA-9BA4-0522144FEDAE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ACB-46FA-9BA4-0522144FEDA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CB-46FA-9BA4-0522144FED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ACB-46FA-9BA4-0522144FED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ACB-46FA-9BA4-0522144FEDAE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'GraphsTop4SP1_2020-2021'!$B$14:$I$14</c:f>
              <c:numCache>
                <c:formatCode>0.0</c:formatCode>
                <c:ptCount val="8"/>
                <c:pt idx="0" formatCode="General">
                  <c:v>32</c:v>
                </c:pt>
                <c:pt idx="1">
                  <c:v>25.60421701868086</c:v>
                </c:pt>
                <c:pt idx="2" formatCode="General">
                  <c:v>26</c:v>
                </c:pt>
                <c:pt idx="3">
                  <c:v>25.518105367963237</c:v>
                </c:pt>
                <c:pt idx="4" formatCode="General">
                  <c:v>28</c:v>
                </c:pt>
                <c:pt idx="5">
                  <c:v>26.875129152523208</c:v>
                </c:pt>
                <c:pt idx="6" formatCode="General">
                  <c:v>23</c:v>
                </c:pt>
                <c:pt idx="7">
                  <c:v>23.198789827339805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14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'GraphsTop4SP1_2020-2021'!$A$15</c:f>
              <c:strCache>
                <c:ptCount val="1"/>
                <c:pt idx="0">
                  <c:v>J14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60-413E-A18B-04405B0AD9FF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60-413E-A18B-04405B0AD9F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60-413E-A18B-04405B0AD9FF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A60-413E-A18B-04405B0AD9F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60-413E-A18B-04405B0AD9F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A60-413E-A18B-04405B0AD9F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A60-413E-A18B-04405B0AD9FF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'GraphsTop4SP1_2020-2021'!$B$15:$I$15</c:f>
              <c:numCache>
                <c:formatCode>0.0</c:formatCode>
                <c:ptCount val="8"/>
                <c:pt idx="0" formatCode="General">
                  <c:v>35</c:v>
                </c:pt>
                <c:pt idx="1">
                  <c:v>27.858729934958482</c:v>
                </c:pt>
                <c:pt idx="2" formatCode="General">
                  <c:v>29</c:v>
                </c:pt>
                <c:pt idx="3">
                  <c:v>27.678056527914396</c:v>
                </c:pt>
                <c:pt idx="4" formatCode="General">
                  <c:v>31</c:v>
                </c:pt>
                <c:pt idx="5">
                  <c:v>28.605073671941412</c:v>
                </c:pt>
                <c:pt idx="6" formatCode="General">
                  <c:v>26</c:v>
                </c:pt>
                <c:pt idx="7">
                  <c:v>24.761597390147369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15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'GraphsTop4SP1_2020-2021'!$A$16</c:f>
              <c:strCache>
                <c:ptCount val="1"/>
                <c:pt idx="0">
                  <c:v>J15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F3-4D72-B0BD-4E8041ECDD99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F3-4D72-B0BD-4E8041ECDD9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8F3-4D72-B0BD-4E8041ECDD99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8F3-4D72-B0BD-4E8041ECDD9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F3-4D72-B0BD-4E8041ECDD9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F3-4D72-B0BD-4E8041ECDD9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8F3-4D72-B0BD-4E8041ECDD99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'GraphsTop4SP1_2020-2021'!$B$16:$I$16</c:f>
              <c:numCache>
                <c:formatCode>0.0</c:formatCode>
                <c:ptCount val="8"/>
                <c:pt idx="0" formatCode="General">
                  <c:v>38</c:v>
                </c:pt>
                <c:pt idx="1">
                  <c:v>30.002022807663121</c:v>
                </c:pt>
                <c:pt idx="2" formatCode="General">
                  <c:v>32</c:v>
                </c:pt>
                <c:pt idx="3">
                  <c:v>30.052882481687718</c:v>
                </c:pt>
                <c:pt idx="4" formatCode="General">
                  <c:v>31</c:v>
                </c:pt>
                <c:pt idx="5">
                  <c:v>30.099134911998075</c:v>
                </c:pt>
                <c:pt idx="6" formatCode="General">
                  <c:v>27</c:v>
                </c:pt>
                <c:pt idx="7">
                  <c:v>26.512513141063121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16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'GraphsTop4SP1_2020-2021'!$A$17</c:f>
              <c:strCache>
                <c:ptCount val="1"/>
                <c:pt idx="0">
                  <c:v>J16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B70-416A-AF2D-27D527D4E167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B70-416A-AF2D-27D527D4E16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BB70-416A-AF2D-27D527D4E167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BB70-416A-AF2D-27D527D4E16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B70-416A-AF2D-27D527D4E16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BB70-416A-AF2D-27D527D4E16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BB70-416A-AF2D-27D527D4E167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'GraphsTop4SP1_2020-2021'!$B$17:$I$17</c:f>
              <c:numCache>
                <c:formatCode>0.0</c:formatCode>
                <c:ptCount val="8"/>
                <c:pt idx="0" formatCode="General">
                  <c:v>41</c:v>
                </c:pt>
                <c:pt idx="1">
                  <c:v>31.812086160489631</c:v>
                </c:pt>
                <c:pt idx="2" formatCode="General">
                  <c:v>33</c:v>
                </c:pt>
                <c:pt idx="3">
                  <c:v>32.534933763738998</c:v>
                </c:pt>
                <c:pt idx="4" formatCode="General">
                  <c:v>34</c:v>
                </c:pt>
                <c:pt idx="5">
                  <c:v>32.060822933927064</c:v>
                </c:pt>
                <c:pt idx="6" formatCode="General">
                  <c:v>30</c:v>
                </c:pt>
                <c:pt idx="7">
                  <c:v>28.125524979881412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17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'GraphsTop4SP1_2020-2021'!$A$18</c:f>
              <c:strCache>
                <c:ptCount val="1"/>
                <c:pt idx="0">
                  <c:v>J17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2-4C5C-9559-764D22955061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2-4C5C-9559-764D2295506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CA2-4C5C-9559-764D22955061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CA2-4C5C-9559-764D2295506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970-4D38-8FF6-F019B1D598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CA2-4C5C-9559-764D2295506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A2-4C5C-9559-764D22955061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'GraphsTop4SP1_2020-2021'!$B$18:$I$18</c:f>
              <c:numCache>
                <c:formatCode>0.0</c:formatCode>
                <c:ptCount val="8"/>
                <c:pt idx="0" formatCode="General">
                  <c:v>44</c:v>
                </c:pt>
                <c:pt idx="1">
                  <c:v>33.846268137265511</c:v>
                </c:pt>
                <c:pt idx="2" formatCode="General">
                  <c:v>36</c:v>
                </c:pt>
                <c:pt idx="3">
                  <c:v>34.750370860755041</c:v>
                </c:pt>
                <c:pt idx="4" formatCode="General">
                  <c:v>37</c:v>
                </c:pt>
                <c:pt idx="5">
                  <c:v>34.36856421225658</c:v>
                </c:pt>
                <c:pt idx="6" formatCode="General">
                  <c:v>30</c:v>
                </c:pt>
                <c:pt idx="7">
                  <c:v>29.023307630953536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18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'GraphsTop4SP1_2020-2021'!$A$19</c:f>
              <c:strCache>
                <c:ptCount val="1"/>
                <c:pt idx="0">
                  <c:v>J18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CB-46FA-9BA4-0522144FEDA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CB-46FA-9BA4-0522144FEDA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CB-46FA-9BA4-0522144FEDAE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ACB-46FA-9BA4-0522144FEDA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CB-46FA-9BA4-0522144FED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ACB-46FA-9BA4-0522144FED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ACB-46FA-9BA4-0522144FEDAE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'GraphsTop4SP1_2020-2021'!$B$19:$I$19</c:f>
              <c:numCache>
                <c:formatCode>0.0</c:formatCode>
                <c:ptCount val="8"/>
                <c:pt idx="0" formatCode="General">
                  <c:v>47</c:v>
                </c:pt>
                <c:pt idx="1">
                  <c:v>36.133235555811879</c:v>
                </c:pt>
                <c:pt idx="2" formatCode="General">
                  <c:v>37</c:v>
                </c:pt>
                <c:pt idx="3">
                  <c:v>36.957825837720002</c:v>
                </c:pt>
                <c:pt idx="4" formatCode="General">
                  <c:v>38</c:v>
                </c:pt>
                <c:pt idx="5">
                  <c:v>36.961549146343209</c:v>
                </c:pt>
                <c:pt idx="6" formatCode="General">
                  <c:v>33</c:v>
                </c:pt>
                <c:pt idx="7">
                  <c:v>31.02564019352706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19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'GraphsTop4SP1_2020-2021'!$A$20</c:f>
              <c:strCache>
                <c:ptCount val="1"/>
                <c:pt idx="0">
                  <c:v>J19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60-413E-A18B-04405B0AD9FF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60-413E-A18B-04405B0AD9F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60-413E-A18B-04405B0AD9FF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A60-413E-A18B-04405B0AD9F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60-413E-A18B-04405B0AD9F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A60-413E-A18B-04405B0AD9F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A60-413E-A18B-04405B0AD9FF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'GraphsTop4SP1_2020-2021'!$B$20:$I$20</c:f>
              <c:numCache>
                <c:formatCode>0.0</c:formatCode>
                <c:ptCount val="8"/>
                <c:pt idx="0" formatCode="General">
                  <c:v>50</c:v>
                </c:pt>
                <c:pt idx="1">
                  <c:v>38.392494815071139</c:v>
                </c:pt>
                <c:pt idx="2" formatCode="General">
                  <c:v>40</c:v>
                </c:pt>
                <c:pt idx="3">
                  <c:v>39.047021451761033</c:v>
                </c:pt>
                <c:pt idx="4" formatCode="General">
                  <c:v>41</c:v>
                </c:pt>
                <c:pt idx="5">
                  <c:v>38.926878874891607</c:v>
                </c:pt>
                <c:pt idx="6" formatCode="General">
                  <c:v>36</c:v>
                </c:pt>
                <c:pt idx="7">
                  <c:v>33.262367068184972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20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'GraphsTop4SP1_2020-2021'!$A$21</c:f>
              <c:strCache>
                <c:ptCount val="1"/>
                <c:pt idx="0">
                  <c:v>J20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F3-4D72-B0BD-4E8041ECDD99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F3-4D72-B0BD-4E8041ECDD9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8F3-4D72-B0BD-4E8041ECDD99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8F3-4D72-B0BD-4E8041ECDD9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F3-4D72-B0BD-4E8041ECDD9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F3-4D72-B0BD-4E8041ECDD9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8F3-4D72-B0BD-4E8041ECDD99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'GraphsTop4SP1_2020-2021'!$B$21:$I$21</c:f>
              <c:numCache>
                <c:formatCode>0.0</c:formatCode>
                <c:ptCount val="8"/>
                <c:pt idx="0" formatCode="General">
                  <c:v>51</c:v>
                </c:pt>
                <c:pt idx="1">
                  <c:v>40.469774017350339</c:v>
                </c:pt>
                <c:pt idx="2" formatCode="General">
                  <c:v>40</c:v>
                </c:pt>
                <c:pt idx="3">
                  <c:v>41.40621488990184</c:v>
                </c:pt>
                <c:pt idx="4" formatCode="General">
                  <c:v>44</c:v>
                </c:pt>
                <c:pt idx="5">
                  <c:v>41.050332310666739</c:v>
                </c:pt>
                <c:pt idx="6" formatCode="General">
                  <c:v>39</c:v>
                </c:pt>
                <c:pt idx="7">
                  <c:v>34.993136298954205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21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'GraphsTop4SP1_2020-2021'!$A$22</c:f>
              <c:strCache>
                <c:ptCount val="1"/>
                <c:pt idx="0">
                  <c:v>J21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B70-416A-AF2D-27D527D4E167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B70-416A-AF2D-27D527D4E16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BB70-416A-AF2D-27D527D4E167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BB70-416A-AF2D-27D527D4E16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B70-416A-AF2D-27D527D4E16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BB70-416A-AF2D-27D527D4E16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BB70-416A-AF2D-27D527D4E167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'GraphsTop4SP1_2020-2021'!$B$22:$I$22</c:f>
              <c:numCache>
                <c:formatCode>0.0</c:formatCode>
                <c:ptCount val="8"/>
                <c:pt idx="0" formatCode="General">
                  <c:v>54</c:v>
                </c:pt>
                <c:pt idx="1">
                  <c:v>42.361356508932829</c:v>
                </c:pt>
                <c:pt idx="2" formatCode="General">
                  <c:v>43</c:v>
                </c:pt>
                <c:pt idx="3">
                  <c:v>43.632405366092314</c:v>
                </c:pt>
                <c:pt idx="4" formatCode="General">
                  <c:v>45</c:v>
                </c:pt>
                <c:pt idx="5">
                  <c:v>43.114286221224845</c:v>
                </c:pt>
                <c:pt idx="6" formatCode="General">
                  <c:v>42</c:v>
                </c:pt>
                <c:pt idx="7">
                  <c:v>36.922167533370995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22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'GraphsTop4SP1_2020-2021'!$A$23</c:f>
              <c:strCache>
                <c:ptCount val="1"/>
                <c:pt idx="0">
                  <c:v>J22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2-4C5C-9559-764D22955061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2-4C5C-9559-764D2295506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CA2-4C5C-9559-764D22955061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CA2-4C5C-9559-764D2295506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E29-4D6F-8AD4-51C62477524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CA2-4C5C-9559-764D2295506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A2-4C5C-9559-764D22955061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'GraphsTop4SP1_2020-2021'!$B$23:$I$23</c:f>
              <c:numCache>
                <c:formatCode>0.0</c:formatCode>
                <c:ptCount val="8"/>
                <c:pt idx="0" formatCode="General">
                  <c:v>55</c:v>
                </c:pt>
                <c:pt idx="1">
                  <c:v>44.241874798119852</c:v>
                </c:pt>
                <c:pt idx="2" formatCode="General">
                  <c:v>46</c:v>
                </c:pt>
                <c:pt idx="3">
                  <c:v>45.766601779700494</c:v>
                </c:pt>
                <c:pt idx="4" formatCode="General">
                  <c:v>45</c:v>
                </c:pt>
                <c:pt idx="5">
                  <c:v>44.817989924928547</c:v>
                </c:pt>
                <c:pt idx="6" formatCode="General">
                  <c:v>45</c:v>
                </c:pt>
                <c:pt idx="7">
                  <c:v>39.103364114567576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23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'GraphsTop4SP1_2020-2021'!$A$24</c:f>
              <c:strCache>
                <c:ptCount val="1"/>
                <c:pt idx="0">
                  <c:v>J23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CB-46FA-9BA4-0522144FEDA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CB-46FA-9BA4-0522144FEDA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CB-46FA-9BA4-0522144FEDAE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ACB-46FA-9BA4-0522144FEDA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CB-46FA-9BA4-0522144FED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ACB-46FA-9BA4-0522144FED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ACB-46FA-9BA4-0522144FEDAE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'GraphsTop4SP1_2020-2021'!$B$24:$I$24</c:f>
              <c:numCache>
                <c:formatCode>0.0</c:formatCode>
                <c:ptCount val="8"/>
                <c:pt idx="0" formatCode="General">
                  <c:v>55</c:v>
                </c:pt>
                <c:pt idx="1">
                  <c:v>46.390723226380047</c:v>
                </c:pt>
                <c:pt idx="2" formatCode="General">
                  <c:v>49</c:v>
                </c:pt>
                <c:pt idx="3">
                  <c:v>48.053569198246862</c:v>
                </c:pt>
                <c:pt idx="4" formatCode="General">
                  <c:v>48</c:v>
                </c:pt>
                <c:pt idx="5">
                  <c:v>47.097355004293625</c:v>
                </c:pt>
                <c:pt idx="6" formatCode="General">
                  <c:v>48</c:v>
                </c:pt>
                <c:pt idx="7">
                  <c:v>40.835687346890808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24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'GraphsTop4SP1_2020-2021'!$A$25</c:f>
              <c:strCache>
                <c:ptCount val="1"/>
                <c:pt idx="0">
                  <c:v>J24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60-413E-A18B-04405B0AD9FF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60-413E-A18B-04405B0AD9F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60-413E-A18B-04405B0AD9FF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A60-413E-A18B-04405B0AD9F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60-413E-A18B-04405B0AD9F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A60-413E-A18B-04405B0AD9F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A60-413E-A18B-04405B0AD9FF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'GraphsTop4SP1_2020-2021'!$B$25:$I$25</c:f>
              <c:numCache>
                <c:formatCode>0.0</c:formatCode>
                <c:ptCount val="8"/>
                <c:pt idx="0" formatCode="General">
                  <c:v>58</c:v>
                </c:pt>
                <c:pt idx="1">
                  <c:v>47.880135120169818</c:v>
                </c:pt>
                <c:pt idx="2" formatCode="General">
                  <c:v>52</c:v>
                </c:pt>
                <c:pt idx="3">
                  <c:v>50.126684335056268</c:v>
                </c:pt>
                <c:pt idx="4" formatCode="General">
                  <c:v>51</c:v>
                </c:pt>
                <c:pt idx="5">
                  <c:v>49.587253994192615</c:v>
                </c:pt>
                <c:pt idx="6" formatCode="General">
                  <c:v>48</c:v>
                </c:pt>
                <c:pt idx="7">
                  <c:v>41.988555312258775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25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'GraphsTop4SP1_2020-2021'!$A$26</c:f>
              <c:strCache>
                <c:ptCount val="1"/>
                <c:pt idx="0">
                  <c:v>J25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F3-4D72-B0BD-4E8041ECDD99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F3-4D72-B0BD-4E8041ECDD9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8F3-4D72-B0BD-4E8041ECDD99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8F3-4D72-B0BD-4E8041ECDD9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F3-4D72-B0BD-4E8041ECDD9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F3-4D72-B0BD-4E8041ECDD9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8F3-4D72-B0BD-4E8041ECDD99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'GraphsTop4SP1_2020-2021'!$B$26:$I$26</c:f>
              <c:numCache>
                <c:formatCode>0.0</c:formatCode>
                <c:ptCount val="8"/>
                <c:pt idx="0" formatCode="General">
                  <c:v>59</c:v>
                </c:pt>
                <c:pt idx="1">
                  <c:v>49.288308645990405</c:v>
                </c:pt>
                <c:pt idx="2" formatCode="General">
                  <c:v>53</c:v>
                </c:pt>
                <c:pt idx="3">
                  <c:v>51.95409781410909</c:v>
                </c:pt>
                <c:pt idx="4" formatCode="General">
                  <c:v>54</c:v>
                </c:pt>
                <c:pt idx="5">
                  <c:v>52.117876377274015</c:v>
                </c:pt>
                <c:pt idx="6" formatCode="General">
                  <c:v>48</c:v>
                </c:pt>
                <c:pt idx="7">
                  <c:v>44.065834514537976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26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'GraphsTop4SP1_2020-2021'!$A$27</c:f>
              <c:strCache>
                <c:ptCount val="1"/>
                <c:pt idx="0">
                  <c:v>J26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B70-416A-AF2D-27D527D4E167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B70-416A-AF2D-27D527D4E16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BB70-416A-AF2D-27D527D4E167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BB70-416A-AF2D-27D527D4E16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B70-416A-AF2D-27D527D4E16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BB70-416A-AF2D-27D527D4E16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BB70-416A-AF2D-27D527D4E167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'GraphsTop4SP1_2020-2021'!$B$27:$I$27</c:f>
              <c:numCache>
                <c:formatCode>0.0</c:formatCode>
                <c:ptCount val="8"/>
                <c:pt idx="0" formatCode="General">
                  <c:v>62</c:v>
                </c:pt>
                <c:pt idx="1">
                  <c:v>51.192589550271308</c:v>
                </c:pt>
                <c:pt idx="2" formatCode="General">
                  <c:v>54</c:v>
                </c:pt>
                <c:pt idx="3">
                  <c:v>53.257229323122949</c:v>
                </c:pt>
                <c:pt idx="4" formatCode="General">
                  <c:v>57</c:v>
                </c:pt>
                <c:pt idx="5">
                  <c:v>54.152135636533274</c:v>
                </c:pt>
                <c:pt idx="6" formatCode="General">
                  <c:v>51</c:v>
                </c:pt>
                <c:pt idx="7">
                  <c:v>45.778906409962815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27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'GraphsTop4SP1_2020-2021'!$A$28</c:f>
              <c:strCache>
                <c:ptCount val="1"/>
                <c:pt idx="0">
                  <c:v>J27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2-4C5C-9559-764D22955061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2-4C5C-9559-764D2295506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CA2-4C5C-9559-764D22955061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CA2-4C5C-9559-764D2295506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FD9-40A5-B119-3DF279F5AF5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CA2-4C5C-9559-764D2295506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A2-4C5C-9559-764D22955061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'GraphsTop4SP1_2020-2021'!$B$28:$I$28</c:f>
              <c:numCache>
                <c:formatCode>0.0</c:formatCode>
                <c:ptCount val="8"/>
                <c:pt idx="0" formatCode="General">
                  <c:v>63</c:v>
                </c:pt>
                <c:pt idx="1">
                  <c:v>53.01488722995439</c:v>
                </c:pt>
                <c:pt idx="2" formatCode="General">
                  <c:v>57</c:v>
                </c:pt>
                <c:pt idx="3">
                  <c:v>55.866484098479418</c:v>
                </c:pt>
                <c:pt idx="4" formatCode="General">
                  <c:v>58</c:v>
                </c:pt>
                <c:pt idx="5">
                  <c:v>56.555101951264291</c:v>
                </c:pt>
                <c:pt idx="6" formatCode="General">
                  <c:v>54</c:v>
                </c:pt>
                <c:pt idx="7">
                  <c:v>48.0619751930316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28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'GraphsTop4SP1_2020-2021'!$A$29</c:f>
              <c:strCache>
                <c:ptCount val="1"/>
                <c:pt idx="0">
                  <c:v>J28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CB-46FA-9BA4-0522144FEDA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CB-46FA-9BA4-0522144FEDA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CB-46FA-9BA4-0522144FEDAE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ACB-46FA-9BA4-0522144FEDA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CB-46FA-9BA4-0522144FED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ACB-46FA-9BA4-0522144FED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ACB-46FA-9BA4-0522144FEDAE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'GraphsTop4SP1_2020-2021'!$B$29:$I$29</c:f>
              <c:numCache>
                <c:formatCode>0.0</c:formatCode>
                <c:ptCount val="8"/>
                <c:pt idx="0" formatCode="General">
                  <c:v>66</c:v>
                </c:pt>
                <c:pt idx="1">
                  <c:v>55.366303351958749</c:v>
                </c:pt>
                <c:pt idx="2" formatCode="General">
                  <c:v>60</c:v>
                </c:pt>
                <c:pt idx="3">
                  <c:v>57.777547170251978</c:v>
                </c:pt>
                <c:pt idx="4" formatCode="General">
                  <c:v>59</c:v>
                </c:pt>
                <c:pt idx="5">
                  <c:v>58.992196726245218</c:v>
                </c:pt>
                <c:pt idx="6" formatCode="General">
                  <c:v>55</c:v>
                </c:pt>
                <c:pt idx="7">
                  <c:v>49.902888067223543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29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'GraphsTop4SP1_2020-2021'!$A$30</c:f>
              <c:strCache>
                <c:ptCount val="1"/>
                <c:pt idx="0">
                  <c:v>J29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60-413E-A18B-04405B0AD9FF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60-413E-A18B-04405B0AD9F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60-413E-A18B-04405B0AD9FF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A60-413E-A18B-04405B0AD9F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60-413E-A18B-04405B0AD9F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A60-413E-A18B-04405B0AD9F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A60-413E-A18B-04405B0AD9FF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'GraphsTop4SP1_2020-2021'!$B$30:$I$30</c:f>
              <c:numCache>
                <c:formatCode>0.0</c:formatCode>
                <c:ptCount val="8"/>
                <c:pt idx="0" formatCode="General">
                  <c:v>66</c:v>
                </c:pt>
                <c:pt idx="1">
                  <c:v>56.746039409855726</c:v>
                </c:pt>
                <c:pt idx="2" formatCode="General">
                  <c:v>63</c:v>
                </c:pt>
                <c:pt idx="3">
                  <c:v>60.136740608392785</c:v>
                </c:pt>
                <c:pt idx="4" formatCode="General">
                  <c:v>62</c:v>
                </c:pt>
                <c:pt idx="5">
                  <c:v>61.309750414387139</c:v>
                </c:pt>
                <c:pt idx="6" formatCode="General">
                  <c:v>58</c:v>
                </c:pt>
                <c:pt idx="7">
                  <c:v>51.205995772630096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30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'GraphsTop4SP1_2020-2021'!$A$31</c:f>
              <c:strCache>
                <c:ptCount val="1"/>
                <c:pt idx="0">
                  <c:v>J30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F3-4D72-B0BD-4E8041ECDD99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F3-4D72-B0BD-4E8041ECDD9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8F3-4D72-B0BD-4E8041ECDD99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8F3-4D72-B0BD-4E8041ECDD9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F3-4D72-B0BD-4E8041ECDD9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F3-4D72-B0BD-4E8041ECDD9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8F3-4D72-B0BD-4E8041ECDD99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'GraphsTop4SP1_2020-2021'!$B$31:$I$31</c:f>
              <c:numCache>
                <c:formatCode>0.0</c:formatCode>
                <c:ptCount val="8"/>
                <c:pt idx="0" formatCode="General">
                  <c:v>67</c:v>
                </c:pt>
                <c:pt idx="1">
                  <c:v>58.289587347425403</c:v>
                </c:pt>
                <c:pt idx="2" formatCode="General">
                  <c:v>66</c:v>
                </c:pt>
                <c:pt idx="3">
                  <c:v>61.39788259379106</c:v>
                </c:pt>
                <c:pt idx="4" formatCode="General">
                  <c:v>65</c:v>
                </c:pt>
                <c:pt idx="5">
                  <c:v>63.741463377350101</c:v>
                </c:pt>
                <c:pt idx="6" formatCode="General">
                  <c:v>61</c:v>
                </c:pt>
                <c:pt idx="7">
                  <c:v>52.832560422450562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31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'GraphsTop4SP1_2020-2021'!$A$32</c:f>
              <c:strCache>
                <c:ptCount val="1"/>
                <c:pt idx="0">
                  <c:v>J31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B70-416A-AF2D-27D527D4E167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B70-416A-AF2D-27D527D4E16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BB70-416A-AF2D-27D527D4E167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BB70-416A-AF2D-27D527D4E16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B70-416A-AF2D-27D527D4E16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BB70-416A-AF2D-27D527D4E16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BB70-416A-AF2D-27D527D4E167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'GraphsTop4SP1_2020-2021'!$B$32:$I$32</c:f>
              <c:numCache>
                <c:formatCode>0.0</c:formatCode>
                <c:ptCount val="8"/>
                <c:pt idx="0" formatCode="General">
                  <c:v>70</c:v>
                </c:pt>
                <c:pt idx="1">
                  <c:v>60.588266429014418</c:v>
                </c:pt>
                <c:pt idx="2" formatCode="General">
                  <c:v>67</c:v>
                </c:pt>
                <c:pt idx="3">
                  <c:v>63.455301503383879</c:v>
                </c:pt>
                <c:pt idx="4" formatCode="General">
                  <c:v>66</c:v>
                </c:pt>
                <c:pt idx="5">
                  <c:v>66.367347550648063</c:v>
                </c:pt>
                <c:pt idx="6" formatCode="General">
                  <c:v>64</c:v>
                </c:pt>
                <c:pt idx="7">
                  <c:v>54.283831647120799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32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'GraphsTop4SP1_2020-2021'!$A$33</c:f>
              <c:strCache>
                <c:ptCount val="1"/>
                <c:pt idx="0">
                  <c:v>J32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2-4C5C-9559-764D22955061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2-4C5C-9559-764D2295506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CA2-4C5C-9559-764D22955061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CA2-4C5C-9559-764D2295506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FA9-4FF2-AE44-AE7CF492A3D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CA2-4C5C-9559-764D2295506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A2-4C5C-9559-764D22955061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'GraphsTop4SP1_2020-2021'!$B$33:$I$33</c:f>
              <c:numCache>
                <c:formatCode>0.0</c:formatCode>
                <c:ptCount val="8"/>
                <c:pt idx="0" formatCode="General">
                  <c:v>73</c:v>
                </c:pt>
                <c:pt idx="1">
                  <c:v>62.92876637168154</c:v>
                </c:pt>
                <c:pt idx="2" formatCode="General">
                  <c:v>70</c:v>
                </c:pt>
                <c:pt idx="3">
                  <c:v>65.795801446051001</c:v>
                </c:pt>
                <c:pt idx="4" formatCode="General">
                  <c:v>69</c:v>
                </c:pt>
                <c:pt idx="5">
                  <c:v>69.081563646443101</c:v>
                </c:pt>
                <c:pt idx="6" formatCode="General">
                  <c:v>67</c:v>
                </c:pt>
                <c:pt idx="7">
                  <c:v>56.306329921792987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33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'GraphsTop4SP1_2020-2021'!$A$34</c:f>
              <c:strCache>
                <c:ptCount val="1"/>
                <c:pt idx="0">
                  <c:v>J33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CB-46FA-9BA4-0522144FEDA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CB-46FA-9BA4-0522144FEDA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CB-46FA-9BA4-0522144FEDAE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ACB-46FA-9BA4-0522144FEDA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CB-46FA-9BA4-0522144FED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ACB-46FA-9BA4-0522144FED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ACB-46FA-9BA4-0522144FEDAE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'GraphsTop4SP1_2020-2021'!$B$34:$I$34</c:f>
              <c:numCache>
                <c:formatCode>0.0</c:formatCode>
                <c:ptCount val="8"/>
                <c:pt idx="0" formatCode="General">
                  <c:v>73</c:v>
                </c:pt>
                <c:pt idx="1">
                  <c:v>64.734429177344339</c:v>
                </c:pt>
                <c:pt idx="2" formatCode="General">
                  <c:v>71</c:v>
                </c:pt>
                <c:pt idx="3">
                  <c:v>68.003256423015955</c:v>
                </c:pt>
                <c:pt idx="4" formatCode="General">
                  <c:v>72</c:v>
                </c:pt>
                <c:pt idx="5">
                  <c:v>71.680317811298963</c:v>
                </c:pt>
                <c:pt idx="6" formatCode="General">
                  <c:v>70</c:v>
                </c:pt>
                <c:pt idx="7">
                  <c:v>58.582186229228242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34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'GraphsTop4SP1_2020-2021'!$A$35</c:f>
              <c:strCache>
                <c:ptCount val="1"/>
                <c:pt idx="0">
                  <c:v>J34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60-413E-A18B-04405B0AD9FF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A60-413E-A18B-04405B0AD9FF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A60-413E-A18B-04405B0AD9FF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A60-413E-A18B-04405B0AD9FF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A60-413E-A18B-04405B0AD9FF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A60-413E-A18B-04405B0AD9FF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BA60-413E-A18B-04405B0AD9FF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'GraphsTop4SP1_2020-2021'!$B$35:$I$35</c:f>
              <c:numCache>
                <c:formatCode>0.0</c:formatCode>
                <c:ptCount val="8"/>
                <c:pt idx="0" formatCode="General">
                  <c:v>76</c:v>
                </c:pt>
                <c:pt idx="1">
                  <c:v>67.033108258933353</c:v>
                </c:pt>
                <c:pt idx="2" formatCode="General">
                  <c:v>74</c:v>
                </c:pt>
                <c:pt idx="3">
                  <c:v>70.338550540663007</c:v>
                </c:pt>
                <c:pt idx="4" formatCode="General">
                  <c:v>75</c:v>
                </c:pt>
                <c:pt idx="5">
                  <c:v>74.394533907094001</c:v>
                </c:pt>
                <c:pt idx="6" formatCode="General">
                  <c:v>70</c:v>
                </c:pt>
                <c:pt idx="7">
                  <c:v>60.661873296522622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35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'GraphsTop4SP1_2020-2021'!$A$36</c:f>
              <c:strCache>
                <c:ptCount val="1"/>
                <c:pt idx="0">
                  <c:v>J35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F3-4D72-B0BD-4E8041ECDD99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F3-4D72-B0BD-4E8041ECDD99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8F3-4D72-B0BD-4E8041ECDD99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E8F3-4D72-B0BD-4E8041ECDD9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F3-4D72-B0BD-4E8041ECDD9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8F3-4D72-B0BD-4E8041ECDD9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8F3-4D72-B0BD-4E8041ECDD99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'GraphsTop4SP1_2020-2021'!$B$36:$I$36</c:f>
              <c:numCache>
                <c:formatCode>0.0</c:formatCode>
                <c:ptCount val="8"/>
                <c:pt idx="0" formatCode="General">
                  <c:v>77</c:v>
                </c:pt>
                <c:pt idx="1">
                  <c:v>67.887187902486687</c:v>
                </c:pt>
                <c:pt idx="2" formatCode="General">
                  <c:v>75</c:v>
                </c:pt>
                <c:pt idx="3">
                  <c:v>72.10463241200803</c:v>
                </c:pt>
                <c:pt idx="4" formatCode="General">
                  <c:v>78</c:v>
                </c:pt>
                <c:pt idx="5">
                  <c:v>76.900665456703805</c:v>
                </c:pt>
                <c:pt idx="6" formatCode="General">
                  <c:v>71</c:v>
                </c:pt>
                <c:pt idx="7">
                  <c:v>61.649007799446601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36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'GraphsTop4SP1_2020-2021'!$A$37</c:f>
              <c:strCache>
                <c:ptCount val="1"/>
                <c:pt idx="0">
                  <c:v>J36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BB70-416A-AF2D-27D527D4E167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BB70-416A-AF2D-27D527D4E167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BB70-416A-AF2D-27D527D4E167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BB70-416A-AF2D-27D527D4E167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BB70-416A-AF2D-27D527D4E16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BB70-416A-AF2D-27D527D4E16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BB70-416A-AF2D-27D527D4E167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'GraphsTop4SP1_2020-2021'!$B$37:$I$37</c:f>
              <c:numCache>
                <c:formatCode>0.0</c:formatCode>
                <c:ptCount val="8"/>
                <c:pt idx="0" formatCode="General">
                  <c:v>80</c:v>
                </c:pt>
                <c:pt idx="1">
                  <c:v>69.936430326729109</c:v>
                </c:pt>
                <c:pt idx="2" formatCode="General">
                  <c:v>78</c:v>
                </c:pt>
                <c:pt idx="3">
                  <c:v>74.387701195076815</c:v>
                </c:pt>
                <c:pt idx="4" formatCode="General">
                  <c:v>78</c:v>
                </c:pt>
                <c:pt idx="5">
                  <c:v>79.575889054915024</c:v>
                </c:pt>
                <c:pt idx="6" formatCode="General">
                  <c:v>74</c:v>
                </c:pt>
                <c:pt idx="7">
                  <c:v>63.875198275637075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37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'GraphsTop4SP1_2020-2021'!$A$38</c:f>
              <c:strCache>
                <c:ptCount val="1"/>
                <c:pt idx="0">
                  <c:v>J37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A2-4C5C-9559-764D22955061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A2-4C5C-9559-764D22955061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CA2-4C5C-9559-764D22955061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CA2-4C5C-9559-764D2295506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382-4AAE-A4D1-346FA1029F3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CA2-4C5C-9559-764D2295506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A2-4C5C-9559-764D22955061}"/>
              </c:ext>
            </c:extLst>
          </c:dPt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'GraphsTop4SP1_2020-2021'!$B$38:$I$38</c:f>
              <c:numCache>
                <c:formatCode>0.0</c:formatCode>
                <c:ptCount val="8"/>
                <c:pt idx="0" formatCode="General">
                  <c:v>83</c:v>
                </c:pt>
                <c:pt idx="1">
                  <c:v>72.489023975260039</c:v>
                </c:pt>
                <c:pt idx="2" formatCode="General">
                  <c:v>81</c:v>
                </c:pt>
                <c:pt idx="3">
                  <c:v>76.416669449045074</c:v>
                </c:pt>
                <c:pt idx="4" formatCode="General">
                  <c:v>79</c:v>
                </c:pt>
                <c:pt idx="5">
                  <c:v>81.477587746087394</c:v>
                </c:pt>
                <c:pt idx="6" formatCode="General">
                  <c:v>74</c:v>
                </c:pt>
                <c:pt idx="7">
                  <c:v>65.12862458183929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Desempeño</a:t>
            </a:r>
            <a:r>
              <a:rPr lang="en-US" baseline="0"/>
              <a:t> en Puntos 2020-2021</a:t>
            </a:r>
            <a:br>
              <a:rPr lang="en-US"/>
            </a:br>
            <a:r>
              <a:rPr lang="en-US"/>
              <a:t>Jornada 38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'GraphsTop4SP1_2020-2021'!$A$39</c:f>
              <c:strCache>
                <c:ptCount val="1"/>
                <c:pt idx="0">
                  <c:v>J38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CB-46FA-9BA4-0522144FEDAE}"/>
              </c:ext>
            </c:extLst>
          </c:dPt>
          <c:dPt>
            <c:idx val="1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CB-46FA-9BA4-0522144FEDAE}"/>
              </c:ext>
            </c:extLst>
          </c:dPt>
          <c:dPt>
            <c:idx val="2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ACB-46FA-9BA4-0522144FEDAE}"/>
              </c:ext>
            </c:extLst>
          </c:dPt>
          <c:dPt>
            <c:idx val="3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ACB-46FA-9BA4-0522144FEDA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CB-46FA-9BA4-0522144FEDA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ACB-46FA-9BA4-0522144FEDA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ACB-46FA-9BA4-0522144FEDAE}"/>
              </c:ext>
            </c:extLst>
          </c:dPt>
          <c:dLbls>
            <c:dLbl>
              <c:idx val="0"/>
              <c:layout>
                <c:manualLayout>
                  <c:x val="0"/>
                  <c:y val="-0.2935350907223553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ACB-46FA-9BA4-0522144FEDAE}"/>
                </c:ext>
              </c:extLst>
            </c:dLbl>
            <c:dLbl>
              <c:idx val="1"/>
              <c:layout>
                <c:manualLayout>
                  <c:x val="0"/>
                  <c:y val="-0.26003355015405688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CB-46FA-9BA4-0522144FEDAE}"/>
                </c:ext>
              </c:extLst>
            </c:dLbl>
            <c:dLbl>
              <c:idx val="2"/>
              <c:layout>
                <c:manualLayout>
                  <c:x val="0"/>
                  <c:y val="-0.2875183156453269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ACB-46FA-9BA4-0522144FEDAE}"/>
                </c:ext>
              </c:extLst>
            </c:dLbl>
            <c:dLbl>
              <c:idx val="3"/>
              <c:layout>
                <c:manualLayout>
                  <c:x val="8.997851066281615E-17"/>
                  <c:y val="-0.2714799726121191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ACB-46FA-9BA4-0522144FEDAE}"/>
                </c:ext>
              </c:extLst>
            </c:dLbl>
            <c:dLbl>
              <c:idx val="4"/>
              <c:layout>
                <c:manualLayout>
                  <c:x val="0"/>
                  <c:y val="-0.2724765491270113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CB-46FA-9BA4-0522144FEDAE}"/>
                </c:ext>
              </c:extLst>
            </c:dLbl>
            <c:dLbl>
              <c:idx val="5"/>
              <c:layout>
                <c:manualLayout>
                  <c:x val="-8.997851066281615E-17"/>
                  <c:y val="-0.2876213625470729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ACB-46FA-9BA4-0522144FEDAE}"/>
                </c:ext>
              </c:extLst>
            </c:dLbl>
            <c:dLbl>
              <c:idx val="6"/>
              <c:layout>
                <c:manualLayout>
                  <c:x val="0"/>
                  <c:y val="-0.2664597740499828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ACB-46FA-9BA4-0522144FEDAE}"/>
                </c:ext>
              </c:extLst>
            </c:dLbl>
            <c:dLbl>
              <c:idx val="7"/>
              <c:layout>
                <c:manualLayout>
                  <c:x val="-1.799570213256323E-16"/>
                  <c:y val="-0.2372512838069154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ACB-46FA-9BA4-0522144FEDAE}"/>
                </c:ext>
              </c:extLst>
            </c:dLbl>
            <c:spPr>
              <a:solidFill>
                <a:schemeClr val="lt1"/>
              </a:solidFill>
              <a:ln w="12700" cap="flat" cmpd="sng" algn="ctr">
                <a:noFill/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'GraphsTop4SP1_2020-2021'!$B$1:$I$1</c:f>
              <c:strCache>
                <c:ptCount val="8"/>
                <c:pt idx="0">
                  <c:v>Puntos</c:v>
                </c:pt>
                <c:pt idx="1">
                  <c:v>Puntos Esperados</c:v>
                </c:pt>
                <c:pt idx="2">
                  <c:v>Puntos</c:v>
                </c:pt>
                <c:pt idx="3">
                  <c:v>Puntos Esperados</c:v>
                </c:pt>
                <c:pt idx="4">
                  <c:v>Puntos</c:v>
                </c:pt>
                <c:pt idx="5">
                  <c:v>Puntos Esperados</c:v>
                </c:pt>
                <c:pt idx="6">
                  <c:v>Puntos</c:v>
                </c:pt>
                <c:pt idx="7">
                  <c:v>Puntos Esperados</c:v>
                </c:pt>
              </c:strCache>
            </c:strRef>
          </c:cat>
          <c:val>
            <c:numRef>
              <c:f>'GraphsTop4SP1_2020-2021'!$B$39:$I$39</c:f>
              <c:numCache>
                <c:formatCode>0.0</c:formatCode>
                <c:ptCount val="8"/>
                <c:pt idx="0" formatCode="General">
                  <c:v>86</c:v>
                </c:pt>
                <c:pt idx="1">
                  <c:v>74.863849929033364</c:v>
                </c:pt>
                <c:pt idx="2" formatCode="General">
                  <c:v>84</c:v>
                </c:pt>
                <c:pt idx="3">
                  <c:v>78.668684101059725</c:v>
                </c:pt>
                <c:pt idx="4" formatCode="General">
                  <c:v>79</c:v>
                </c:pt>
                <c:pt idx="5">
                  <c:v>84.034153402653047</c:v>
                </c:pt>
                <c:pt idx="6" formatCode="General">
                  <c:v>77</c:v>
                </c:pt>
                <c:pt idx="7">
                  <c:v>67.290958527083163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0-416A-AF2D-27D527D4E16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25182512"/>
        <c:axId val="1525173360"/>
      </c:barChart>
      <c:catAx>
        <c:axId val="152518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73360"/>
        <c:crosses val="autoZero"/>
        <c:auto val="1"/>
        <c:lblAlgn val="ctr"/>
        <c:lblOffset val="100"/>
        <c:noMultiLvlLbl val="0"/>
      </c:catAx>
      <c:valAx>
        <c:axId val="1525173360"/>
        <c:scaling>
          <c:orientation val="minMax"/>
          <c:max val="9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518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MX" sz="1600"/>
              <a:t>LaLiga temporada</a:t>
            </a:r>
            <a:r>
              <a:rPr lang="es-MX" sz="1600" baseline="0"/>
              <a:t> 2020-2021</a:t>
            </a:r>
          </a:p>
          <a:p>
            <a:pPr>
              <a:defRPr sz="1600"/>
            </a:pPr>
            <a:r>
              <a:rPr lang="es-MX" sz="1600"/>
              <a:t>Desempeño en puntos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'GraphSP1_2020-2021'!$C$1</c:f>
              <c:strCache>
                <c:ptCount val="1"/>
                <c:pt idx="0">
                  <c:v>Puntos Obtenidos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665-40E2-AF3A-132C7C51F38E}"/>
              </c:ext>
            </c:extLst>
          </c:dPt>
          <c:dPt>
            <c:idx val="1"/>
            <c:invertIfNegative val="0"/>
            <c:bubble3D val="0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8665-40E2-AF3A-132C7C51F38E}"/>
              </c:ext>
            </c:extLst>
          </c:dPt>
          <c:dPt>
            <c:idx val="2"/>
            <c:invertIfNegative val="0"/>
            <c:bubble3D val="0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8665-40E2-AF3A-132C7C51F38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8665-40E2-AF3A-132C7C51F38E}"/>
              </c:ext>
            </c:extLst>
          </c:dPt>
          <c:cat>
            <c:strRef>
              <c:f>'GraphSP1_2020-2021'!$B$2:$B$21</c:f>
              <c:strCache>
                <c:ptCount val="20"/>
                <c:pt idx="0">
                  <c:v>Atletico de Madrid</c:v>
                </c:pt>
                <c:pt idx="1">
                  <c:v>Real Madrid</c:v>
                </c:pt>
                <c:pt idx="2">
                  <c:v>Barcelona</c:v>
                </c:pt>
                <c:pt idx="3">
                  <c:v>Sevilla</c:v>
                </c:pt>
                <c:pt idx="4">
                  <c:v>Real Sociedad</c:v>
                </c:pt>
                <c:pt idx="5">
                  <c:v>Real Betis</c:v>
                </c:pt>
                <c:pt idx="6">
                  <c:v>Villarreal</c:v>
                </c:pt>
                <c:pt idx="7">
                  <c:v>Celta</c:v>
                </c:pt>
                <c:pt idx="8">
                  <c:v>Athletic Bilbao</c:v>
                </c:pt>
                <c:pt idx="9">
                  <c:v>Granada</c:v>
                </c:pt>
                <c:pt idx="10">
                  <c:v>Osasuna</c:v>
                </c:pt>
                <c:pt idx="11">
                  <c:v>Cadiz</c:v>
                </c:pt>
                <c:pt idx="12">
                  <c:v>Valencia</c:v>
                </c:pt>
                <c:pt idx="13">
                  <c:v>Levante</c:v>
                </c:pt>
                <c:pt idx="14">
                  <c:v>Getafe</c:v>
                </c:pt>
                <c:pt idx="15">
                  <c:v>Alaves</c:v>
                </c:pt>
                <c:pt idx="16">
                  <c:v>Elche</c:v>
                </c:pt>
                <c:pt idx="17">
                  <c:v>Huesca</c:v>
                </c:pt>
                <c:pt idx="18">
                  <c:v>Valladolid</c:v>
                </c:pt>
                <c:pt idx="19">
                  <c:v>Eibar</c:v>
                </c:pt>
              </c:strCache>
            </c:strRef>
          </c:cat>
          <c:val>
            <c:numRef>
              <c:f>'GraphSP1_2020-2021'!$C$2:$C$21</c:f>
              <c:numCache>
                <c:formatCode>General</c:formatCode>
                <c:ptCount val="20"/>
                <c:pt idx="0">
                  <c:v>86</c:v>
                </c:pt>
                <c:pt idx="1">
                  <c:v>84</c:v>
                </c:pt>
                <c:pt idx="2">
                  <c:v>79</c:v>
                </c:pt>
                <c:pt idx="3">
                  <c:v>77</c:v>
                </c:pt>
                <c:pt idx="4">
                  <c:v>62</c:v>
                </c:pt>
                <c:pt idx="5">
                  <c:v>61</c:v>
                </c:pt>
                <c:pt idx="6">
                  <c:v>58</c:v>
                </c:pt>
                <c:pt idx="7">
                  <c:v>53</c:v>
                </c:pt>
                <c:pt idx="8">
                  <c:v>46</c:v>
                </c:pt>
                <c:pt idx="9">
                  <c:v>46</c:v>
                </c:pt>
                <c:pt idx="10">
                  <c:v>44</c:v>
                </c:pt>
                <c:pt idx="11">
                  <c:v>44</c:v>
                </c:pt>
                <c:pt idx="12">
                  <c:v>43</c:v>
                </c:pt>
                <c:pt idx="13">
                  <c:v>41</c:v>
                </c:pt>
                <c:pt idx="14">
                  <c:v>38</c:v>
                </c:pt>
                <c:pt idx="15">
                  <c:v>38</c:v>
                </c:pt>
                <c:pt idx="16">
                  <c:v>36</c:v>
                </c:pt>
                <c:pt idx="17">
                  <c:v>34</c:v>
                </c:pt>
                <c:pt idx="18">
                  <c:v>31</c:v>
                </c:pt>
                <c:pt idx="1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5-40E2-AF3A-132C7C51F38E}"/>
            </c:ext>
          </c:extLst>
        </c:ser>
        <c:ser>
          <c:idx val="1"/>
          <c:order val="1"/>
          <c:tx>
            <c:strRef>
              <c:f>'GraphSP1_2020-2021'!$D$1</c:f>
              <c:strCache>
                <c:ptCount val="1"/>
                <c:pt idx="0">
                  <c:v>Puntos Esperados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EEBE8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665-40E2-AF3A-132C7C51F38E}"/>
              </c:ext>
            </c:extLst>
          </c:dPt>
          <c:dPt>
            <c:idx val="1"/>
            <c:invertIfNegative val="0"/>
            <c:bubble3D val="0"/>
            <c:spPr>
              <a:solidFill>
                <a:srgbClr val="EAEAE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665-40E2-AF3A-132C7C51F38E}"/>
              </c:ext>
            </c:extLst>
          </c:dPt>
          <c:dPt>
            <c:idx val="2"/>
            <c:invertIfNegative val="0"/>
            <c:bubble3D val="0"/>
            <c:spPr>
              <a:solidFill>
                <a:srgbClr val="ECF4FA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8665-40E2-AF3A-132C7C51F38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665-40E2-AF3A-132C7C51F38E}"/>
              </c:ext>
            </c:extLst>
          </c:dPt>
          <c:cat>
            <c:strRef>
              <c:f>'GraphSP1_2020-2021'!$B$2:$B$21</c:f>
              <c:strCache>
                <c:ptCount val="20"/>
                <c:pt idx="0">
                  <c:v>Atletico de Madrid</c:v>
                </c:pt>
                <c:pt idx="1">
                  <c:v>Real Madrid</c:v>
                </c:pt>
                <c:pt idx="2">
                  <c:v>Barcelona</c:v>
                </c:pt>
                <c:pt idx="3">
                  <c:v>Sevilla</c:v>
                </c:pt>
                <c:pt idx="4">
                  <c:v>Real Sociedad</c:v>
                </c:pt>
                <c:pt idx="5">
                  <c:v>Real Betis</c:v>
                </c:pt>
                <c:pt idx="6">
                  <c:v>Villarreal</c:v>
                </c:pt>
                <c:pt idx="7">
                  <c:v>Celta</c:v>
                </c:pt>
                <c:pt idx="8">
                  <c:v>Athletic Bilbao</c:v>
                </c:pt>
                <c:pt idx="9">
                  <c:v>Granada</c:v>
                </c:pt>
                <c:pt idx="10">
                  <c:v>Osasuna</c:v>
                </c:pt>
                <c:pt idx="11">
                  <c:v>Cadiz</c:v>
                </c:pt>
                <c:pt idx="12">
                  <c:v>Valencia</c:v>
                </c:pt>
                <c:pt idx="13">
                  <c:v>Levante</c:v>
                </c:pt>
                <c:pt idx="14">
                  <c:v>Getafe</c:v>
                </c:pt>
                <c:pt idx="15">
                  <c:v>Alaves</c:v>
                </c:pt>
                <c:pt idx="16">
                  <c:v>Elche</c:v>
                </c:pt>
                <c:pt idx="17">
                  <c:v>Huesca</c:v>
                </c:pt>
                <c:pt idx="18">
                  <c:v>Valladolid</c:v>
                </c:pt>
                <c:pt idx="19">
                  <c:v>Eibar</c:v>
                </c:pt>
              </c:strCache>
            </c:strRef>
          </c:cat>
          <c:val>
            <c:numRef>
              <c:f>'GraphSP1_2020-2021'!$D$2:$D$21</c:f>
              <c:numCache>
                <c:formatCode>General</c:formatCode>
                <c:ptCount val="20"/>
                <c:pt idx="0">
                  <c:v>74.863849929033364</c:v>
                </c:pt>
                <c:pt idx="1">
                  <c:v>78.668684101059725</c:v>
                </c:pt>
                <c:pt idx="2">
                  <c:v>84.034153402653047</c:v>
                </c:pt>
                <c:pt idx="3">
                  <c:v>67.290958527083163</c:v>
                </c:pt>
                <c:pt idx="4">
                  <c:v>62.264922764591624</c:v>
                </c:pt>
                <c:pt idx="5">
                  <c:v>53.426294246884034</c:v>
                </c:pt>
                <c:pt idx="6">
                  <c:v>61.734472442463662</c:v>
                </c:pt>
                <c:pt idx="7">
                  <c:v>50.032773798962026</c:v>
                </c:pt>
                <c:pt idx="8">
                  <c:v>53.504035954772121</c:v>
                </c:pt>
                <c:pt idx="9">
                  <c:v>41.919820071424738</c:v>
                </c:pt>
                <c:pt idx="10">
                  <c:v>42.436073099710335</c:v>
                </c:pt>
                <c:pt idx="11">
                  <c:v>34.985590598563221</c:v>
                </c:pt>
                <c:pt idx="12">
                  <c:v>44.106482494273969</c:v>
                </c:pt>
                <c:pt idx="13">
                  <c:v>42.964353309366722</c:v>
                </c:pt>
                <c:pt idx="14">
                  <c:v>50.120621790954942</c:v>
                </c:pt>
                <c:pt idx="15">
                  <c:v>40.691103627385182</c:v>
                </c:pt>
                <c:pt idx="16">
                  <c:v>32.169343825423695</c:v>
                </c:pt>
                <c:pt idx="17">
                  <c:v>42.341940345636345</c:v>
                </c:pt>
                <c:pt idx="18">
                  <c:v>40.910834655719412</c:v>
                </c:pt>
                <c:pt idx="19">
                  <c:v>43.435826248974408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5-40E2-AF3A-132C7C51F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1529206976"/>
        <c:axId val="152921030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'GraphSP1_2020-2021'!$E$1</c15:sqref>
                        </c15:formulaRef>
                      </c:ext>
                    </c:extLst>
                    <c:strCache>
                      <c:ptCount val="1"/>
                      <c:pt idx="0">
                        <c:v>Ratio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'GraphSP1_2020-2021'!$B$2:$B$21</c15:sqref>
                        </c15:formulaRef>
                      </c:ext>
                    </c:extLst>
                    <c:strCache>
                      <c:ptCount val="20"/>
                      <c:pt idx="0">
                        <c:v>Atletico de Madrid</c:v>
                      </c:pt>
                      <c:pt idx="1">
                        <c:v>Real Madrid</c:v>
                      </c:pt>
                      <c:pt idx="2">
                        <c:v>Barcelona</c:v>
                      </c:pt>
                      <c:pt idx="3">
                        <c:v>Sevilla</c:v>
                      </c:pt>
                      <c:pt idx="4">
                        <c:v>Real Sociedad</c:v>
                      </c:pt>
                      <c:pt idx="5">
                        <c:v>Real Betis</c:v>
                      </c:pt>
                      <c:pt idx="6">
                        <c:v>Villarreal</c:v>
                      </c:pt>
                      <c:pt idx="7">
                        <c:v>Celta</c:v>
                      </c:pt>
                      <c:pt idx="8">
                        <c:v>Athletic Bilbao</c:v>
                      </c:pt>
                      <c:pt idx="9">
                        <c:v>Granada</c:v>
                      </c:pt>
                      <c:pt idx="10">
                        <c:v>Osasuna</c:v>
                      </c:pt>
                      <c:pt idx="11">
                        <c:v>Cadiz</c:v>
                      </c:pt>
                      <c:pt idx="12">
                        <c:v>Valencia</c:v>
                      </c:pt>
                      <c:pt idx="13">
                        <c:v>Levante</c:v>
                      </c:pt>
                      <c:pt idx="14">
                        <c:v>Getafe</c:v>
                      </c:pt>
                      <c:pt idx="15">
                        <c:v>Alaves</c:v>
                      </c:pt>
                      <c:pt idx="16">
                        <c:v>Elche</c:v>
                      </c:pt>
                      <c:pt idx="17">
                        <c:v>Huesca</c:v>
                      </c:pt>
                      <c:pt idx="18">
                        <c:v>Valladolid</c:v>
                      </c:pt>
                      <c:pt idx="19">
                        <c:v>Eibar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'GraphSP1_2020-2021'!$E$2:$E$21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0">
                        <c:v>1.1487520356156284</c:v>
                      </c:pt>
                      <c:pt idx="1">
                        <c:v>1.0677692268513292</c:v>
                      </c:pt>
                      <c:pt idx="2">
                        <c:v>0.9400939594341875</c:v>
                      </c:pt>
                      <c:pt idx="3">
                        <c:v>1.1442844876256171</c:v>
                      </c:pt>
                      <c:pt idx="4">
                        <c:v>0.99574523258314751</c:v>
                      </c:pt>
                      <c:pt idx="5">
                        <c:v>1.1417598929492978</c:v>
                      </c:pt>
                      <c:pt idx="6">
                        <c:v>0.93950750213433543</c:v>
                      </c:pt>
                      <c:pt idx="7">
                        <c:v>1.0593056505913636</c:v>
                      </c:pt>
                      <c:pt idx="8">
                        <c:v>0.85974822607559154</c:v>
                      </c:pt>
                      <c:pt idx="9">
                        <c:v>1.0973329542355688</c:v>
                      </c:pt>
                      <c:pt idx="10">
                        <c:v>1.036853713976196</c:v>
                      </c:pt>
                      <c:pt idx="11">
                        <c:v>1.2576606324835626</c:v>
                      </c:pt>
                      <c:pt idx="12">
                        <c:v>0.97491338162326557</c:v>
                      </c:pt>
                      <c:pt idx="13">
                        <c:v>0.95427946290213406</c:v>
                      </c:pt>
                      <c:pt idx="14">
                        <c:v>0.75817096121616157</c:v>
                      </c:pt>
                      <c:pt idx="15">
                        <c:v>0.93386506170911365</c:v>
                      </c:pt>
                      <c:pt idx="16">
                        <c:v>1.1190778461433493</c:v>
                      </c:pt>
                      <c:pt idx="17">
                        <c:v>0.8029863469283347</c:v>
                      </c:pt>
                      <c:pt idx="18">
                        <c:v>0.75774547893918709</c:v>
                      </c:pt>
                      <c:pt idx="19">
                        <c:v>0.69067409534331925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C-8665-40E2-AF3A-132C7C51F38E}"/>
                  </c:ext>
                </c:extLst>
              </c15:ser>
            </c15:filteredBarSeries>
          </c:ext>
        </c:extLst>
      </c:barChart>
      <c:catAx>
        <c:axId val="152920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9210304"/>
        <c:crosses val="autoZero"/>
        <c:auto val="1"/>
        <c:lblAlgn val="ctr"/>
        <c:lblOffset val="100"/>
        <c:noMultiLvlLbl val="0"/>
      </c:catAx>
      <c:valAx>
        <c:axId val="152921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920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MX" sz="1600"/>
              <a:t>English</a:t>
            </a:r>
            <a:r>
              <a:rPr lang="es-MX" sz="1600" baseline="0"/>
              <a:t> Premier League</a:t>
            </a:r>
            <a:r>
              <a:rPr lang="es-MX" sz="1600"/>
              <a:t> temporada</a:t>
            </a:r>
            <a:r>
              <a:rPr lang="es-MX" sz="1600" baseline="0"/>
              <a:t> 2015-2016</a:t>
            </a:r>
          </a:p>
          <a:p>
            <a:pPr>
              <a:defRPr sz="1600"/>
            </a:pPr>
            <a:r>
              <a:rPr lang="es-MX" sz="1600"/>
              <a:t>Desempeño en puntos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'GraphSP1_2020-2021'!$C$1</c:f>
              <c:strCache>
                <c:ptCount val="1"/>
                <c:pt idx="0">
                  <c:v>Puntos Obtenidos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665-40E2-AF3A-132C7C51F38E}"/>
              </c:ext>
            </c:extLst>
          </c:dPt>
          <c:cat>
            <c:strRef>
              <c:f>'GraphSP1_2020-2021'!$B$27:$B$46</c:f>
              <c:strCache>
                <c:ptCount val="20"/>
                <c:pt idx="0">
                  <c:v>Leicester</c:v>
                </c:pt>
                <c:pt idx="1">
                  <c:v>Arsenal</c:v>
                </c:pt>
                <c:pt idx="2">
                  <c:v>Tottenham</c:v>
                </c:pt>
                <c:pt idx="3">
                  <c:v>Man United</c:v>
                </c:pt>
                <c:pt idx="4">
                  <c:v>Man City</c:v>
                </c:pt>
                <c:pt idx="5">
                  <c:v>Southampton</c:v>
                </c:pt>
                <c:pt idx="6">
                  <c:v>West Ham</c:v>
                </c:pt>
                <c:pt idx="7">
                  <c:v>Liverpool</c:v>
                </c:pt>
                <c:pt idx="8">
                  <c:v>Stoke</c:v>
                </c:pt>
                <c:pt idx="9">
                  <c:v>Chelsea</c:v>
                </c:pt>
                <c:pt idx="10">
                  <c:v>Everton</c:v>
                </c:pt>
                <c:pt idx="11">
                  <c:v>Swansea</c:v>
                </c:pt>
                <c:pt idx="12">
                  <c:v>Watford</c:v>
                </c:pt>
                <c:pt idx="13">
                  <c:v>West Brom</c:v>
                </c:pt>
                <c:pt idx="14">
                  <c:v>Crystal Palace</c:v>
                </c:pt>
                <c:pt idx="15">
                  <c:v>Bournemouth</c:v>
                </c:pt>
                <c:pt idx="16">
                  <c:v>Sunderland</c:v>
                </c:pt>
                <c:pt idx="17">
                  <c:v>Newcastle</c:v>
                </c:pt>
                <c:pt idx="18">
                  <c:v>Norwich</c:v>
                </c:pt>
                <c:pt idx="19">
                  <c:v>Aston Villa</c:v>
                </c:pt>
              </c:strCache>
            </c:strRef>
          </c:cat>
          <c:val>
            <c:numRef>
              <c:f>'GraphSP1_2020-2021'!$C$27:$C$46</c:f>
              <c:numCache>
                <c:formatCode>General</c:formatCode>
                <c:ptCount val="20"/>
                <c:pt idx="0">
                  <c:v>81</c:v>
                </c:pt>
                <c:pt idx="1">
                  <c:v>71</c:v>
                </c:pt>
                <c:pt idx="2">
                  <c:v>70</c:v>
                </c:pt>
                <c:pt idx="3">
                  <c:v>66</c:v>
                </c:pt>
                <c:pt idx="4">
                  <c:v>66</c:v>
                </c:pt>
                <c:pt idx="5">
                  <c:v>63</c:v>
                </c:pt>
                <c:pt idx="6">
                  <c:v>62</c:v>
                </c:pt>
                <c:pt idx="7">
                  <c:v>60</c:v>
                </c:pt>
                <c:pt idx="8">
                  <c:v>51</c:v>
                </c:pt>
                <c:pt idx="9">
                  <c:v>50</c:v>
                </c:pt>
                <c:pt idx="10">
                  <c:v>47</c:v>
                </c:pt>
                <c:pt idx="11">
                  <c:v>47</c:v>
                </c:pt>
                <c:pt idx="12">
                  <c:v>45</c:v>
                </c:pt>
                <c:pt idx="13">
                  <c:v>43</c:v>
                </c:pt>
                <c:pt idx="14">
                  <c:v>42</c:v>
                </c:pt>
                <c:pt idx="15">
                  <c:v>42</c:v>
                </c:pt>
                <c:pt idx="16">
                  <c:v>39</c:v>
                </c:pt>
                <c:pt idx="17">
                  <c:v>37</c:v>
                </c:pt>
                <c:pt idx="18">
                  <c:v>34</c:v>
                </c:pt>
                <c:pt idx="1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5-40E2-AF3A-132C7C51F38E}"/>
            </c:ext>
          </c:extLst>
        </c:ser>
        <c:ser>
          <c:idx val="1"/>
          <c:order val="1"/>
          <c:tx>
            <c:strRef>
              <c:f>'GraphSP1_2020-2021'!$D$1</c:f>
              <c:strCache>
                <c:ptCount val="1"/>
                <c:pt idx="0">
                  <c:v>Puntos Esperados</c:v>
                </c:pt>
              </c:strCache>
            </c:strRef>
          </c:tx>
          <c:spPr>
            <a:solidFill>
              <a:srgbClr val="EAEAEA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CFFFF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665-40E2-AF3A-132C7C51F38E}"/>
              </c:ext>
            </c:extLst>
          </c:dPt>
          <c:cat>
            <c:strRef>
              <c:f>'GraphSP1_2020-2021'!$B$27:$B$46</c:f>
              <c:strCache>
                <c:ptCount val="20"/>
                <c:pt idx="0">
                  <c:v>Leicester</c:v>
                </c:pt>
                <c:pt idx="1">
                  <c:v>Arsenal</c:v>
                </c:pt>
                <c:pt idx="2">
                  <c:v>Tottenham</c:v>
                </c:pt>
                <c:pt idx="3">
                  <c:v>Man United</c:v>
                </c:pt>
                <c:pt idx="4">
                  <c:v>Man City</c:v>
                </c:pt>
                <c:pt idx="5">
                  <c:v>Southampton</c:v>
                </c:pt>
                <c:pt idx="6">
                  <c:v>West Ham</c:v>
                </c:pt>
                <c:pt idx="7">
                  <c:v>Liverpool</c:v>
                </c:pt>
                <c:pt idx="8">
                  <c:v>Stoke</c:v>
                </c:pt>
                <c:pt idx="9">
                  <c:v>Chelsea</c:v>
                </c:pt>
                <c:pt idx="10">
                  <c:v>Everton</c:v>
                </c:pt>
                <c:pt idx="11">
                  <c:v>Swansea</c:v>
                </c:pt>
                <c:pt idx="12">
                  <c:v>Watford</c:v>
                </c:pt>
                <c:pt idx="13">
                  <c:v>West Brom</c:v>
                </c:pt>
                <c:pt idx="14">
                  <c:v>Crystal Palace</c:v>
                </c:pt>
                <c:pt idx="15">
                  <c:v>Bournemouth</c:v>
                </c:pt>
                <c:pt idx="16">
                  <c:v>Sunderland</c:v>
                </c:pt>
                <c:pt idx="17">
                  <c:v>Newcastle</c:v>
                </c:pt>
                <c:pt idx="18">
                  <c:v>Norwich</c:v>
                </c:pt>
                <c:pt idx="19">
                  <c:v>Aston Villa</c:v>
                </c:pt>
              </c:strCache>
            </c:strRef>
          </c:cat>
          <c:val>
            <c:numRef>
              <c:f>'GraphSP1_2020-2021'!$D$27:$D$46</c:f>
              <c:numCache>
                <c:formatCode>General</c:formatCode>
                <c:ptCount val="20"/>
                <c:pt idx="0">
                  <c:v>53.366217366652151</c:v>
                </c:pt>
                <c:pt idx="1">
                  <c:v>74.603208143451297</c:v>
                </c:pt>
                <c:pt idx="2">
                  <c:v>65.480318955044766</c:v>
                </c:pt>
                <c:pt idx="3">
                  <c:v>66.341663515642082</c:v>
                </c:pt>
                <c:pt idx="4">
                  <c:v>76.592141106272948</c:v>
                </c:pt>
                <c:pt idx="5">
                  <c:v>58.211534339544428</c:v>
                </c:pt>
                <c:pt idx="6">
                  <c:v>46.521622404591866</c:v>
                </c:pt>
                <c:pt idx="7">
                  <c:v>64.513162668078678</c:v>
                </c:pt>
                <c:pt idx="8">
                  <c:v>44.336832135505709</c:v>
                </c:pt>
                <c:pt idx="9">
                  <c:v>68.112631319301784</c:v>
                </c:pt>
                <c:pt idx="10">
                  <c:v>53.775045587197383</c:v>
                </c:pt>
                <c:pt idx="11">
                  <c:v>45.180557360160357</c:v>
                </c:pt>
                <c:pt idx="12">
                  <c:v>41.803503178189892</c:v>
                </c:pt>
                <c:pt idx="13">
                  <c:v>38.560149510339201</c:v>
                </c:pt>
                <c:pt idx="14">
                  <c:v>45.945925908294697</c:v>
                </c:pt>
                <c:pt idx="15">
                  <c:v>46.829823546756067</c:v>
                </c:pt>
                <c:pt idx="16">
                  <c:v>36.733763268237453</c:v>
                </c:pt>
                <c:pt idx="17">
                  <c:v>40.362028994347703</c:v>
                </c:pt>
                <c:pt idx="18">
                  <c:v>41.596678827294113</c:v>
                </c:pt>
                <c:pt idx="19">
                  <c:v>34.052326450747323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5-40E2-AF3A-132C7C51F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1529206976"/>
        <c:axId val="152921030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'GraphSP1_2020-2021'!$E$1</c15:sqref>
                        </c15:formulaRef>
                      </c:ext>
                    </c:extLst>
                    <c:strCache>
                      <c:ptCount val="1"/>
                      <c:pt idx="0">
                        <c:v>Ratio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'GraphSP1_2020-2021'!$B$27:$B$46</c15:sqref>
                        </c15:formulaRef>
                      </c:ext>
                    </c:extLst>
                    <c:strCache>
                      <c:ptCount val="20"/>
                      <c:pt idx="0">
                        <c:v>Leicester</c:v>
                      </c:pt>
                      <c:pt idx="1">
                        <c:v>Arsenal</c:v>
                      </c:pt>
                      <c:pt idx="2">
                        <c:v>Tottenham</c:v>
                      </c:pt>
                      <c:pt idx="3">
                        <c:v>Man United</c:v>
                      </c:pt>
                      <c:pt idx="4">
                        <c:v>Man City</c:v>
                      </c:pt>
                      <c:pt idx="5">
                        <c:v>Southampton</c:v>
                      </c:pt>
                      <c:pt idx="6">
                        <c:v>West Ham</c:v>
                      </c:pt>
                      <c:pt idx="7">
                        <c:v>Liverpool</c:v>
                      </c:pt>
                      <c:pt idx="8">
                        <c:v>Stoke</c:v>
                      </c:pt>
                      <c:pt idx="9">
                        <c:v>Chelsea</c:v>
                      </c:pt>
                      <c:pt idx="10">
                        <c:v>Everton</c:v>
                      </c:pt>
                      <c:pt idx="11">
                        <c:v>Swansea</c:v>
                      </c:pt>
                      <c:pt idx="12">
                        <c:v>Watford</c:v>
                      </c:pt>
                      <c:pt idx="13">
                        <c:v>West Brom</c:v>
                      </c:pt>
                      <c:pt idx="14">
                        <c:v>Crystal Palace</c:v>
                      </c:pt>
                      <c:pt idx="15">
                        <c:v>Bournemouth</c:v>
                      </c:pt>
                      <c:pt idx="16">
                        <c:v>Sunderland</c:v>
                      </c:pt>
                      <c:pt idx="17">
                        <c:v>Newcastle</c:v>
                      </c:pt>
                      <c:pt idx="18">
                        <c:v>Norwich</c:v>
                      </c:pt>
                      <c:pt idx="19">
                        <c:v>Aston Villa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'GraphSP1_2020-2021'!$E$27:$E$46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0">
                        <c:v>1.517814152790522</c:v>
                      </c:pt>
                      <c:pt idx="1">
                        <c:v>0.95170169979120944</c:v>
                      </c:pt>
                      <c:pt idx="2">
                        <c:v>1.069023503811247</c:v>
                      </c:pt>
                      <c:pt idx="3">
                        <c:v>0.99484994048179809</c:v>
                      </c:pt>
                      <c:pt idx="4">
                        <c:v>0.8617072071196421</c:v>
                      </c:pt>
                      <c:pt idx="5">
                        <c:v>1.0822597396681679</c:v>
                      </c:pt>
                      <c:pt idx="6">
                        <c:v>1.3327136242325111</c:v>
                      </c:pt>
                      <c:pt idx="7">
                        <c:v>0.93004276210578951</c:v>
                      </c:pt>
                      <c:pt idx="8">
                        <c:v>1.1502851589425649</c:v>
                      </c:pt>
                      <c:pt idx="9">
                        <c:v>0.73407823235616187</c:v>
                      </c:pt>
                      <c:pt idx="10">
                        <c:v>0.87401134646717316</c:v>
                      </c:pt>
                      <c:pt idx="11">
                        <c:v>1.040270477969889</c:v>
                      </c:pt>
                      <c:pt idx="12">
                        <c:v>1.076464807463261</c:v>
                      </c:pt>
                      <c:pt idx="13">
                        <c:v>1.1151409044321869</c:v>
                      </c:pt>
                      <c:pt idx="14">
                        <c:v>0.9141180457181225</c:v>
                      </c:pt>
                      <c:pt idx="15">
                        <c:v>0.89686436588995777</c:v>
                      </c:pt>
                      <c:pt idx="16">
                        <c:v>1.0616935628188711</c:v>
                      </c:pt>
                      <c:pt idx="17">
                        <c:v>0.91670317181481353</c:v>
                      </c:pt>
                      <c:pt idx="18">
                        <c:v>0.81737294799820726</c:v>
                      </c:pt>
                      <c:pt idx="19">
                        <c:v>0.49923167583244282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C-8665-40E2-AF3A-132C7C51F38E}"/>
                  </c:ext>
                </c:extLst>
              </c15:ser>
            </c15:filteredBarSeries>
          </c:ext>
        </c:extLst>
      </c:barChart>
      <c:catAx>
        <c:axId val="152920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9210304"/>
        <c:crosses val="autoZero"/>
        <c:auto val="1"/>
        <c:lblAlgn val="ctr"/>
        <c:lblOffset val="100"/>
        <c:noMultiLvlLbl val="0"/>
      </c:catAx>
      <c:valAx>
        <c:axId val="152921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2920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26" Type="http://schemas.openxmlformats.org/officeDocument/2006/relationships/chart" Target="../charts/chart28.xml"/><Relationship Id="rId21" Type="http://schemas.openxmlformats.org/officeDocument/2006/relationships/chart" Target="../charts/chart23.xml"/><Relationship Id="rId34" Type="http://schemas.openxmlformats.org/officeDocument/2006/relationships/chart" Target="../charts/chart36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33" Type="http://schemas.openxmlformats.org/officeDocument/2006/relationships/chart" Target="../charts/chart35.xml"/><Relationship Id="rId38" Type="http://schemas.openxmlformats.org/officeDocument/2006/relationships/chart" Target="../charts/chart40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29" Type="http://schemas.openxmlformats.org/officeDocument/2006/relationships/chart" Target="../charts/chart31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32" Type="http://schemas.openxmlformats.org/officeDocument/2006/relationships/chart" Target="../charts/chart34.xml"/><Relationship Id="rId37" Type="http://schemas.openxmlformats.org/officeDocument/2006/relationships/chart" Target="../charts/chart39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28" Type="http://schemas.openxmlformats.org/officeDocument/2006/relationships/chart" Target="../charts/chart30.xml"/><Relationship Id="rId36" Type="http://schemas.openxmlformats.org/officeDocument/2006/relationships/chart" Target="../charts/chart38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31" Type="http://schemas.openxmlformats.org/officeDocument/2006/relationships/chart" Target="../charts/chart33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Relationship Id="rId27" Type="http://schemas.openxmlformats.org/officeDocument/2006/relationships/chart" Target="../charts/chart29.xml"/><Relationship Id="rId30" Type="http://schemas.openxmlformats.org/officeDocument/2006/relationships/chart" Target="../charts/chart32.xml"/><Relationship Id="rId35" Type="http://schemas.openxmlformats.org/officeDocument/2006/relationships/chart" Target="../charts/chart37.xml"/><Relationship Id="rId8" Type="http://schemas.openxmlformats.org/officeDocument/2006/relationships/chart" Target="../charts/chart10.xml"/><Relationship Id="rId3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3.xml"/><Relationship Id="rId18" Type="http://schemas.openxmlformats.org/officeDocument/2006/relationships/chart" Target="../charts/chart58.xml"/><Relationship Id="rId26" Type="http://schemas.openxmlformats.org/officeDocument/2006/relationships/chart" Target="../charts/chart66.xml"/><Relationship Id="rId21" Type="http://schemas.openxmlformats.org/officeDocument/2006/relationships/chart" Target="../charts/chart61.xml"/><Relationship Id="rId34" Type="http://schemas.openxmlformats.org/officeDocument/2006/relationships/chart" Target="../charts/chart74.xml"/><Relationship Id="rId7" Type="http://schemas.openxmlformats.org/officeDocument/2006/relationships/chart" Target="../charts/chart47.xml"/><Relationship Id="rId12" Type="http://schemas.openxmlformats.org/officeDocument/2006/relationships/chart" Target="../charts/chart52.xml"/><Relationship Id="rId17" Type="http://schemas.openxmlformats.org/officeDocument/2006/relationships/chart" Target="../charts/chart57.xml"/><Relationship Id="rId25" Type="http://schemas.openxmlformats.org/officeDocument/2006/relationships/chart" Target="../charts/chart65.xml"/><Relationship Id="rId33" Type="http://schemas.openxmlformats.org/officeDocument/2006/relationships/chart" Target="../charts/chart73.xml"/><Relationship Id="rId38" Type="http://schemas.openxmlformats.org/officeDocument/2006/relationships/chart" Target="../charts/chart78.xml"/><Relationship Id="rId2" Type="http://schemas.openxmlformats.org/officeDocument/2006/relationships/chart" Target="../charts/chart42.xml"/><Relationship Id="rId16" Type="http://schemas.openxmlformats.org/officeDocument/2006/relationships/chart" Target="../charts/chart56.xml"/><Relationship Id="rId20" Type="http://schemas.openxmlformats.org/officeDocument/2006/relationships/chart" Target="../charts/chart60.xml"/><Relationship Id="rId29" Type="http://schemas.openxmlformats.org/officeDocument/2006/relationships/chart" Target="../charts/chart69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11" Type="http://schemas.openxmlformats.org/officeDocument/2006/relationships/chart" Target="../charts/chart51.xml"/><Relationship Id="rId24" Type="http://schemas.openxmlformats.org/officeDocument/2006/relationships/chart" Target="../charts/chart64.xml"/><Relationship Id="rId32" Type="http://schemas.openxmlformats.org/officeDocument/2006/relationships/chart" Target="../charts/chart72.xml"/><Relationship Id="rId37" Type="http://schemas.openxmlformats.org/officeDocument/2006/relationships/chart" Target="../charts/chart77.xml"/><Relationship Id="rId5" Type="http://schemas.openxmlformats.org/officeDocument/2006/relationships/chart" Target="../charts/chart45.xml"/><Relationship Id="rId15" Type="http://schemas.openxmlformats.org/officeDocument/2006/relationships/chart" Target="../charts/chart55.xml"/><Relationship Id="rId23" Type="http://schemas.openxmlformats.org/officeDocument/2006/relationships/chart" Target="../charts/chart63.xml"/><Relationship Id="rId28" Type="http://schemas.openxmlformats.org/officeDocument/2006/relationships/chart" Target="../charts/chart68.xml"/><Relationship Id="rId36" Type="http://schemas.openxmlformats.org/officeDocument/2006/relationships/chart" Target="../charts/chart76.xml"/><Relationship Id="rId10" Type="http://schemas.openxmlformats.org/officeDocument/2006/relationships/chart" Target="../charts/chart50.xml"/><Relationship Id="rId19" Type="http://schemas.openxmlformats.org/officeDocument/2006/relationships/chart" Target="../charts/chart59.xml"/><Relationship Id="rId31" Type="http://schemas.openxmlformats.org/officeDocument/2006/relationships/chart" Target="../charts/chart71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Relationship Id="rId14" Type="http://schemas.openxmlformats.org/officeDocument/2006/relationships/chart" Target="../charts/chart54.xml"/><Relationship Id="rId22" Type="http://schemas.openxmlformats.org/officeDocument/2006/relationships/chart" Target="../charts/chart62.xml"/><Relationship Id="rId27" Type="http://schemas.openxmlformats.org/officeDocument/2006/relationships/chart" Target="../charts/chart67.xml"/><Relationship Id="rId30" Type="http://schemas.openxmlformats.org/officeDocument/2006/relationships/chart" Target="../charts/chart70.xml"/><Relationship Id="rId35" Type="http://schemas.openxmlformats.org/officeDocument/2006/relationships/chart" Target="../charts/chart75.xml"/><Relationship Id="rId8" Type="http://schemas.openxmlformats.org/officeDocument/2006/relationships/chart" Target="../charts/chart48.xml"/><Relationship Id="rId3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91.xml"/><Relationship Id="rId18" Type="http://schemas.openxmlformats.org/officeDocument/2006/relationships/chart" Target="../charts/chart96.xml"/><Relationship Id="rId26" Type="http://schemas.openxmlformats.org/officeDocument/2006/relationships/chart" Target="../charts/chart104.xml"/><Relationship Id="rId39" Type="http://schemas.openxmlformats.org/officeDocument/2006/relationships/chart" Target="../charts/chart116.xml"/><Relationship Id="rId21" Type="http://schemas.openxmlformats.org/officeDocument/2006/relationships/chart" Target="../charts/chart99.xml"/><Relationship Id="rId34" Type="http://schemas.openxmlformats.org/officeDocument/2006/relationships/chart" Target="../charts/chart11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17" Type="http://schemas.openxmlformats.org/officeDocument/2006/relationships/chart" Target="../charts/chart95.xml"/><Relationship Id="rId25" Type="http://schemas.openxmlformats.org/officeDocument/2006/relationships/chart" Target="../charts/chart103.xml"/><Relationship Id="rId33" Type="http://schemas.openxmlformats.org/officeDocument/2006/relationships/chart" Target="../charts/chart110.xml"/><Relationship Id="rId38" Type="http://schemas.openxmlformats.org/officeDocument/2006/relationships/chart" Target="../charts/chart115.xml"/><Relationship Id="rId2" Type="http://schemas.openxmlformats.org/officeDocument/2006/relationships/chart" Target="../charts/chart80.xml"/><Relationship Id="rId16" Type="http://schemas.openxmlformats.org/officeDocument/2006/relationships/chart" Target="../charts/chart94.xml"/><Relationship Id="rId20" Type="http://schemas.openxmlformats.org/officeDocument/2006/relationships/chart" Target="../charts/chart98.xml"/><Relationship Id="rId29" Type="http://schemas.openxmlformats.org/officeDocument/2006/relationships/chart" Target="../charts/chart107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24" Type="http://schemas.openxmlformats.org/officeDocument/2006/relationships/chart" Target="../charts/chart102.xml"/><Relationship Id="rId32" Type="http://schemas.openxmlformats.org/officeDocument/2006/relationships/chart" Target="../charts/chart109.xml"/><Relationship Id="rId37" Type="http://schemas.openxmlformats.org/officeDocument/2006/relationships/chart" Target="../charts/chart114.xml"/><Relationship Id="rId5" Type="http://schemas.openxmlformats.org/officeDocument/2006/relationships/chart" Target="../charts/chart83.xml"/><Relationship Id="rId15" Type="http://schemas.openxmlformats.org/officeDocument/2006/relationships/chart" Target="../charts/chart93.xml"/><Relationship Id="rId23" Type="http://schemas.openxmlformats.org/officeDocument/2006/relationships/chart" Target="../charts/chart101.xml"/><Relationship Id="rId28" Type="http://schemas.openxmlformats.org/officeDocument/2006/relationships/chart" Target="../charts/chart106.xml"/><Relationship Id="rId36" Type="http://schemas.openxmlformats.org/officeDocument/2006/relationships/chart" Target="../charts/chart113.xml"/><Relationship Id="rId10" Type="http://schemas.openxmlformats.org/officeDocument/2006/relationships/chart" Target="../charts/chart88.xml"/><Relationship Id="rId19" Type="http://schemas.openxmlformats.org/officeDocument/2006/relationships/chart" Target="../charts/chart97.xml"/><Relationship Id="rId31" Type="http://schemas.openxmlformats.org/officeDocument/2006/relationships/image" Target="../media/image3.png"/><Relationship Id="rId4" Type="http://schemas.openxmlformats.org/officeDocument/2006/relationships/chart" Target="../charts/chart82.xml"/><Relationship Id="rId9" Type="http://schemas.openxmlformats.org/officeDocument/2006/relationships/chart" Target="../charts/chart87.xml"/><Relationship Id="rId14" Type="http://schemas.openxmlformats.org/officeDocument/2006/relationships/chart" Target="../charts/chart92.xml"/><Relationship Id="rId22" Type="http://schemas.openxmlformats.org/officeDocument/2006/relationships/chart" Target="../charts/chart100.xml"/><Relationship Id="rId27" Type="http://schemas.openxmlformats.org/officeDocument/2006/relationships/chart" Target="../charts/chart105.xml"/><Relationship Id="rId30" Type="http://schemas.openxmlformats.org/officeDocument/2006/relationships/chart" Target="../charts/chart108.xml"/><Relationship Id="rId35" Type="http://schemas.openxmlformats.org/officeDocument/2006/relationships/chart" Target="../charts/chart112.xml"/><Relationship Id="rId8" Type="http://schemas.openxmlformats.org/officeDocument/2006/relationships/chart" Target="../charts/chart86.xml"/><Relationship Id="rId3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29.xml"/><Relationship Id="rId18" Type="http://schemas.openxmlformats.org/officeDocument/2006/relationships/chart" Target="../charts/chart134.xml"/><Relationship Id="rId26" Type="http://schemas.openxmlformats.org/officeDocument/2006/relationships/chart" Target="../charts/chart142.xml"/><Relationship Id="rId21" Type="http://schemas.openxmlformats.org/officeDocument/2006/relationships/chart" Target="../charts/chart137.xml"/><Relationship Id="rId34" Type="http://schemas.openxmlformats.org/officeDocument/2006/relationships/chart" Target="../charts/chart150.xml"/><Relationship Id="rId7" Type="http://schemas.openxmlformats.org/officeDocument/2006/relationships/chart" Target="../charts/chart123.xml"/><Relationship Id="rId12" Type="http://schemas.openxmlformats.org/officeDocument/2006/relationships/chart" Target="../charts/chart128.xml"/><Relationship Id="rId17" Type="http://schemas.openxmlformats.org/officeDocument/2006/relationships/chart" Target="../charts/chart133.xml"/><Relationship Id="rId25" Type="http://schemas.openxmlformats.org/officeDocument/2006/relationships/chart" Target="../charts/chart141.xml"/><Relationship Id="rId33" Type="http://schemas.openxmlformats.org/officeDocument/2006/relationships/chart" Target="../charts/chart149.xml"/><Relationship Id="rId38" Type="http://schemas.openxmlformats.org/officeDocument/2006/relationships/chart" Target="../charts/chart154.xml"/><Relationship Id="rId2" Type="http://schemas.openxmlformats.org/officeDocument/2006/relationships/chart" Target="../charts/chart118.xml"/><Relationship Id="rId16" Type="http://schemas.openxmlformats.org/officeDocument/2006/relationships/chart" Target="../charts/chart132.xml"/><Relationship Id="rId20" Type="http://schemas.openxmlformats.org/officeDocument/2006/relationships/chart" Target="../charts/chart136.xml"/><Relationship Id="rId29" Type="http://schemas.openxmlformats.org/officeDocument/2006/relationships/chart" Target="../charts/chart145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11" Type="http://schemas.openxmlformats.org/officeDocument/2006/relationships/chart" Target="../charts/chart127.xml"/><Relationship Id="rId24" Type="http://schemas.openxmlformats.org/officeDocument/2006/relationships/chart" Target="../charts/chart140.xml"/><Relationship Id="rId32" Type="http://schemas.openxmlformats.org/officeDocument/2006/relationships/chart" Target="../charts/chart148.xml"/><Relationship Id="rId37" Type="http://schemas.openxmlformats.org/officeDocument/2006/relationships/chart" Target="../charts/chart153.xml"/><Relationship Id="rId5" Type="http://schemas.openxmlformats.org/officeDocument/2006/relationships/chart" Target="../charts/chart121.xml"/><Relationship Id="rId15" Type="http://schemas.openxmlformats.org/officeDocument/2006/relationships/chart" Target="../charts/chart131.xml"/><Relationship Id="rId23" Type="http://schemas.openxmlformats.org/officeDocument/2006/relationships/chart" Target="../charts/chart139.xml"/><Relationship Id="rId28" Type="http://schemas.openxmlformats.org/officeDocument/2006/relationships/chart" Target="../charts/chart144.xml"/><Relationship Id="rId36" Type="http://schemas.openxmlformats.org/officeDocument/2006/relationships/chart" Target="../charts/chart152.xml"/><Relationship Id="rId10" Type="http://schemas.openxmlformats.org/officeDocument/2006/relationships/chart" Target="../charts/chart126.xml"/><Relationship Id="rId19" Type="http://schemas.openxmlformats.org/officeDocument/2006/relationships/chart" Target="../charts/chart135.xml"/><Relationship Id="rId31" Type="http://schemas.openxmlformats.org/officeDocument/2006/relationships/chart" Target="../charts/chart147.xml"/><Relationship Id="rId4" Type="http://schemas.openxmlformats.org/officeDocument/2006/relationships/chart" Target="../charts/chart120.xml"/><Relationship Id="rId9" Type="http://schemas.openxmlformats.org/officeDocument/2006/relationships/chart" Target="../charts/chart125.xml"/><Relationship Id="rId14" Type="http://schemas.openxmlformats.org/officeDocument/2006/relationships/chart" Target="../charts/chart130.xml"/><Relationship Id="rId22" Type="http://schemas.openxmlformats.org/officeDocument/2006/relationships/chart" Target="../charts/chart138.xml"/><Relationship Id="rId27" Type="http://schemas.openxmlformats.org/officeDocument/2006/relationships/chart" Target="../charts/chart143.xml"/><Relationship Id="rId30" Type="http://schemas.openxmlformats.org/officeDocument/2006/relationships/chart" Target="../charts/chart146.xml"/><Relationship Id="rId35" Type="http://schemas.openxmlformats.org/officeDocument/2006/relationships/chart" Target="../charts/chart151.xml"/><Relationship Id="rId8" Type="http://schemas.openxmlformats.org/officeDocument/2006/relationships/chart" Target="../charts/chart124.xml"/><Relationship Id="rId3" Type="http://schemas.openxmlformats.org/officeDocument/2006/relationships/chart" Target="../charts/chart119.xml"/></Relationships>
</file>

<file path=xl/drawings/_rels/drawing1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6.xml"/><Relationship Id="rId1" Type="http://schemas.openxmlformats.org/officeDocument/2006/relationships/chart" Target="../charts/chart155.xml"/></Relationships>
</file>

<file path=xl/drawings/_rels/drawing1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19.png"/><Relationship Id="rId3" Type="http://schemas.openxmlformats.org/officeDocument/2006/relationships/image" Target="../media/image2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18.png"/><Relationship Id="rId2" Type="http://schemas.openxmlformats.org/officeDocument/2006/relationships/image" Target="../media/image7.png"/><Relationship Id="rId16" Type="http://schemas.openxmlformats.org/officeDocument/2006/relationships/image" Target="../media/image5.png"/><Relationship Id="rId20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3.png"/><Relationship Id="rId10" Type="http://schemas.openxmlformats.org/officeDocument/2006/relationships/image" Target="../media/image13.png"/><Relationship Id="rId19" Type="http://schemas.openxmlformats.org/officeDocument/2006/relationships/image" Target="../media/image20.png"/><Relationship Id="rId4" Type="http://schemas.openxmlformats.org/officeDocument/2006/relationships/image" Target="../media/image4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1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16667</xdr:colOff>
      <xdr:row>6</xdr:row>
      <xdr:rowOff>7142</xdr:rowOff>
    </xdr:from>
    <xdr:to>
      <xdr:col>62</xdr:col>
      <xdr:colOff>4762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7142</xdr:colOff>
      <xdr:row>6</xdr:row>
      <xdr:rowOff>7142</xdr:rowOff>
    </xdr:from>
    <xdr:to>
      <xdr:col>72</xdr:col>
      <xdr:colOff>638175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29766</xdr:colOff>
      <xdr:row>20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25</xdr:col>
      <xdr:colOff>29765</xdr:colOff>
      <xdr:row>20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</xdr:colOff>
      <xdr:row>1</xdr:row>
      <xdr:rowOff>0</xdr:rowOff>
    </xdr:from>
    <xdr:to>
      <xdr:col>32</xdr:col>
      <xdr:colOff>29766</xdr:colOff>
      <xdr:row>20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617934</xdr:colOff>
      <xdr:row>20</xdr:row>
      <xdr:rowOff>0</xdr:rowOff>
    </xdr:from>
    <xdr:to>
      <xdr:col>18</xdr:col>
      <xdr:colOff>0</xdr:colOff>
      <xdr:row>38</xdr:row>
      <xdr:rowOff>180974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20</xdr:row>
      <xdr:rowOff>2</xdr:rowOff>
    </xdr:from>
    <xdr:to>
      <xdr:col>25</xdr:col>
      <xdr:colOff>29766</xdr:colOff>
      <xdr:row>39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29766</xdr:colOff>
      <xdr:row>20</xdr:row>
      <xdr:rowOff>4</xdr:rowOff>
    </xdr:from>
    <xdr:to>
      <xdr:col>32</xdr:col>
      <xdr:colOff>59532</xdr:colOff>
      <xdr:row>39</xdr:row>
      <xdr:rowOff>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617934</xdr:colOff>
      <xdr:row>39</xdr:row>
      <xdr:rowOff>19047</xdr:rowOff>
    </xdr:from>
    <xdr:to>
      <xdr:col>18</xdr:col>
      <xdr:colOff>0</xdr:colOff>
      <xdr:row>58</xdr:row>
      <xdr:rowOff>19047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39</xdr:row>
      <xdr:rowOff>19049</xdr:rowOff>
    </xdr:from>
    <xdr:to>
      <xdr:col>25</xdr:col>
      <xdr:colOff>29766</xdr:colOff>
      <xdr:row>58</xdr:row>
      <xdr:rowOff>19049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29766</xdr:colOff>
      <xdr:row>39</xdr:row>
      <xdr:rowOff>19051</xdr:rowOff>
    </xdr:from>
    <xdr:to>
      <xdr:col>32</xdr:col>
      <xdr:colOff>59532</xdr:colOff>
      <xdr:row>58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0</xdr:colOff>
      <xdr:row>58</xdr:row>
      <xdr:rowOff>38101</xdr:rowOff>
    </xdr:from>
    <xdr:to>
      <xdr:col>18</xdr:col>
      <xdr:colOff>29766</xdr:colOff>
      <xdr:row>77</xdr:row>
      <xdr:rowOff>38099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29766</xdr:colOff>
      <xdr:row>58</xdr:row>
      <xdr:rowOff>38103</xdr:rowOff>
    </xdr:from>
    <xdr:to>
      <xdr:col>25</xdr:col>
      <xdr:colOff>59532</xdr:colOff>
      <xdr:row>77</xdr:row>
      <xdr:rowOff>38101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59532</xdr:colOff>
      <xdr:row>58</xdr:row>
      <xdr:rowOff>38105</xdr:rowOff>
    </xdr:from>
    <xdr:to>
      <xdr:col>32</xdr:col>
      <xdr:colOff>89298</xdr:colOff>
      <xdr:row>77</xdr:row>
      <xdr:rowOff>38103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1</xdr:row>
      <xdr:rowOff>0</xdr:rowOff>
    </xdr:from>
    <xdr:to>
      <xdr:col>45</xdr:col>
      <xdr:colOff>29766</xdr:colOff>
      <xdr:row>20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0</xdr:colOff>
      <xdr:row>1</xdr:row>
      <xdr:rowOff>0</xdr:rowOff>
    </xdr:from>
    <xdr:to>
      <xdr:col>52</xdr:col>
      <xdr:colOff>29767</xdr:colOff>
      <xdr:row>20</xdr:row>
      <xdr:rowOff>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52</xdr:col>
      <xdr:colOff>0</xdr:colOff>
      <xdr:row>1</xdr:row>
      <xdr:rowOff>0</xdr:rowOff>
    </xdr:from>
    <xdr:to>
      <xdr:col>59</xdr:col>
      <xdr:colOff>29765</xdr:colOff>
      <xdr:row>20</xdr:row>
      <xdr:rowOff>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19</xdr:row>
      <xdr:rowOff>95252</xdr:rowOff>
    </xdr:from>
    <xdr:to>
      <xdr:col>45</xdr:col>
      <xdr:colOff>29766</xdr:colOff>
      <xdr:row>38</xdr:row>
      <xdr:rowOff>95251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45</xdr:col>
      <xdr:colOff>0</xdr:colOff>
      <xdr:row>19</xdr:row>
      <xdr:rowOff>95252</xdr:rowOff>
    </xdr:from>
    <xdr:to>
      <xdr:col>52</xdr:col>
      <xdr:colOff>29767</xdr:colOff>
      <xdr:row>38</xdr:row>
      <xdr:rowOff>95251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52</xdr:col>
      <xdr:colOff>0</xdr:colOff>
      <xdr:row>19</xdr:row>
      <xdr:rowOff>95252</xdr:rowOff>
    </xdr:from>
    <xdr:to>
      <xdr:col>59</xdr:col>
      <xdr:colOff>29765</xdr:colOff>
      <xdr:row>38</xdr:row>
      <xdr:rowOff>95251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38</xdr:row>
      <xdr:rowOff>8663</xdr:rowOff>
    </xdr:from>
    <xdr:to>
      <xdr:col>45</xdr:col>
      <xdr:colOff>29766</xdr:colOff>
      <xdr:row>57</xdr:row>
      <xdr:rowOff>8661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45</xdr:col>
      <xdr:colOff>0</xdr:colOff>
      <xdr:row>38</xdr:row>
      <xdr:rowOff>8663</xdr:rowOff>
    </xdr:from>
    <xdr:to>
      <xdr:col>52</xdr:col>
      <xdr:colOff>29767</xdr:colOff>
      <xdr:row>57</xdr:row>
      <xdr:rowOff>8661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52</xdr:col>
      <xdr:colOff>0</xdr:colOff>
      <xdr:row>38</xdr:row>
      <xdr:rowOff>8663</xdr:rowOff>
    </xdr:from>
    <xdr:to>
      <xdr:col>59</xdr:col>
      <xdr:colOff>29765</xdr:colOff>
      <xdr:row>57</xdr:row>
      <xdr:rowOff>8661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38</xdr:col>
      <xdr:colOff>0</xdr:colOff>
      <xdr:row>56</xdr:row>
      <xdr:rowOff>103915</xdr:rowOff>
    </xdr:from>
    <xdr:to>
      <xdr:col>45</xdr:col>
      <xdr:colOff>29766</xdr:colOff>
      <xdr:row>75</xdr:row>
      <xdr:rowOff>103913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45</xdr:col>
      <xdr:colOff>0</xdr:colOff>
      <xdr:row>56</xdr:row>
      <xdr:rowOff>103915</xdr:rowOff>
    </xdr:from>
    <xdr:to>
      <xdr:col>52</xdr:col>
      <xdr:colOff>29767</xdr:colOff>
      <xdr:row>75</xdr:row>
      <xdr:rowOff>103913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52</xdr:col>
      <xdr:colOff>0</xdr:colOff>
      <xdr:row>56</xdr:row>
      <xdr:rowOff>103915</xdr:rowOff>
    </xdr:from>
    <xdr:to>
      <xdr:col>59</xdr:col>
      <xdr:colOff>29765</xdr:colOff>
      <xdr:row>75</xdr:row>
      <xdr:rowOff>103913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72</xdr:col>
      <xdr:colOff>29766</xdr:colOff>
      <xdr:row>20</xdr:row>
      <xdr:rowOff>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72</xdr:col>
      <xdr:colOff>0</xdr:colOff>
      <xdr:row>1</xdr:row>
      <xdr:rowOff>0</xdr:rowOff>
    </xdr:from>
    <xdr:to>
      <xdr:col>79</xdr:col>
      <xdr:colOff>29766</xdr:colOff>
      <xdr:row>20</xdr:row>
      <xdr:rowOff>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79</xdr:col>
      <xdr:colOff>0</xdr:colOff>
      <xdr:row>1</xdr:row>
      <xdr:rowOff>0</xdr:rowOff>
    </xdr:from>
    <xdr:to>
      <xdr:col>86</xdr:col>
      <xdr:colOff>29766</xdr:colOff>
      <xdr:row>20</xdr:row>
      <xdr:rowOff>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65</xdr:col>
      <xdr:colOff>0</xdr:colOff>
      <xdr:row>21</xdr:row>
      <xdr:rowOff>0</xdr:rowOff>
    </xdr:from>
    <xdr:to>
      <xdr:col>72</xdr:col>
      <xdr:colOff>29766</xdr:colOff>
      <xdr:row>40</xdr:row>
      <xdr:rowOff>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0</xdr:colOff>
      <xdr:row>21</xdr:row>
      <xdr:rowOff>0</xdr:rowOff>
    </xdr:from>
    <xdr:to>
      <xdr:col>79</xdr:col>
      <xdr:colOff>29766</xdr:colOff>
      <xdr:row>40</xdr:row>
      <xdr:rowOff>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79</xdr:col>
      <xdr:colOff>31750</xdr:colOff>
      <xdr:row>21</xdr:row>
      <xdr:rowOff>0</xdr:rowOff>
    </xdr:from>
    <xdr:to>
      <xdr:col>86</xdr:col>
      <xdr:colOff>61516</xdr:colOff>
      <xdr:row>40</xdr:row>
      <xdr:rowOff>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65</xdr:col>
      <xdr:colOff>0</xdr:colOff>
      <xdr:row>42</xdr:row>
      <xdr:rowOff>1</xdr:rowOff>
    </xdr:from>
    <xdr:to>
      <xdr:col>72</xdr:col>
      <xdr:colOff>29766</xdr:colOff>
      <xdr:row>61</xdr:row>
      <xdr:rowOff>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72</xdr:col>
      <xdr:colOff>0</xdr:colOff>
      <xdr:row>42</xdr:row>
      <xdr:rowOff>1</xdr:rowOff>
    </xdr:from>
    <xdr:to>
      <xdr:col>79</xdr:col>
      <xdr:colOff>29766</xdr:colOff>
      <xdr:row>61</xdr:row>
      <xdr:rowOff>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31750</xdr:colOff>
      <xdr:row>42</xdr:row>
      <xdr:rowOff>1</xdr:rowOff>
    </xdr:from>
    <xdr:to>
      <xdr:col>86</xdr:col>
      <xdr:colOff>61516</xdr:colOff>
      <xdr:row>61</xdr:row>
      <xdr:rowOff>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65</xdr:col>
      <xdr:colOff>0</xdr:colOff>
      <xdr:row>63</xdr:row>
      <xdr:rowOff>1</xdr:rowOff>
    </xdr:from>
    <xdr:to>
      <xdr:col>72</xdr:col>
      <xdr:colOff>29766</xdr:colOff>
      <xdr:row>82</xdr:row>
      <xdr:rowOff>1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72</xdr:col>
      <xdr:colOff>0</xdr:colOff>
      <xdr:row>63</xdr:row>
      <xdr:rowOff>1</xdr:rowOff>
    </xdr:from>
    <xdr:to>
      <xdr:col>79</xdr:col>
      <xdr:colOff>29766</xdr:colOff>
      <xdr:row>82</xdr:row>
      <xdr:rowOff>1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79</xdr:col>
      <xdr:colOff>31750</xdr:colOff>
      <xdr:row>63</xdr:row>
      <xdr:rowOff>1</xdr:rowOff>
    </xdr:from>
    <xdr:to>
      <xdr:col>86</xdr:col>
      <xdr:colOff>61516</xdr:colOff>
      <xdr:row>82</xdr:row>
      <xdr:rowOff>1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65</xdr:col>
      <xdr:colOff>0</xdr:colOff>
      <xdr:row>83</xdr:row>
      <xdr:rowOff>0</xdr:rowOff>
    </xdr:from>
    <xdr:to>
      <xdr:col>72</xdr:col>
      <xdr:colOff>29766</xdr:colOff>
      <xdr:row>102</xdr:row>
      <xdr:rowOff>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73</xdr:col>
      <xdr:colOff>0</xdr:colOff>
      <xdr:row>83</xdr:row>
      <xdr:rowOff>0</xdr:rowOff>
    </xdr:from>
    <xdr:to>
      <xdr:col>80</xdr:col>
      <xdr:colOff>29766</xdr:colOff>
      <xdr:row>102</xdr:row>
      <xdr:rowOff>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CA90FC3E-A1E9-4ECF-AFE9-CEAD891B4CA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0" cy="679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D44F336C-4A20-4241-90B1-B0BDA3535F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0" cy="679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D44F336C-4A20-4241-90B1-B0BDA3535F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0" cy="679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0.01107</cdr:x>
      <cdr:y>0.01465</cdr:y>
    </cdr:from>
    <cdr:to>
      <cdr:x>0.15913</cdr:x>
      <cdr:y>0.21062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D44F336C-4A20-4241-90B1-B0BDA3535F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0" cy="679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D44F336C-4A20-4241-90B1-B0BDA3535F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0" cy="679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D44F336C-4A20-4241-90B1-B0BDA3535F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0" cy="679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0.01107</cdr:x>
      <cdr:y>0.01465</cdr:y>
    </cdr:from>
    <cdr:to>
      <cdr:x>0.15913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D44F336C-4A20-4241-90B1-B0BDA3535F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0" cy="679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D44F336C-4A20-4241-90B1-B0BDA3535F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0" cy="679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D44F336C-4A20-4241-90B1-B0BDA3535F9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0" cy="67945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EB3D3077-6ED2-48BD-A30C-D99754A9A22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EB3D3077-6ED2-48BD-A30C-D99754A9A22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EB3D3077-6ED2-48BD-A30C-D99754A9A22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0.01108</cdr:x>
      <cdr:y>0.01465</cdr:y>
    </cdr:from>
    <cdr:to>
      <cdr:x>0.15924</cdr:x>
      <cdr:y>0.21053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BD97D502-9C0D-4CD8-8C05-B37609DA7F9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79457" cy="67944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0.32231</cdr:x>
      <cdr:y>0.59041</cdr:y>
    </cdr:from>
    <cdr:to>
      <cdr:x>0.71163</cdr:x>
      <cdr:y>0.84129</cdr:y>
    </cdr:to>
    <cdr:sp macro="" textlink="">
      <cdr:nvSpPr>
        <cdr:cNvPr id="3" name="Rectangle: Rounded Corners 2">
          <a:extLst xmlns:a="http://schemas.openxmlformats.org/drawingml/2006/main">
            <a:ext uri="{FF2B5EF4-FFF2-40B4-BE49-F238E27FC236}">
              <a16:creationId xmlns:a16="http://schemas.microsoft.com/office/drawing/2014/main" id="{1BD9F8AB-A356-4F1F-92B3-B267A9BC9728}"/>
            </a:ext>
          </a:extLst>
        </cdr:cNvPr>
        <cdr:cNvSpPr/>
      </cdr:nvSpPr>
      <cdr:spPr>
        <a:xfrm xmlns:a="http://schemas.openxmlformats.org/drawingml/2006/main">
          <a:off x="1473597" y="2003425"/>
          <a:ext cx="1779983" cy="851298"/>
        </a:xfrm>
        <a:prstGeom xmlns:a="http://schemas.openxmlformats.org/drawingml/2006/main" prst="roundRect">
          <a:avLst/>
        </a:prstGeom>
        <a:ln xmlns:a="http://schemas.openxmlformats.org/drawingml/2006/main" w="38100"/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2000"/>
            <a:t>Desempeño</a:t>
          </a:r>
        </a:p>
        <a:p xmlns:a="http://schemas.openxmlformats.org/drawingml/2006/main">
          <a:pPr algn="ctr"/>
          <a:r>
            <a:rPr lang="es-MX" sz="2000"/>
            <a:t>152%</a:t>
          </a: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16</xdr:col>
      <xdr:colOff>646338</xdr:colOff>
      <xdr:row>17</xdr:row>
      <xdr:rowOff>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25</xdr:col>
      <xdr:colOff>646339</xdr:colOff>
      <xdr:row>17</xdr:row>
      <xdr:rowOff>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16</xdr:col>
      <xdr:colOff>646339</xdr:colOff>
      <xdr:row>34</xdr:row>
      <xdr:rowOff>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18</xdr:row>
      <xdr:rowOff>0</xdr:rowOff>
    </xdr:from>
    <xdr:to>
      <xdr:col>25</xdr:col>
      <xdr:colOff>646339</xdr:colOff>
      <xdr:row>34</xdr:row>
      <xdr:rowOff>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34</xdr:row>
      <xdr:rowOff>166688</xdr:rowOff>
    </xdr:from>
    <xdr:to>
      <xdr:col>16</xdr:col>
      <xdr:colOff>646339</xdr:colOff>
      <xdr:row>50</xdr:row>
      <xdr:rowOff>166688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34</xdr:row>
      <xdr:rowOff>166688</xdr:rowOff>
    </xdr:from>
    <xdr:to>
      <xdr:col>25</xdr:col>
      <xdr:colOff>646339</xdr:colOff>
      <xdr:row>50</xdr:row>
      <xdr:rowOff>166688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52</xdr:row>
      <xdr:rowOff>23813</xdr:rowOff>
    </xdr:from>
    <xdr:to>
      <xdr:col>16</xdr:col>
      <xdr:colOff>646339</xdr:colOff>
      <xdr:row>68</xdr:row>
      <xdr:rowOff>23813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52</xdr:row>
      <xdr:rowOff>0</xdr:rowOff>
    </xdr:from>
    <xdr:to>
      <xdr:col>25</xdr:col>
      <xdr:colOff>646339</xdr:colOff>
      <xdr:row>68</xdr:row>
      <xdr:rowOff>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16</xdr:col>
      <xdr:colOff>646339</xdr:colOff>
      <xdr:row>85</xdr:row>
      <xdr:rowOff>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18</xdr:col>
      <xdr:colOff>0</xdr:colOff>
      <xdr:row>69</xdr:row>
      <xdr:rowOff>0</xdr:rowOff>
    </xdr:from>
    <xdr:to>
      <xdr:col>25</xdr:col>
      <xdr:colOff>646339</xdr:colOff>
      <xdr:row>85</xdr:row>
      <xdr:rowOff>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1</xdr:row>
      <xdr:rowOff>0</xdr:rowOff>
    </xdr:from>
    <xdr:to>
      <xdr:col>34</xdr:col>
      <xdr:colOff>646338</xdr:colOff>
      <xdr:row>17</xdr:row>
      <xdr:rowOff>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43</xdr:col>
      <xdr:colOff>646339</xdr:colOff>
      <xdr:row>17</xdr:row>
      <xdr:rowOff>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27</xdr:col>
      <xdr:colOff>0</xdr:colOff>
      <xdr:row>18</xdr:row>
      <xdr:rowOff>0</xdr:rowOff>
    </xdr:from>
    <xdr:to>
      <xdr:col>34</xdr:col>
      <xdr:colOff>646338</xdr:colOff>
      <xdr:row>34</xdr:row>
      <xdr:rowOff>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0</xdr:colOff>
      <xdr:row>18</xdr:row>
      <xdr:rowOff>0</xdr:rowOff>
    </xdr:from>
    <xdr:to>
      <xdr:col>43</xdr:col>
      <xdr:colOff>646339</xdr:colOff>
      <xdr:row>34</xdr:row>
      <xdr:rowOff>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0</xdr:colOff>
      <xdr:row>34</xdr:row>
      <xdr:rowOff>180974</xdr:rowOff>
    </xdr:from>
    <xdr:to>
      <xdr:col>34</xdr:col>
      <xdr:colOff>646338</xdr:colOff>
      <xdr:row>50</xdr:row>
      <xdr:rowOff>180974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0</xdr:colOff>
      <xdr:row>34</xdr:row>
      <xdr:rowOff>180974</xdr:rowOff>
    </xdr:from>
    <xdr:to>
      <xdr:col>43</xdr:col>
      <xdr:colOff>646339</xdr:colOff>
      <xdr:row>50</xdr:row>
      <xdr:rowOff>180974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27</xdr:col>
      <xdr:colOff>0</xdr:colOff>
      <xdr:row>51</xdr:row>
      <xdr:rowOff>180972</xdr:rowOff>
    </xdr:from>
    <xdr:to>
      <xdr:col>34</xdr:col>
      <xdr:colOff>646338</xdr:colOff>
      <xdr:row>67</xdr:row>
      <xdr:rowOff>180972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0</xdr:colOff>
      <xdr:row>51</xdr:row>
      <xdr:rowOff>180972</xdr:rowOff>
    </xdr:from>
    <xdr:to>
      <xdr:col>43</xdr:col>
      <xdr:colOff>646339</xdr:colOff>
      <xdr:row>67</xdr:row>
      <xdr:rowOff>180972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27</xdr:col>
      <xdr:colOff>0</xdr:colOff>
      <xdr:row>68</xdr:row>
      <xdr:rowOff>180972</xdr:rowOff>
    </xdr:from>
    <xdr:to>
      <xdr:col>34</xdr:col>
      <xdr:colOff>646338</xdr:colOff>
      <xdr:row>84</xdr:row>
      <xdr:rowOff>180972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0</xdr:colOff>
      <xdr:row>69</xdr:row>
      <xdr:rowOff>0</xdr:rowOff>
    </xdr:from>
    <xdr:to>
      <xdr:col>43</xdr:col>
      <xdr:colOff>646339</xdr:colOff>
      <xdr:row>85</xdr:row>
      <xdr:rowOff>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49</xdr:col>
      <xdr:colOff>1361</xdr:colOff>
      <xdr:row>1</xdr:row>
      <xdr:rowOff>0</xdr:rowOff>
    </xdr:from>
    <xdr:to>
      <xdr:col>57</xdr:col>
      <xdr:colOff>0</xdr:colOff>
      <xdr:row>17</xdr:row>
      <xdr:rowOff>0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58</xdr:col>
      <xdr:colOff>1361</xdr:colOff>
      <xdr:row>1</xdr:row>
      <xdr:rowOff>0</xdr:rowOff>
    </xdr:from>
    <xdr:to>
      <xdr:col>66</xdr:col>
      <xdr:colOff>0</xdr:colOff>
      <xdr:row>17</xdr:row>
      <xdr:rowOff>0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67</xdr:col>
      <xdr:colOff>1361</xdr:colOff>
      <xdr:row>1</xdr:row>
      <xdr:rowOff>0</xdr:rowOff>
    </xdr:from>
    <xdr:to>
      <xdr:col>75</xdr:col>
      <xdr:colOff>0</xdr:colOff>
      <xdr:row>17</xdr:row>
      <xdr:rowOff>0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49</xdr:col>
      <xdr:colOff>1361</xdr:colOff>
      <xdr:row>18</xdr:row>
      <xdr:rowOff>0</xdr:rowOff>
    </xdr:from>
    <xdr:to>
      <xdr:col>57</xdr:col>
      <xdr:colOff>0</xdr:colOff>
      <xdr:row>34</xdr:row>
      <xdr:rowOff>0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58</xdr:col>
      <xdr:colOff>1361</xdr:colOff>
      <xdr:row>18</xdr:row>
      <xdr:rowOff>0</xdr:rowOff>
    </xdr:from>
    <xdr:to>
      <xdr:col>66</xdr:col>
      <xdr:colOff>0</xdr:colOff>
      <xdr:row>34</xdr:row>
      <xdr:rowOff>0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00000000-0008-0000-0700-00005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1361</xdr:colOff>
      <xdr:row>18</xdr:row>
      <xdr:rowOff>0</xdr:rowOff>
    </xdr:from>
    <xdr:to>
      <xdr:col>75</xdr:col>
      <xdr:colOff>0</xdr:colOff>
      <xdr:row>34</xdr:row>
      <xdr:rowOff>0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00000000-0008-0000-0700-00005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49</xdr:col>
      <xdr:colOff>1361</xdr:colOff>
      <xdr:row>34</xdr:row>
      <xdr:rowOff>180974</xdr:rowOff>
    </xdr:from>
    <xdr:to>
      <xdr:col>57</xdr:col>
      <xdr:colOff>0</xdr:colOff>
      <xdr:row>50</xdr:row>
      <xdr:rowOff>180974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00000000-0008-0000-0700-00005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58</xdr:col>
      <xdr:colOff>1361</xdr:colOff>
      <xdr:row>34</xdr:row>
      <xdr:rowOff>180974</xdr:rowOff>
    </xdr:from>
    <xdr:to>
      <xdr:col>66</xdr:col>
      <xdr:colOff>0</xdr:colOff>
      <xdr:row>50</xdr:row>
      <xdr:rowOff>180974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00000000-0008-0000-0700-00005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67</xdr:col>
      <xdr:colOff>1361</xdr:colOff>
      <xdr:row>34</xdr:row>
      <xdr:rowOff>180974</xdr:rowOff>
    </xdr:from>
    <xdr:to>
      <xdr:col>75</xdr:col>
      <xdr:colOff>0</xdr:colOff>
      <xdr:row>50</xdr:row>
      <xdr:rowOff>180974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00000000-0008-0000-0700-00005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49</xdr:col>
      <xdr:colOff>1361</xdr:colOff>
      <xdr:row>51</xdr:row>
      <xdr:rowOff>180972</xdr:rowOff>
    </xdr:from>
    <xdr:to>
      <xdr:col>57</xdr:col>
      <xdr:colOff>0</xdr:colOff>
      <xdr:row>67</xdr:row>
      <xdr:rowOff>180972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0000000-0008-0000-0700-00005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58</xdr:col>
      <xdr:colOff>1361</xdr:colOff>
      <xdr:row>51</xdr:row>
      <xdr:rowOff>180972</xdr:rowOff>
    </xdr:from>
    <xdr:to>
      <xdr:col>66</xdr:col>
      <xdr:colOff>0</xdr:colOff>
      <xdr:row>67</xdr:row>
      <xdr:rowOff>180972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00000000-0008-0000-0700-00005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67</xdr:col>
      <xdr:colOff>1361</xdr:colOff>
      <xdr:row>51</xdr:row>
      <xdr:rowOff>180972</xdr:rowOff>
    </xdr:from>
    <xdr:to>
      <xdr:col>75</xdr:col>
      <xdr:colOff>0</xdr:colOff>
      <xdr:row>67</xdr:row>
      <xdr:rowOff>180972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00000000-0008-0000-07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49</xdr:col>
      <xdr:colOff>1361</xdr:colOff>
      <xdr:row>68</xdr:row>
      <xdr:rowOff>180972</xdr:rowOff>
    </xdr:from>
    <xdr:to>
      <xdr:col>57</xdr:col>
      <xdr:colOff>0</xdr:colOff>
      <xdr:row>84</xdr:row>
      <xdr:rowOff>180972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00000000-0008-0000-07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58</xdr:col>
      <xdr:colOff>1361</xdr:colOff>
      <xdr:row>68</xdr:row>
      <xdr:rowOff>180972</xdr:rowOff>
    </xdr:from>
    <xdr:to>
      <xdr:col>66</xdr:col>
      <xdr:colOff>0</xdr:colOff>
      <xdr:row>84</xdr:row>
      <xdr:rowOff>180972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00000000-0008-0000-07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67</xdr:col>
      <xdr:colOff>1361</xdr:colOff>
      <xdr:row>68</xdr:row>
      <xdr:rowOff>180972</xdr:rowOff>
    </xdr:from>
    <xdr:to>
      <xdr:col>75</xdr:col>
      <xdr:colOff>0</xdr:colOff>
      <xdr:row>84</xdr:row>
      <xdr:rowOff>180972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00000000-0008-0000-07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49</xdr:col>
      <xdr:colOff>1361</xdr:colOff>
      <xdr:row>86</xdr:row>
      <xdr:rowOff>19050</xdr:rowOff>
    </xdr:from>
    <xdr:to>
      <xdr:col>57</xdr:col>
      <xdr:colOff>0</xdr:colOff>
      <xdr:row>102</xdr:row>
      <xdr:rowOff>19050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58</xdr:col>
      <xdr:colOff>1361</xdr:colOff>
      <xdr:row>86</xdr:row>
      <xdr:rowOff>19050</xdr:rowOff>
    </xdr:from>
    <xdr:to>
      <xdr:col>66</xdr:col>
      <xdr:colOff>0</xdr:colOff>
      <xdr:row>102</xdr:row>
      <xdr:rowOff>19050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67</xdr:col>
      <xdr:colOff>1361</xdr:colOff>
      <xdr:row>85</xdr:row>
      <xdr:rowOff>161925</xdr:rowOff>
    </xdr:from>
    <xdr:to>
      <xdr:col>75</xdr:col>
      <xdr:colOff>0</xdr:colOff>
      <xdr:row>101</xdr:row>
      <xdr:rowOff>161925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0.00987</cdr:x>
      <cdr:y>0.01778</cdr:y>
    </cdr:from>
    <cdr:to>
      <cdr:x>0.12497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0.00988</cdr:x>
      <cdr:y>0.01778</cdr:y>
    </cdr:from>
    <cdr:to>
      <cdr:x>0.12509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0.00988</cdr:x>
      <cdr:y>0.01778</cdr:y>
    </cdr:from>
    <cdr:to>
      <cdr:x>0.12509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0.00988</cdr:x>
      <cdr:y>0.01778</cdr:y>
    </cdr:from>
    <cdr:to>
      <cdr:x>0.12509</cdr:x>
      <cdr:y>0.22708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FF8C73FA-2210-4654-9A33-518CE5C9D4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592425" cy="5980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</cdr:x>
      <cdr:y>0.22708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178BCA97-13A2-476D-BB26-7B01C2D1604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799" y="50799"/>
          <a:ext cx="598091" cy="59809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0.34272</cdr:x>
      <cdr:y>0.50167</cdr:y>
    </cdr:from>
    <cdr:to>
      <cdr:x>0.6857</cdr:x>
      <cdr:y>0.79958</cdr:y>
    </cdr:to>
    <cdr:sp macro="" textlink="">
      <cdr:nvSpPr>
        <cdr:cNvPr id="3" name="Rectangle: Rounded Corners 2">
          <a:extLst xmlns:a="http://schemas.openxmlformats.org/drawingml/2006/main">
            <a:ext uri="{FF2B5EF4-FFF2-40B4-BE49-F238E27FC236}">
              <a16:creationId xmlns:a16="http://schemas.microsoft.com/office/drawing/2014/main" id="{CEACB65E-D5BF-48C5-934C-B5A1A22A16FC}"/>
            </a:ext>
          </a:extLst>
        </cdr:cNvPr>
        <cdr:cNvSpPr/>
      </cdr:nvSpPr>
      <cdr:spPr>
        <a:xfrm xmlns:a="http://schemas.openxmlformats.org/drawingml/2006/main">
          <a:off x="1778625" y="1433512"/>
          <a:ext cx="1779983" cy="851298"/>
        </a:xfrm>
        <a:prstGeom xmlns:a="http://schemas.openxmlformats.org/drawingml/2006/main" prst="roundRect">
          <a:avLst/>
        </a:prstGeom>
        <a:ln xmlns:a="http://schemas.openxmlformats.org/drawingml/2006/main" w="38100"/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es-MX" sz="2000"/>
            <a:t>Desempeño</a:t>
          </a:r>
        </a:p>
        <a:p xmlns:a="http://schemas.openxmlformats.org/drawingml/2006/main">
          <a:pPr algn="ctr"/>
          <a:r>
            <a:rPr lang="es-MX" sz="2000"/>
            <a:t>115%</a:t>
          </a: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648890</xdr:colOff>
      <xdr:row>1</xdr:row>
      <xdr:rowOff>0</xdr:rowOff>
    </xdr:from>
    <xdr:to>
      <xdr:col>16</xdr:col>
      <xdr:colOff>648890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26</xdr:col>
      <xdr:colOff>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636985</xdr:colOff>
      <xdr:row>1</xdr:row>
      <xdr:rowOff>2382</xdr:rowOff>
    </xdr:from>
    <xdr:to>
      <xdr:col>34</xdr:col>
      <xdr:colOff>636985</xdr:colOff>
      <xdr:row>17</xdr:row>
      <xdr:rowOff>2382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1190</xdr:colOff>
      <xdr:row>18</xdr:row>
      <xdr:rowOff>0</xdr:rowOff>
    </xdr:from>
    <xdr:to>
      <xdr:col>17</xdr:col>
      <xdr:colOff>1190</xdr:colOff>
      <xdr:row>34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18</xdr:row>
      <xdr:rowOff>0</xdr:rowOff>
    </xdr:from>
    <xdr:to>
      <xdr:col>26</xdr:col>
      <xdr:colOff>0</xdr:colOff>
      <xdr:row>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636985</xdr:colOff>
      <xdr:row>18</xdr:row>
      <xdr:rowOff>2382</xdr:rowOff>
    </xdr:from>
    <xdr:to>
      <xdr:col>34</xdr:col>
      <xdr:colOff>636985</xdr:colOff>
      <xdr:row>34</xdr:row>
      <xdr:rowOff>2382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1190</xdr:colOff>
      <xdr:row>34</xdr:row>
      <xdr:rowOff>180974</xdr:rowOff>
    </xdr:from>
    <xdr:to>
      <xdr:col>17</xdr:col>
      <xdr:colOff>1190</xdr:colOff>
      <xdr:row>50</xdr:row>
      <xdr:rowOff>180974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0</xdr:colOff>
      <xdr:row>34</xdr:row>
      <xdr:rowOff>180974</xdr:rowOff>
    </xdr:from>
    <xdr:to>
      <xdr:col>26</xdr:col>
      <xdr:colOff>0</xdr:colOff>
      <xdr:row>50</xdr:row>
      <xdr:rowOff>180974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636985</xdr:colOff>
      <xdr:row>35</xdr:row>
      <xdr:rowOff>2380</xdr:rowOff>
    </xdr:from>
    <xdr:to>
      <xdr:col>34</xdr:col>
      <xdr:colOff>636985</xdr:colOff>
      <xdr:row>51</xdr:row>
      <xdr:rowOff>2380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1190</xdr:colOff>
      <xdr:row>51</xdr:row>
      <xdr:rowOff>180972</xdr:rowOff>
    </xdr:from>
    <xdr:to>
      <xdr:col>17</xdr:col>
      <xdr:colOff>1190</xdr:colOff>
      <xdr:row>67</xdr:row>
      <xdr:rowOff>180972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0</xdr:colOff>
      <xdr:row>51</xdr:row>
      <xdr:rowOff>180972</xdr:rowOff>
    </xdr:from>
    <xdr:to>
      <xdr:col>26</xdr:col>
      <xdr:colOff>0</xdr:colOff>
      <xdr:row>67</xdr:row>
      <xdr:rowOff>180972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636985</xdr:colOff>
      <xdr:row>52</xdr:row>
      <xdr:rowOff>2380</xdr:rowOff>
    </xdr:from>
    <xdr:to>
      <xdr:col>34</xdr:col>
      <xdr:colOff>636985</xdr:colOff>
      <xdr:row>68</xdr:row>
      <xdr:rowOff>2380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1190</xdr:colOff>
      <xdr:row>68</xdr:row>
      <xdr:rowOff>180972</xdr:rowOff>
    </xdr:from>
    <xdr:to>
      <xdr:col>17</xdr:col>
      <xdr:colOff>1190</xdr:colOff>
      <xdr:row>84</xdr:row>
      <xdr:rowOff>180972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0</xdr:colOff>
      <xdr:row>68</xdr:row>
      <xdr:rowOff>180972</xdr:rowOff>
    </xdr:from>
    <xdr:to>
      <xdr:col>26</xdr:col>
      <xdr:colOff>0</xdr:colOff>
      <xdr:row>84</xdr:row>
      <xdr:rowOff>180972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636985</xdr:colOff>
      <xdr:row>69</xdr:row>
      <xdr:rowOff>2378</xdr:rowOff>
    </xdr:from>
    <xdr:to>
      <xdr:col>34</xdr:col>
      <xdr:colOff>636985</xdr:colOff>
      <xdr:row>85</xdr:row>
      <xdr:rowOff>2378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40</xdr:col>
      <xdr:colOff>0</xdr:colOff>
      <xdr:row>1</xdr:row>
      <xdr:rowOff>0</xdr:rowOff>
    </xdr:from>
    <xdr:to>
      <xdr:col>47</xdr:col>
      <xdr:colOff>645582</xdr:colOff>
      <xdr:row>17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49</xdr:col>
      <xdr:colOff>0</xdr:colOff>
      <xdr:row>1</xdr:row>
      <xdr:rowOff>0</xdr:rowOff>
    </xdr:from>
    <xdr:to>
      <xdr:col>56</xdr:col>
      <xdr:colOff>645582</xdr:colOff>
      <xdr:row>17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58</xdr:col>
      <xdr:colOff>0</xdr:colOff>
      <xdr:row>1</xdr:row>
      <xdr:rowOff>0</xdr:rowOff>
    </xdr:from>
    <xdr:to>
      <xdr:col>65</xdr:col>
      <xdr:colOff>645582</xdr:colOff>
      <xdr:row>17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40</xdr:col>
      <xdr:colOff>5293</xdr:colOff>
      <xdr:row>18</xdr:row>
      <xdr:rowOff>0</xdr:rowOff>
    </xdr:from>
    <xdr:to>
      <xdr:col>48</xdr:col>
      <xdr:colOff>0</xdr:colOff>
      <xdr:row>34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5293</xdr:colOff>
      <xdr:row>18</xdr:row>
      <xdr:rowOff>0</xdr:rowOff>
    </xdr:from>
    <xdr:to>
      <xdr:col>57</xdr:col>
      <xdr:colOff>0</xdr:colOff>
      <xdr:row>34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58</xdr:col>
      <xdr:colOff>5293</xdr:colOff>
      <xdr:row>18</xdr:row>
      <xdr:rowOff>0</xdr:rowOff>
    </xdr:from>
    <xdr:to>
      <xdr:col>66</xdr:col>
      <xdr:colOff>0</xdr:colOff>
      <xdr:row>34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40</xdr:col>
      <xdr:colOff>10586</xdr:colOff>
      <xdr:row>34</xdr:row>
      <xdr:rowOff>182562</xdr:rowOff>
    </xdr:from>
    <xdr:to>
      <xdr:col>48</xdr:col>
      <xdr:colOff>5293</xdr:colOff>
      <xdr:row>50</xdr:row>
      <xdr:rowOff>182562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49</xdr:col>
      <xdr:colOff>10586</xdr:colOff>
      <xdr:row>34</xdr:row>
      <xdr:rowOff>182562</xdr:rowOff>
    </xdr:from>
    <xdr:to>
      <xdr:col>57</xdr:col>
      <xdr:colOff>5293</xdr:colOff>
      <xdr:row>50</xdr:row>
      <xdr:rowOff>182562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58</xdr:col>
      <xdr:colOff>10586</xdr:colOff>
      <xdr:row>34</xdr:row>
      <xdr:rowOff>182562</xdr:rowOff>
    </xdr:from>
    <xdr:to>
      <xdr:col>66</xdr:col>
      <xdr:colOff>5293</xdr:colOff>
      <xdr:row>50</xdr:row>
      <xdr:rowOff>182562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40</xdr:col>
      <xdr:colOff>15879</xdr:colOff>
      <xdr:row>51</xdr:row>
      <xdr:rowOff>182561</xdr:rowOff>
    </xdr:from>
    <xdr:to>
      <xdr:col>48</xdr:col>
      <xdr:colOff>10586</xdr:colOff>
      <xdr:row>67</xdr:row>
      <xdr:rowOff>182561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49</xdr:col>
      <xdr:colOff>15879</xdr:colOff>
      <xdr:row>51</xdr:row>
      <xdr:rowOff>182561</xdr:rowOff>
    </xdr:from>
    <xdr:to>
      <xdr:col>57</xdr:col>
      <xdr:colOff>10586</xdr:colOff>
      <xdr:row>67</xdr:row>
      <xdr:rowOff>182561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58</xdr:col>
      <xdr:colOff>15879</xdr:colOff>
      <xdr:row>51</xdr:row>
      <xdr:rowOff>182561</xdr:rowOff>
    </xdr:from>
    <xdr:to>
      <xdr:col>66</xdr:col>
      <xdr:colOff>10586</xdr:colOff>
      <xdr:row>67</xdr:row>
      <xdr:rowOff>182561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40</xdr:col>
      <xdr:colOff>21172</xdr:colOff>
      <xdr:row>68</xdr:row>
      <xdr:rowOff>182561</xdr:rowOff>
    </xdr:from>
    <xdr:to>
      <xdr:col>48</xdr:col>
      <xdr:colOff>15879</xdr:colOff>
      <xdr:row>84</xdr:row>
      <xdr:rowOff>182561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49</xdr:col>
      <xdr:colOff>21172</xdr:colOff>
      <xdr:row>68</xdr:row>
      <xdr:rowOff>182561</xdr:rowOff>
    </xdr:from>
    <xdr:to>
      <xdr:col>57</xdr:col>
      <xdr:colOff>15879</xdr:colOff>
      <xdr:row>84</xdr:row>
      <xdr:rowOff>182561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58</xdr:col>
      <xdr:colOff>21172</xdr:colOff>
      <xdr:row>68</xdr:row>
      <xdr:rowOff>182561</xdr:rowOff>
    </xdr:from>
    <xdr:to>
      <xdr:col>66</xdr:col>
      <xdr:colOff>15879</xdr:colOff>
      <xdr:row>84</xdr:row>
      <xdr:rowOff>182561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 editAs="oneCell">
    <xdr:from>
      <xdr:col>8</xdr:col>
      <xdr:colOff>639365</xdr:colOff>
      <xdr:row>18</xdr:row>
      <xdr:rowOff>42862</xdr:rowOff>
    </xdr:from>
    <xdr:to>
      <xdr:col>9</xdr:col>
      <xdr:colOff>590699</xdr:colOff>
      <xdr:row>21</xdr:row>
      <xdr:rowOff>96052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0490" y="3257550"/>
          <a:ext cx="600225" cy="5889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639365</xdr:colOff>
      <xdr:row>52</xdr:row>
      <xdr:rowOff>123823</xdr:rowOff>
    </xdr:from>
    <xdr:to>
      <xdr:col>9</xdr:col>
      <xdr:colOff>590699</xdr:colOff>
      <xdr:row>55</xdr:row>
      <xdr:rowOff>177013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0490" y="9410698"/>
          <a:ext cx="600225" cy="5889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40</xdr:col>
      <xdr:colOff>95254</xdr:colOff>
      <xdr:row>53</xdr:row>
      <xdr:rowOff>27780</xdr:rowOff>
    </xdr:from>
    <xdr:to>
      <xdr:col>41</xdr:col>
      <xdr:colOff>46588</xdr:colOff>
      <xdr:row>56</xdr:row>
      <xdr:rowOff>80970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0879" y="9493249"/>
          <a:ext cx="600225" cy="58897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71</xdr:col>
      <xdr:colOff>3308</xdr:colOff>
      <xdr:row>1</xdr:row>
      <xdr:rowOff>0</xdr:rowOff>
    </xdr:from>
    <xdr:to>
      <xdr:col>79</xdr:col>
      <xdr:colOff>0</xdr:colOff>
      <xdr:row>17</xdr:row>
      <xdr:rowOff>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80</xdr:col>
      <xdr:colOff>0</xdr:colOff>
      <xdr:row>1</xdr:row>
      <xdr:rowOff>0</xdr:rowOff>
    </xdr:from>
    <xdr:to>
      <xdr:col>87</xdr:col>
      <xdr:colOff>647567</xdr:colOff>
      <xdr:row>17</xdr:row>
      <xdr:rowOff>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71</xdr:col>
      <xdr:colOff>3308</xdr:colOff>
      <xdr:row>18</xdr:row>
      <xdr:rowOff>0</xdr:rowOff>
    </xdr:from>
    <xdr:to>
      <xdr:col>79</xdr:col>
      <xdr:colOff>0</xdr:colOff>
      <xdr:row>34</xdr:row>
      <xdr:rowOff>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80</xdr:col>
      <xdr:colOff>0</xdr:colOff>
      <xdr:row>18</xdr:row>
      <xdr:rowOff>0</xdr:rowOff>
    </xdr:from>
    <xdr:to>
      <xdr:col>87</xdr:col>
      <xdr:colOff>647567</xdr:colOff>
      <xdr:row>34</xdr:row>
      <xdr:rowOff>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71</xdr:col>
      <xdr:colOff>3308</xdr:colOff>
      <xdr:row>34</xdr:row>
      <xdr:rowOff>182562</xdr:rowOff>
    </xdr:from>
    <xdr:to>
      <xdr:col>79</xdr:col>
      <xdr:colOff>0</xdr:colOff>
      <xdr:row>50</xdr:row>
      <xdr:rowOff>182562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80</xdr:col>
      <xdr:colOff>0</xdr:colOff>
      <xdr:row>34</xdr:row>
      <xdr:rowOff>182562</xdr:rowOff>
    </xdr:from>
    <xdr:to>
      <xdr:col>87</xdr:col>
      <xdr:colOff>647567</xdr:colOff>
      <xdr:row>50</xdr:row>
      <xdr:rowOff>182562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71</xdr:col>
      <xdr:colOff>3308</xdr:colOff>
      <xdr:row>51</xdr:row>
      <xdr:rowOff>182561</xdr:rowOff>
    </xdr:from>
    <xdr:to>
      <xdr:col>79</xdr:col>
      <xdr:colOff>0</xdr:colOff>
      <xdr:row>67</xdr:row>
      <xdr:rowOff>182561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80</xdr:col>
      <xdr:colOff>0</xdr:colOff>
      <xdr:row>51</xdr:row>
      <xdr:rowOff>182561</xdr:rowOff>
    </xdr:from>
    <xdr:to>
      <xdr:col>87</xdr:col>
      <xdr:colOff>647567</xdr:colOff>
      <xdr:row>67</xdr:row>
      <xdr:rowOff>182561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0.00976</cdr:x>
      <cdr:y>0.01739</cdr:y>
    </cdr:from>
    <cdr:to>
      <cdr:x>0.12538</cdr:x>
      <cdr:y>0.22351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9F2AA968-3C6A-438C-9BB2-9C9B7DCEB1D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2060" cy="60206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0.12541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0.0098</cdr:x>
      <cdr:y>0.01778</cdr:y>
    </cdr:from>
    <cdr:to>
      <cdr:x>0.12554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0.00979</cdr:x>
      <cdr:y>0.01778</cdr:y>
    </cdr:from>
    <cdr:to>
      <cdr:x>0.12549</cdr:x>
      <cdr:y>0.22389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4EAD3BF1-9512-4D47-A6CA-5717462186A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" y="50800"/>
          <a:ext cx="600225" cy="58897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18</xdr:col>
      <xdr:colOff>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02FEF-D8D3-4FD5-BBCC-026E7C076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18</xdr:row>
      <xdr:rowOff>0</xdr:rowOff>
    </xdr:from>
    <xdr:to>
      <xdr:col>18</xdr:col>
      <xdr:colOff>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0E516E-E557-459D-8264-5E104FD5E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34</xdr:row>
      <xdr:rowOff>180974</xdr:rowOff>
    </xdr:from>
    <xdr:to>
      <xdr:col>18</xdr:col>
      <xdr:colOff>0</xdr:colOff>
      <xdr:row>50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E0EB4F-A33F-41A9-A997-D68854344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51</xdr:row>
      <xdr:rowOff>180972</xdr:rowOff>
    </xdr:from>
    <xdr:to>
      <xdr:col>18</xdr:col>
      <xdr:colOff>0</xdr:colOff>
      <xdr:row>67</xdr:row>
      <xdr:rowOff>180972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937B35-B93C-431B-95E0-78969C58D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607220</xdr:colOff>
      <xdr:row>68</xdr:row>
      <xdr:rowOff>107150</xdr:rowOff>
    </xdr:from>
    <xdr:to>
      <xdr:col>17</xdr:col>
      <xdr:colOff>607220</xdr:colOff>
      <xdr:row>84</xdr:row>
      <xdr:rowOff>107150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F9BF87-2FAB-49C7-A732-8BA2C95C1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</xdr:row>
      <xdr:rowOff>0</xdr:rowOff>
    </xdr:from>
    <xdr:to>
      <xdr:col>27</xdr:col>
      <xdr:colOff>0</xdr:colOff>
      <xdr:row>17</xdr:row>
      <xdr:rowOff>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3FB7500-2950-4C2B-B2F7-22EFBE96A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18</xdr:row>
      <xdr:rowOff>0</xdr:rowOff>
    </xdr:from>
    <xdr:to>
      <xdr:col>27</xdr:col>
      <xdr:colOff>0</xdr:colOff>
      <xdr:row>34</xdr:row>
      <xdr:rowOff>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DA48A86-50A8-47EF-8262-24C3ABE69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35</xdr:row>
      <xdr:rowOff>2382</xdr:rowOff>
    </xdr:from>
    <xdr:to>
      <xdr:col>27</xdr:col>
      <xdr:colOff>0</xdr:colOff>
      <xdr:row>51</xdr:row>
      <xdr:rowOff>2382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8C5E6770-335B-43C8-9BE9-B4D27EBC5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0</xdr:colOff>
      <xdr:row>52</xdr:row>
      <xdr:rowOff>2377</xdr:rowOff>
    </xdr:from>
    <xdr:to>
      <xdr:col>27</xdr:col>
      <xdr:colOff>0</xdr:colOff>
      <xdr:row>68</xdr:row>
      <xdr:rowOff>2377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96BB526C-90F4-4961-AE70-37C5C2296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27</xdr:col>
      <xdr:colOff>0</xdr:colOff>
      <xdr:row>85</xdr:row>
      <xdr:rowOff>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4E90A8FD-37B5-461C-8812-1AA7A091C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-1</xdr:colOff>
      <xdr:row>1</xdr:row>
      <xdr:rowOff>0</xdr:rowOff>
    </xdr:from>
    <xdr:to>
      <xdr:col>36</xdr:col>
      <xdr:colOff>-1</xdr:colOff>
      <xdr:row>17</xdr:row>
      <xdr:rowOff>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4FB9EE09-2345-415D-8011-500EFD14E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-1</xdr:colOff>
      <xdr:row>18</xdr:row>
      <xdr:rowOff>0</xdr:rowOff>
    </xdr:from>
    <xdr:to>
      <xdr:col>36</xdr:col>
      <xdr:colOff>-1</xdr:colOff>
      <xdr:row>34</xdr:row>
      <xdr:rowOff>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D21872C-A1E4-46C2-8A32-BA6EFED31B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28</xdr:col>
      <xdr:colOff>-1</xdr:colOff>
      <xdr:row>35</xdr:row>
      <xdr:rowOff>2382</xdr:rowOff>
    </xdr:from>
    <xdr:to>
      <xdr:col>36</xdr:col>
      <xdr:colOff>-1</xdr:colOff>
      <xdr:row>51</xdr:row>
      <xdr:rowOff>2382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96611226-42CD-4816-9C92-78FD2EE1A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-1</xdr:colOff>
      <xdr:row>52</xdr:row>
      <xdr:rowOff>2377</xdr:rowOff>
    </xdr:from>
    <xdr:to>
      <xdr:col>36</xdr:col>
      <xdr:colOff>-1</xdr:colOff>
      <xdr:row>68</xdr:row>
      <xdr:rowOff>2377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46C5EB20-BE9F-4B2A-986D-F3B3CE747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0</xdr:colOff>
      <xdr:row>69</xdr:row>
      <xdr:rowOff>0</xdr:rowOff>
    </xdr:from>
    <xdr:to>
      <xdr:col>36</xdr:col>
      <xdr:colOff>0</xdr:colOff>
      <xdr:row>85</xdr:row>
      <xdr:rowOff>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F2E58AFF-5270-47AD-B847-3FD7079E0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37</xdr:col>
      <xdr:colOff>-1</xdr:colOff>
      <xdr:row>1</xdr:row>
      <xdr:rowOff>0</xdr:rowOff>
    </xdr:from>
    <xdr:to>
      <xdr:col>45</xdr:col>
      <xdr:colOff>-1</xdr:colOff>
      <xdr:row>17</xdr:row>
      <xdr:rowOff>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41AB007A-789C-4EDD-BCBC-55F729A57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-1</xdr:colOff>
      <xdr:row>18</xdr:row>
      <xdr:rowOff>0</xdr:rowOff>
    </xdr:from>
    <xdr:to>
      <xdr:col>45</xdr:col>
      <xdr:colOff>-1</xdr:colOff>
      <xdr:row>34</xdr:row>
      <xdr:rowOff>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783FB2F0-ADE4-4CE5-A850-0E900C8DB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37</xdr:col>
      <xdr:colOff>-1</xdr:colOff>
      <xdr:row>35</xdr:row>
      <xdr:rowOff>2382</xdr:rowOff>
    </xdr:from>
    <xdr:to>
      <xdr:col>45</xdr:col>
      <xdr:colOff>-1</xdr:colOff>
      <xdr:row>51</xdr:row>
      <xdr:rowOff>2382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7127DDE3-6A8A-4112-88E0-DA8BDB9B3F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-1</xdr:colOff>
      <xdr:row>52</xdr:row>
      <xdr:rowOff>2377</xdr:rowOff>
    </xdr:from>
    <xdr:to>
      <xdr:col>45</xdr:col>
      <xdr:colOff>-1</xdr:colOff>
      <xdr:row>68</xdr:row>
      <xdr:rowOff>2377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E76B2F98-C0E2-4C36-BA95-FE6BC4480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37</xdr:col>
      <xdr:colOff>0</xdr:colOff>
      <xdr:row>69</xdr:row>
      <xdr:rowOff>0</xdr:rowOff>
    </xdr:from>
    <xdr:to>
      <xdr:col>45</xdr:col>
      <xdr:colOff>0</xdr:colOff>
      <xdr:row>85</xdr:row>
      <xdr:rowOff>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1F73E9B0-18EF-40DA-9C78-6D2B5E304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45</xdr:col>
      <xdr:colOff>642936</xdr:colOff>
      <xdr:row>1</xdr:row>
      <xdr:rowOff>0</xdr:rowOff>
    </xdr:from>
    <xdr:to>
      <xdr:col>53</xdr:col>
      <xdr:colOff>642936</xdr:colOff>
      <xdr:row>17</xdr:row>
      <xdr:rowOff>0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8125DAA-27A7-43B4-8E9B-FD8F76D64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45</xdr:col>
      <xdr:colOff>642936</xdr:colOff>
      <xdr:row>18</xdr:row>
      <xdr:rowOff>0</xdr:rowOff>
    </xdr:from>
    <xdr:to>
      <xdr:col>53</xdr:col>
      <xdr:colOff>642936</xdr:colOff>
      <xdr:row>34</xdr:row>
      <xdr:rowOff>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A0A2DEBF-2ADE-4928-B790-DC8C79AFA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45</xdr:col>
      <xdr:colOff>642936</xdr:colOff>
      <xdr:row>35</xdr:row>
      <xdr:rowOff>2382</xdr:rowOff>
    </xdr:from>
    <xdr:to>
      <xdr:col>53</xdr:col>
      <xdr:colOff>642936</xdr:colOff>
      <xdr:row>51</xdr:row>
      <xdr:rowOff>2382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F539480B-40B4-4757-B8C9-ECF842847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46</xdr:col>
      <xdr:colOff>0</xdr:colOff>
      <xdr:row>52</xdr:row>
      <xdr:rowOff>0</xdr:rowOff>
    </xdr:from>
    <xdr:to>
      <xdr:col>54</xdr:col>
      <xdr:colOff>0</xdr:colOff>
      <xdr:row>68</xdr:row>
      <xdr:rowOff>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142FCA06-B662-47D9-97E6-2C1315338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46</xdr:col>
      <xdr:colOff>0</xdr:colOff>
      <xdr:row>69</xdr:row>
      <xdr:rowOff>0</xdr:rowOff>
    </xdr:from>
    <xdr:to>
      <xdr:col>54</xdr:col>
      <xdr:colOff>0</xdr:colOff>
      <xdr:row>85</xdr:row>
      <xdr:rowOff>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80E8CFC6-16E3-4FBC-B28A-9BE3E8A7B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54</xdr:col>
      <xdr:colOff>642935</xdr:colOff>
      <xdr:row>1</xdr:row>
      <xdr:rowOff>0</xdr:rowOff>
    </xdr:from>
    <xdr:to>
      <xdr:col>62</xdr:col>
      <xdr:colOff>642935</xdr:colOff>
      <xdr:row>17</xdr:row>
      <xdr:rowOff>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D8FA8D0F-2F7E-4AC8-B9AE-0B5178214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54</xdr:col>
      <xdr:colOff>642935</xdr:colOff>
      <xdr:row>18</xdr:row>
      <xdr:rowOff>0</xdr:rowOff>
    </xdr:from>
    <xdr:to>
      <xdr:col>62</xdr:col>
      <xdr:colOff>642935</xdr:colOff>
      <xdr:row>34</xdr:row>
      <xdr:rowOff>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54B9C89F-CCC2-42C5-9D9C-C2F408E342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54</xdr:col>
      <xdr:colOff>642935</xdr:colOff>
      <xdr:row>35</xdr:row>
      <xdr:rowOff>2382</xdr:rowOff>
    </xdr:from>
    <xdr:to>
      <xdr:col>62</xdr:col>
      <xdr:colOff>642935</xdr:colOff>
      <xdr:row>51</xdr:row>
      <xdr:rowOff>2382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49BF6466-6906-4B89-96AD-0CD875EAF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55</xdr:col>
      <xdr:colOff>0</xdr:colOff>
      <xdr:row>52</xdr:row>
      <xdr:rowOff>0</xdr:rowOff>
    </xdr:from>
    <xdr:to>
      <xdr:col>63</xdr:col>
      <xdr:colOff>0</xdr:colOff>
      <xdr:row>68</xdr:row>
      <xdr:rowOff>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E45FBA5F-6B0B-40CB-BFA5-569D58E09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55</xdr:col>
      <xdr:colOff>0</xdr:colOff>
      <xdr:row>69</xdr:row>
      <xdr:rowOff>0</xdr:rowOff>
    </xdr:from>
    <xdr:to>
      <xdr:col>63</xdr:col>
      <xdr:colOff>0</xdr:colOff>
      <xdr:row>85</xdr:row>
      <xdr:rowOff>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939517B6-3CF6-4DB2-853D-D2A432319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63</xdr:col>
      <xdr:colOff>642935</xdr:colOff>
      <xdr:row>1</xdr:row>
      <xdr:rowOff>0</xdr:rowOff>
    </xdr:from>
    <xdr:to>
      <xdr:col>71</xdr:col>
      <xdr:colOff>642935</xdr:colOff>
      <xdr:row>17</xdr:row>
      <xdr:rowOff>0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51386628-2C8B-4791-884A-916987C5E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63</xdr:col>
      <xdr:colOff>642935</xdr:colOff>
      <xdr:row>18</xdr:row>
      <xdr:rowOff>0</xdr:rowOff>
    </xdr:from>
    <xdr:to>
      <xdr:col>71</xdr:col>
      <xdr:colOff>642935</xdr:colOff>
      <xdr:row>34</xdr:row>
      <xdr:rowOff>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3A84BFBD-F0FE-4DAC-80EE-1AE6586C3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64</xdr:col>
      <xdr:colOff>0</xdr:colOff>
      <xdr:row>35</xdr:row>
      <xdr:rowOff>0</xdr:rowOff>
    </xdr:from>
    <xdr:to>
      <xdr:col>72</xdr:col>
      <xdr:colOff>0</xdr:colOff>
      <xdr:row>51</xdr:row>
      <xdr:rowOff>0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007A14B8-8254-4F43-8292-9A53C1E45B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64</xdr:col>
      <xdr:colOff>0</xdr:colOff>
      <xdr:row>52</xdr:row>
      <xdr:rowOff>0</xdr:rowOff>
    </xdr:from>
    <xdr:to>
      <xdr:col>72</xdr:col>
      <xdr:colOff>0</xdr:colOff>
      <xdr:row>68</xdr:row>
      <xdr:rowOff>0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82C352E-71E5-4B19-9237-C3EF0E237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64</xdr:col>
      <xdr:colOff>0</xdr:colOff>
      <xdr:row>69</xdr:row>
      <xdr:rowOff>0</xdr:rowOff>
    </xdr:from>
    <xdr:to>
      <xdr:col>72</xdr:col>
      <xdr:colOff>0</xdr:colOff>
      <xdr:row>85</xdr:row>
      <xdr:rowOff>0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B79A0998-F824-4924-94C4-830B5EC96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72</xdr:col>
      <xdr:colOff>642934</xdr:colOff>
      <xdr:row>1</xdr:row>
      <xdr:rowOff>0</xdr:rowOff>
    </xdr:from>
    <xdr:to>
      <xdr:col>80</xdr:col>
      <xdr:colOff>642934</xdr:colOff>
      <xdr:row>17</xdr:row>
      <xdr:rowOff>0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1D85B99A-2605-463C-A17B-14DEEF55C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72</xdr:col>
      <xdr:colOff>642934</xdr:colOff>
      <xdr:row>18</xdr:row>
      <xdr:rowOff>0</xdr:rowOff>
    </xdr:from>
    <xdr:to>
      <xdr:col>80</xdr:col>
      <xdr:colOff>642934</xdr:colOff>
      <xdr:row>34</xdr:row>
      <xdr:rowOff>0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13A1F200-DAE2-4D37-B337-EAF64F27F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73</xdr:col>
      <xdr:colOff>0</xdr:colOff>
      <xdr:row>35</xdr:row>
      <xdr:rowOff>0</xdr:rowOff>
    </xdr:from>
    <xdr:to>
      <xdr:col>81</xdr:col>
      <xdr:colOff>0</xdr:colOff>
      <xdr:row>51</xdr:row>
      <xdr:rowOff>0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1B2178E1-5E65-41AE-A4B6-A8FDBB651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</xdr:wsDr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4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7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0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3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6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39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2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5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8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51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drawings/drawing154.xml><?xml version="1.0" encoding="utf-8"?>
<c:userShapes xmlns:c="http://schemas.openxmlformats.org/drawingml/2006/chart">
  <cdr:relSizeAnchor xmlns:cdr="http://schemas.openxmlformats.org/drawingml/2006/chartDrawing">
    <cdr:from>
      <cdr:x>0.28493</cdr:x>
      <cdr:y>0.31086</cdr:y>
    </cdr:from>
    <cdr:to>
      <cdr:x>0.28676</cdr:x>
      <cdr:y>0.85055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F1C18396-40B2-469C-A5A8-4E668B0E681F}"/>
            </a:ext>
          </a:extLst>
        </cdr:cNvPr>
        <cdr:cNvCxnSpPr/>
      </cdr:nvCxnSpPr>
      <cdr:spPr>
        <a:xfrm xmlns:a="http://schemas.openxmlformats.org/drawingml/2006/main">
          <a:off x="1476375" y="900113"/>
          <a:ext cx="9523" cy="1562737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0.51532</cdr:x>
      <cdr:y>0.30757</cdr:y>
    </cdr:from>
    <cdr:to>
      <cdr:x>0.51654</cdr:x>
      <cdr:y>0.85187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:a16="http://schemas.microsoft.com/office/drawing/2014/main" id="{564995A4-181F-4242-922B-D3D6DC20256F}"/>
            </a:ext>
          </a:extLst>
        </cdr:cNvPr>
        <cdr:cNvCxnSpPr/>
      </cdr:nvCxnSpPr>
      <cdr:spPr>
        <a:xfrm xmlns:a="http://schemas.openxmlformats.org/drawingml/2006/main" flipH="1">
          <a:off x="2670175" y="890588"/>
          <a:ext cx="6350" cy="1576073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0.74418</cdr:x>
      <cdr:y>0.30921</cdr:y>
    </cdr:from>
    <cdr:to>
      <cdr:x>0.74449</cdr:x>
      <cdr:y>0.84746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:a16="http://schemas.microsoft.com/office/drawing/2014/main" id="{F30CD869-2E50-4412-AD27-A2ACACCD94A4}"/>
            </a:ext>
          </a:extLst>
        </cdr:cNvPr>
        <cdr:cNvCxnSpPr/>
      </cdr:nvCxnSpPr>
      <cdr:spPr>
        <a:xfrm xmlns:a="http://schemas.openxmlformats.org/drawingml/2006/main" flipH="1">
          <a:off x="3856038" y="895350"/>
          <a:ext cx="1587" cy="1558559"/>
        </a:xfrm>
        <a:prstGeom xmlns:a="http://schemas.openxmlformats.org/drawingml/2006/main" prst="line">
          <a:avLst/>
        </a:prstGeom>
        <a:ln xmlns:a="http://schemas.openxmlformats.org/drawingml/2006/main" w="6350">
          <a:solidFill>
            <a:schemeClr val="bg2">
              <a:lumMod val="7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0.13879</cdr:x>
      <cdr:y>0.18914</cdr:y>
    </cdr:from>
    <cdr:to>
      <cdr:x>0.20956</cdr:x>
      <cdr:y>0.31579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2683DBF5-7A78-4117-9D42-086B542B4E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19138" y="547687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0.36857</cdr:x>
      <cdr:y>0.18257</cdr:y>
    </cdr:from>
    <cdr:to>
      <cdr:x>0.43934</cdr:x>
      <cdr:y>0.30921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0C60F6F-CE79-4636-8C63-BE0F1F14876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09763" y="528638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0.59467</cdr:x>
      <cdr:y>0.18421</cdr:y>
    </cdr:from>
    <cdr:to>
      <cdr:x>0.66544</cdr:x>
      <cdr:y>0.31086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A09535F1-68A1-4183-80AE-9AF1607D889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081337" y="533401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0.82353</cdr:x>
      <cdr:y>0.18092</cdr:y>
    </cdr:from>
    <cdr:to>
      <cdr:x>0.8943</cdr:x>
      <cdr:y>0.30757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DB14411-8B2B-4507-96FB-8ED0984E6B8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67199" y="523875"/>
          <a:ext cx="366713" cy="3667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0.09586</cdr:x>
      <cdr:y>0.55435</cdr:y>
    </cdr:from>
    <cdr:to>
      <cdr:x>0.24847</cdr:x>
      <cdr:y>0.69837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8DDE2126-AD17-4204-9145-32FD2D06C27C}"/>
            </a:ext>
          </a:extLst>
        </cdr:cNvPr>
        <cdr:cNvSpPr/>
      </cdr:nvSpPr>
      <cdr:spPr>
        <a:xfrm xmlns:a="http://schemas.openxmlformats.org/drawingml/2006/main">
          <a:off x="496095" y="1619250"/>
          <a:ext cx="789780" cy="420688"/>
        </a:xfrm>
        <a:prstGeom xmlns:a="http://schemas.openxmlformats.org/drawingml/2006/main" prst="round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r>
            <a:rPr lang="es-MX" sz="1800">
              <a:solidFill>
                <a:sysClr val="windowText" lastClr="000000"/>
              </a:solidFill>
            </a:rPr>
            <a:t> 115%</a:t>
          </a:r>
        </a:p>
      </cdr:txBody>
    </cdr:sp>
  </cdr:relSizeAnchor>
  <cdr:relSizeAnchor xmlns:cdr="http://schemas.openxmlformats.org/drawingml/2006/chartDrawing">
    <cdr:from>
      <cdr:x>0.32423</cdr:x>
      <cdr:y>0.55543</cdr:y>
    </cdr:from>
    <cdr:to>
      <cdr:x>0.47684</cdr:x>
      <cdr:y>0.69946</cdr:y>
    </cdr:to>
    <cdr:sp macro="" textlink="">
      <cdr:nvSpPr>
        <cdr:cNvPr id="10" name="Rectangle: Rounded Corners 9">
          <a:extLst xmlns:a="http://schemas.openxmlformats.org/drawingml/2006/main">
            <a:ext uri="{FF2B5EF4-FFF2-40B4-BE49-F238E27FC236}">
              <a16:creationId xmlns:a16="http://schemas.microsoft.com/office/drawing/2014/main" id="{F054B336-4829-4509-8273-0048FB91C88B}"/>
            </a:ext>
          </a:extLst>
        </cdr:cNvPr>
        <cdr:cNvSpPr/>
      </cdr:nvSpPr>
      <cdr:spPr>
        <a:xfrm xmlns:a="http://schemas.openxmlformats.org/drawingml/2006/main">
          <a:off x="1677987" y="1622425"/>
          <a:ext cx="789780" cy="420688"/>
        </a:xfrm>
        <a:prstGeom xmlns:a="http://schemas.openxmlformats.org/drawingml/2006/main" prst="round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1800">
              <a:solidFill>
                <a:sysClr val="windowText" lastClr="000000"/>
              </a:solidFill>
            </a:rPr>
            <a:t> 107%</a:t>
          </a:r>
        </a:p>
      </cdr:txBody>
    </cdr:sp>
  </cdr:relSizeAnchor>
  <cdr:relSizeAnchor xmlns:cdr="http://schemas.openxmlformats.org/drawingml/2006/chartDrawing">
    <cdr:from>
      <cdr:x>0.55353</cdr:x>
      <cdr:y>0.55272</cdr:y>
    </cdr:from>
    <cdr:to>
      <cdr:x>0.70613</cdr:x>
      <cdr:y>0.69674</cdr:y>
    </cdr:to>
    <cdr:sp macro="" textlink="">
      <cdr:nvSpPr>
        <cdr:cNvPr id="11" name="Rectangle: Rounded Corners 10">
          <a:extLst xmlns:a="http://schemas.openxmlformats.org/drawingml/2006/main">
            <a:ext uri="{FF2B5EF4-FFF2-40B4-BE49-F238E27FC236}">
              <a16:creationId xmlns:a16="http://schemas.microsoft.com/office/drawing/2014/main" id="{F054B336-4829-4509-8273-0048FB91C88B}"/>
            </a:ext>
          </a:extLst>
        </cdr:cNvPr>
        <cdr:cNvSpPr/>
      </cdr:nvSpPr>
      <cdr:spPr>
        <a:xfrm xmlns:a="http://schemas.openxmlformats.org/drawingml/2006/main">
          <a:off x="2864644" y="1614488"/>
          <a:ext cx="789780" cy="420688"/>
        </a:xfrm>
        <a:prstGeom xmlns:a="http://schemas.openxmlformats.org/drawingml/2006/main" prst="round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1800">
              <a:solidFill>
                <a:sysClr val="windowText" lastClr="000000"/>
              </a:solidFill>
            </a:rPr>
            <a:t> 94%</a:t>
          </a:r>
        </a:p>
      </cdr:txBody>
    </cdr:sp>
  </cdr:relSizeAnchor>
  <cdr:relSizeAnchor xmlns:cdr="http://schemas.openxmlformats.org/drawingml/2006/chartDrawing">
    <cdr:from>
      <cdr:x>0.78206</cdr:x>
      <cdr:y>0.55272</cdr:y>
    </cdr:from>
    <cdr:to>
      <cdr:x>0.93466</cdr:x>
      <cdr:y>0.69674</cdr:y>
    </cdr:to>
    <cdr:sp macro="" textlink="">
      <cdr:nvSpPr>
        <cdr:cNvPr id="12" name="Rectangle: Rounded Corners 11">
          <a:extLst xmlns:a="http://schemas.openxmlformats.org/drawingml/2006/main">
            <a:ext uri="{FF2B5EF4-FFF2-40B4-BE49-F238E27FC236}">
              <a16:creationId xmlns:a16="http://schemas.microsoft.com/office/drawing/2014/main" id="{F054B336-4829-4509-8273-0048FB91C88B}"/>
            </a:ext>
          </a:extLst>
        </cdr:cNvPr>
        <cdr:cNvSpPr/>
      </cdr:nvSpPr>
      <cdr:spPr>
        <a:xfrm xmlns:a="http://schemas.openxmlformats.org/drawingml/2006/main">
          <a:off x="4047331" y="1614488"/>
          <a:ext cx="789780" cy="420688"/>
        </a:xfrm>
        <a:prstGeom xmlns:a="http://schemas.openxmlformats.org/drawingml/2006/main" prst="roundRect">
          <a:avLst/>
        </a:prstGeom>
        <a:ln xmlns:a="http://schemas.openxmlformats.org/drawingml/2006/main"/>
      </cdr:spPr>
      <cdr:style>
        <a:lnRef xmlns:a="http://schemas.openxmlformats.org/drawingml/2006/main" idx="2">
          <a:schemeClr val="dk1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s-MX" sz="1800">
              <a:solidFill>
                <a:sysClr val="windowText" lastClr="000000"/>
              </a:solidFill>
            </a:rPr>
            <a:t> 114%</a:t>
          </a:r>
        </a:p>
      </cdr:txBody>
    </cdr:sp>
  </cdr:relSizeAnchor>
</c:userShapes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4761</xdr:rowOff>
    </xdr:from>
    <xdr:to>
      <xdr:col>17</xdr:col>
      <xdr:colOff>9524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09CAD8-A05B-4E60-8E5A-4735B51F2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19049</xdr:colOff>
      <xdr:row>23</xdr:row>
      <xdr:rowOff>90487</xdr:rowOff>
    </xdr:from>
    <xdr:to>
      <xdr:col>17</xdr:col>
      <xdr:colOff>19049</xdr:colOff>
      <xdr:row>45</xdr:row>
      <xdr:rowOff>90488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572633-1835-457D-83C7-E6E2EE155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0.75709</cdr:x>
      <cdr:y>0.48636</cdr:y>
    </cdr:from>
    <cdr:to>
      <cdr:x>0.80348</cdr:x>
      <cdr:y>0.56938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EEBC2F50-015D-4BA0-A1C7-6CB821866A1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394006" y="1936434"/>
          <a:ext cx="330518" cy="33051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0.44184</cdr:x>
      <cdr:y>0.41029</cdr:y>
    </cdr:from>
    <cdr:to>
      <cdr:x>0.48734</cdr:x>
      <cdr:y>0.49171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589CE108-CC83-463A-B483-C06C413FEF1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148012" y="1633536"/>
          <a:ext cx="324168" cy="3241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0.07687</cdr:x>
      <cdr:y>0.23804</cdr:y>
    </cdr:from>
    <cdr:to>
      <cdr:x>0.12772</cdr:x>
      <cdr:y>0.32903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91C666EF-1613-4156-A236-AE20D08C074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47688" y="947738"/>
          <a:ext cx="362267" cy="36226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0.1689</cdr:x>
      <cdr:y>0.25439</cdr:y>
    </cdr:from>
    <cdr:to>
      <cdr:x>0.21524</cdr:x>
      <cdr:y>0.33732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43860BCC-F66F-44D3-9691-022A3CACB9E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203328" y="1012827"/>
          <a:ext cx="330202" cy="33020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0.30325</cdr:x>
      <cdr:y>0.36802</cdr:y>
    </cdr:from>
    <cdr:to>
      <cdr:x>0.35361</cdr:x>
      <cdr:y>0.45813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06DE0D8F-2A67-4D76-834E-531E0593D06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160588" y="1465263"/>
          <a:ext cx="358776" cy="3587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0.57264</cdr:x>
      <cdr:y>0.44577</cdr:y>
    </cdr:from>
    <cdr:to>
      <cdr:x>0.62634</cdr:x>
      <cdr:y>0.54187</cdr:y>
    </cdr:to>
    <cdr:pic>
      <cdr:nvPicPr>
        <cdr:cNvPr id="7" name="Picture 6">
          <a:extLst xmlns:a="http://schemas.openxmlformats.org/drawingml/2006/main">
            <a:ext uri="{FF2B5EF4-FFF2-40B4-BE49-F238E27FC236}">
              <a16:creationId xmlns:a16="http://schemas.microsoft.com/office/drawing/2014/main" id="{8F7F3094-887E-4919-AEC8-BBF0F4C01F4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079875" y="1774824"/>
          <a:ext cx="382587" cy="3825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0.39082</cdr:x>
      <cdr:y>0.39553</cdr:y>
    </cdr:from>
    <cdr:to>
      <cdr:x>0.44786</cdr:x>
      <cdr:y>0.49761</cdr:y>
    </cdr:to>
    <cdr:pic>
      <cdr:nvPicPr>
        <cdr:cNvPr id="8" name="Picture 7">
          <a:extLst xmlns:a="http://schemas.openxmlformats.org/drawingml/2006/main">
            <a:ext uri="{FF2B5EF4-FFF2-40B4-BE49-F238E27FC236}">
              <a16:creationId xmlns:a16="http://schemas.microsoft.com/office/drawing/2014/main" id="{172DF4B4-4314-4FC8-ACDC-095EDB2EE27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784476" y="1574800"/>
          <a:ext cx="406401" cy="4064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0.92959</cdr:x>
      <cdr:y>0.44219</cdr:y>
    </cdr:from>
    <cdr:to>
      <cdr:x>0.98596</cdr:x>
      <cdr:y>0.54306</cdr:y>
    </cdr:to>
    <cdr:pic>
      <cdr:nvPicPr>
        <cdr:cNvPr id="9" name="Picture 8">
          <a:extLst xmlns:a="http://schemas.openxmlformats.org/drawingml/2006/main">
            <a:ext uri="{FF2B5EF4-FFF2-40B4-BE49-F238E27FC236}">
              <a16:creationId xmlns:a16="http://schemas.microsoft.com/office/drawing/2014/main" id="{DC7FD37B-D62C-4A64-980F-5B56765F5B7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623051" y="1760539"/>
          <a:ext cx="401638" cy="4016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0.79857</cdr:x>
      <cdr:y>0.49242</cdr:y>
    </cdr:from>
    <cdr:to>
      <cdr:x>0.84693</cdr:x>
      <cdr:y>0.57895</cdr:y>
    </cdr:to>
    <cdr:pic>
      <cdr:nvPicPr>
        <cdr:cNvPr id="10" name="Picture 9">
          <a:extLst xmlns:a="http://schemas.openxmlformats.org/drawingml/2006/main">
            <a:ext uri="{FF2B5EF4-FFF2-40B4-BE49-F238E27FC236}">
              <a16:creationId xmlns:a16="http://schemas.microsoft.com/office/drawing/2014/main" id="{8D92FDBC-BC27-40B9-9AF8-59412627BE3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689601" y="1960565"/>
          <a:ext cx="344488" cy="3444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0.71301</cdr:x>
      <cdr:y>0.42783</cdr:y>
    </cdr:from>
    <cdr:to>
      <cdr:x>0.75869</cdr:x>
      <cdr:y>0.50957</cdr:y>
    </cdr:to>
    <cdr:pic>
      <cdr:nvPicPr>
        <cdr:cNvPr id="11" name="Picture 10">
          <a:extLst xmlns:a="http://schemas.openxmlformats.org/drawingml/2006/main">
            <a:ext uri="{FF2B5EF4-FFF2-40B4-BE49-F238E27FC236}">
              <a16:creationId xmlns:a16="http://schemas.microsoft.com/office/drawing/2014/main" id="{5635A6CF-8398-4FA7-B780-8B5C44FCB844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080001" y="1703387"/>
          <a:ext cx="325438" cy="3254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0.48039</cdr:x>
      <cdr:y>0.41826</cdr:y>
    </cdr:from>
    <cdr:to>
      <cdr:x>0.54144</cdr:x>
      <cdr:y>0.52751</cdr:y>
    </cdr:to>
    <cdr:pic>
      <cdr:nvPicPr>
        <cdr:cNvPr id="12" name="Picture 11">
          <a:extLst xmlns:a="http://schemas.openxmlformats.org/drawingml/2006/main">
            <a:ext uri="{FF2B5EF4-FFF2-40B4-BE49-F238E27FC236}">
              <a16:creationId xmlns:a16="http://schemas.microsoft.com/office/drawing/2014/main" id="{2B0C3B76-790B-4033-BC48-FE6FBC0D243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422650" y="1665288"/>
          <a:ext cx="434976" cy="4349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0.84269</cdr:x>
      <cdr:y>0.45534</cdr:y>
    </cdr:from>
    <cdr:to>
      <cdr:x>0.89372</cdr:x>
      <cdr:y>0.54665</cdr:y>
    </cdr:to>
    <cdr:pic>
      <cdr:nvPicPr>
        <cdr:cNvPr id="13" name="Picture 12">
          <a:extLst xmlns:a="http://schemas.openxmlformats.org/drawingml/2006/main">
            <a:ext uri="{FF2B5EF4-FFF2-40B4-BE49-F238E27FC236}">
              <a16:creationId xmlns:a16="http://schemas.microsoft.com/office/drawing/2014/main" id="{0B28E9F4-859B-4204-AA9A-53E3C2E55C0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003925" y="1812927"/>
          <a:ext cx="363538" cy="3635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0.66355</cdr:x>
      <cdr:y>0.45415</cdr:y>
    </cdr:from>
    <cdr:to>
      <cdr:x>0.71591</cdr:x>
      <cdr:y>0.54785</cdr:y>
    </cdr:to>
    <cdr:pic>
      <cdr:nvPicPr>
        <cdr:cNvPr id="14" name="Picture 13">
          <a:extLst xmlns:a="http://schemas.openxmlformats.org/drawingml/2006/main">
            <a:ext uri="{FF2B5EF4-FFF2-40B4-BE49-F238E27FC236}">
              <a16:creationId xmlns:a16="http://schemas.microsoft.com/office/drawing/2014/main" id="{12BC9554-B02B-4B23-AA67-F93E8D5FF84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727576" y="1808160"/>
          <a:ext cx="373065" cy="37306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0.52718</cdr:x>
      <cdr:y>0.44099</cdr:y>
    </cdr:from>
    <cdr:to>
      <cdr:x>0.58155</cdr:x>
      <cdr:y>0.53828</cdr:y>
    </cdr:to>
    <cdr:pic>
      <cdr:nvPicPr>
        <cdr:cNvPr id="15" name="Picture 14">
          <a:extLst xmlns:a="http://schemas.openxmlformats.org/drawingml/2006/main">
            <a:ext uri="{FF2B5EF4-FFF2-40B4-BE49-F238E27FC236}">
              <a16:creationId xmlns:a16="http://schemas.microsoft.com/office/drawing/2014/main" id="{72C4885E-2418-4528-A4E1-337E7BAB9CD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756026" y="1755775"/>
          <a:ext cx="387351" cy="3873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0.11742</cdr:x>
      <cdr:y>0.22209</cdr:y>
    </cdr:from>
    <cdr:to>
      <cdr:x>0.17714</cdr:x>
      <cdr:y>0.32895</cdr:y>
    </cdr:to>
    <cdr:pic>
      <cdr:nvPicPr>
        <cdr:cNvPr id="16" name="Picture 15">
          <a:extLst xmlns:a="http://schemas.openxmlformats.org/drawingml/2006/main">
            <a:ext uri="{FF2B5EF4-FFF2-40B4-BE49-F238E27FC236}">
              <a16:creationId xmlns:a16="http://schemas.microsoft.com/office/drawing/2014/main" id="{E89B7BF0-B9EF-4EDD-8D8E-7E0224A6E35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836613" y="884239"/>
          <a:ext cx="425451" cy="42545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0.21168</cdr:x>
      <cdr:y>0.2819</cdr:y>
    </cdr:from>
    <cdr:to>
      <cdr:x>0.2627</cdr:x>
      <cdr:y>0.37321</cdr:y>
    </cdr:to>
    <cdr:pic>
      <cdr:nvPicPr>
        <cdr:cNvPr id="17" name="Picture 16">
          <a:extLst xmlns:a="http://schemas.openxmlformats.org/drawingml/2006/main">
            <a:ext uri="{FF2B5EF4-FFF2-40B4-BE49-F238E27FC236}">
              <a16:creationId xmlns:a16="http://schemas.microsoft.com/office/drawing/2014/main" id="{F44DB3EF-89FA-478B-B259-4F51646A137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508126" y="1122364"/>
          <a:ext cx="363538" cy="36353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0.25847</cdr:x>
      <cdr:y>0.3429</cdr:y>
    </cdr:from>
    <cdr:to>
      <cdr:x>0.31083</cdr:x>
      <cdr:y>0.4366</cdr:y>
    </cdr:to>
    <cdr:pic>
      <cdr:nvPicPr>
        <cdr:cNvPr id="18" name="Picture 17">
          <a:extLst xmlns:a="http://schemas.openxmlformats.org/drawingml/2006/main">
            <a:ext uri="{FF2B5EF4-FFF2-40B4-BE49-F238E27FC236}">
              <a16:creationId xmlns:a16="http://schemas.microsoft.com/office/drawing/2014/main" id="{67FC2839-CD49-4035-A436-1B6152280DA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841499" y="1365252"/>
          <a:ext cx="373063" cy="37306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0.61809</cdr:x>
      <cdr:y>0.4386</cdr:y>
    </cdr:from>
    <cdr:to>
      <cdr:x>0.6738</cdr:x>
      <cdr:y>0.53828</cdr:y>
    </cdr:to>
    <cdr:pic>
      <cdr:nvPicPr>
        <cdr:cNvPr id="19" name="Picture 18">
          <a:extLst xmlns:a="http://schemas.openxmlformats.org/drawingml/2006/main">
            <a:ext uri="{FF2B5EF4-FFF2-40B4-BE49-F238E27FC236}">
              <a16:creationId xmlns:a16="http://schemas.microsoft.com/office/drawing/2014/main" id="{F774D1F7-B4C2-4726-B469-A5FFE0BDAA2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403727" y="1746251"/>
          <a:ext cx="396876" cy="39687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0.88614</cdr:x>
      <cdr:y>0.46252</cdr:y>
    </cdr:from>
    <cdr:to>
      <cdr:x>0.93783</cdr:x>
      <cdr:y>0.55502</cdr:y>
    </cdr:to>
    <cdr:pic>
      <cdr:nvPicPr>
        <cdr:cNvPr id="20" name="Picture 19">
          <a:extLst xmlns:a="http://schemas.openxmlformats.org/drawingml/2006/main">
            <a:ext uri="{FF2B5EF4-FFF2-40B4-BE49-F238E27FC236}">
              <a16:creationId xmlns:a16="http://schemas.microsoft.com/office/drawing/2014/main" id="{243BEDE2-4038-4A6B-8B50-E2FE4A17D831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313487" y="1841500"/>
          <a:ext cx="368301" cy="368301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0.34804</cdr:x>
      <cdr:y>0.35367</cdr:y>
    </cdr:from>
    <cdr:to>
      <cdr:x>0.4004</cdr:x>
      <cdr:y>0.44737</cdr:y>
    </cdr:to>
    <cdr:pic>
      <cdr:nvPicPr>
        <cdr:cNvPr id="21" name="Picture 20">
          <a:extLst xmlns:a="http://schemas.openxmlformats.org/drawingml/2006/main">
            <a:ext uri="{FF2B5EF4-FFF2-40B4-BE49-F238E27FC236}">
              <a16:creationId xmlns:a16="http://schemas.microsoft.com/office/drawing/2014/main" id="{DF88A686-73B6-48BA-9439-ED98915EDFB0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479674" y="1408111"/>
          <a:ext cx="373065" cy="37306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0.07019</cdr:x>
      <cdr:y>0.17584</cdr:y>
    </cdr:from>
    <cdr:to>
      <cdr:x>0.16912</cdr:x>
      <cdr:y>0.23923</cdr:y>
    </cdr:to>
    <cdr:sp macro="" textlink="">
      <cdr:nvSpPr>
        <cdr:cNvPr id="22" name="Rectangle 21">
          <a:extLst xmlns:a="http://schemas.openxmlformats.org/drawingml/2006/main">
            <a:ext uri="{FF2B5EF4-FFF2-40B4-BE49-F238E27FC236}">
              <a16:creationId xmlns:a16="http://schemas.microsoft.com/office/drawing/2014/main" id="{664BDDFD-7AA0-415E-96F5-6EC416568E2D}"/>
            </a:ext>
          </a:extLst>
        </cdr:cNvPr>
        <cdr:cNvSpPr/>
      </cdr:nvSpPr>
      <cdr:spPr>
        <a:xfrm xmlns:a="http://schemas.openxmlformats.org/drawingml/2006/main">
          <a:off x="500064" y="700089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s-MX" sz="1000"/>
            <a:t>115%</a:t>
          </a:r>
        </a:p>
      </cdr:txBody>
    </cdr:sp>
  </cdr:relSizeAnchor>
  <cdr:relSizeAnchor xmlns:cdr="http://schemas.openxmlformats.org/drawingml/2006/chartDrawing">
    <cdr:from>
      <cdr:x>0.11408</cdr:x>
      <cdr:y>0.16467</cdr:y>
    </cdr:from>
    <cdr:to>
      <cdr:x>0.21301</cdr:x>
      <cdr:y>0.22807</cdr:y>
    </cdr:to>
    <cdr:sp macro="" textlink="">
      <cdr:nvSpPr>
        <cdr:cNvPr id="23" name="Rectangle 22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812801" y="655638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107%</a:t>
          </a:r>
        </a:p>
      </cdr:txBody>
    </cdr:sp>
  </cdr:relSizeAnchor>
  <cdr:relSizeAnchor xmlns:cdr="http://schemas.openxmlformats.org/drawingml/2006/chartDrawing">
    <cdr:from>
      <cdr:x>0.16555</cdr:x>
      <cdr:y>0.19697</cdr:y>
    </cdr:from>
    <cdr:to>
      <cdr:x>0.26448</cdr:x>
      <cdr:y>0.26037</cdr:y>
    </cdr:to>
    <cdr:sp macro="" textlink="">
      <cdr:nvSpPr>
        <cdr:cNvPr id="24" name="Rectangle 23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1179513" y="784226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94%</a:t>
          </a:r>
        </a:p>
      </cdr:txBody>
    </cdr:sp>
  </cdr:relSizeAnchor>
  <cdr:relSizeAnchor xmlns:cdr="http://schemas.openxmlformats.org/drawingml/2006/chartDrawing">
    <cdr:from>
      <cdr:x>0.20566</cdr:x>
      <cdr:y>0.22089</cdr:y>
    </cdr:from>
    <cdr:to>
      <cdr:x>0.30459</cdr:x>
      <cdr:y>0.28429</cdr:y>
    </cdr:to>
    <cdr:sp macro="" textlink="">
      <cdr:nvSpPr>
        <cdr:cNvPr id="25" name="Rectangle 24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1465263" y="879475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114%</a:t>
          </a:r>
        </a:p>
      </cdr:txBody>
    </cdr:sp>
  </cdr:relSizeAnchor>
  <cdr:relSizeAnchor xmlns:cdr="http://schemas.openxmlformats.org/drawingml/2006/chartDrawing">
    <cdr:from>
      <cdr:x>0.24911</cdr:x>
      <cdr:y>0.29147</cdr:y>
    </cdr:from>
    <cdr:to>
      <cdr:x>0.34804</cdr:x>
      <cdr:y>0.35486</cdr:y>
    </cdr:to>
    <cdr:sp macro="" textlink="">
      <cdr:nvSpPr>
        <cdr:cNvPr id="26" name="Rectangle 25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1774825" y="1160463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100%</a:t>
          </a:r>
        </a:p>
      </cdr:txBody>
    </cdr:sp>
  </cdr:relSizeAnchor>
  <cdr:relSizeAnchor xmlns:cdr="http://schemas.openxmlformats.org/drawingml/2006/chartDrawing">
    <cdr:from>
      <cdr:x>0.29523</cdr:x>
      <cdr:y>0.3118</cdr:y>
    </cdr:from>
    <cdr:to>
      <cdr:x>0.39416</cdr:x>
      <cdr:y>0.3752</cdr:y>
    </cdr:to>
    <cdr:sp macro="" textlink="">
      <cdr:nvSpPr>
        <cdr:cNvPr id="27" name="Rectangle 26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2103437" y="1241425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114%</a:t>
          </a:r>
        </a:p>
      </cdr:txBody>
    </cdr:sp>
  </cdr:relSizeAnchor>
  <cdr:relSizeAnchor xmlns:cdr="http://schemas.openxmlformats.org/drawingml/2006/chartDrawing">
    <cdr:from>
      <cdr:x>0.34737</cdr:x>
      <cdr:y>0.29386</cdr:y>
    </cdr:from>
    <cdr:to>
      <cdr:x>0.4463</cdr:x>
      <cdr:y>0.35726</cdr:y>
    </cdr:to>
    <cdr:sp macro="" textlink="">
      <cdr:nvSpPr>
        <cdr:cNvPr id="28" name="Rectangle 27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2474912" y="1169987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94%</a:t>
          </a:r>
        </a:p>
      </cdr:txBody>
    </cdr:sp>
  </cdr:relSizeAnchor>
  <cdr:relSizeAnchor xmlns:cdr="http://schemas.openxmlformats.org/drawingml/2006/chartDrawing">
    <cdr:from>
      <cdr:x>0.38881</cdr:x>
      <cdr:y>0.33573</cdr:y>
    </cdr:from>
    <cdr:to>
      <cdr:x>0.48775</cdr:x>
      <cdr:y>0.39912</cdr:y>
    </cdr:to>
    <cdr:sp macro="" textlink="">
      <cdr:nvSpPr>
        <cdr:cNvPr id="29" name="Rectangle 28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2770188" y="1336674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106%</a:t>
          </a:r>
        </a:p>
      </cdr:txBody>
    </cdr:sp>
  </cdr:relSizeAnchor>
  <cdr:relSizeAnchor xmlns:cdr="http://schemas.openxmlformats.org/drawingml/2006/chartDrawing">
    <cdr:from>
      <cdr:x>0.43828</cdr:x>
      <cdr:y>0.3441</cdr:y>
    </cdr:from>
    <cdr:to>
      <cdr:x>0.53721</cdr:x>
      <cdr:y>0.4075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3122613" y="1370012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86%</a:t>
          </a:r>
        </a:p>
      </cdr:txBody>
    </cdr:sp>
  </cdr:relSizeAnchor>
  <cdr:relSizeAnchor xmlns:cdr="http://schemas.openxmlformats.org/drawingml/2006/chartDrawing">
    <cdr:from>
      <cdr:x>0.47972</cdr:x>
      <cdr:y>0.35367</cdr:y>
    </cdr:from>
    <cdr:to>
      <cdr:x>0.57865</cdr:x>
      <cdr:y>0.41707</cdr:y>
    </cdr:to>
    <cdr:sp macro="" textlink="">
      <cdr:nvSpPr>
        <cdr:cNvPr id="31" name="Rectangle 30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3417888" y="1408112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110%</a:t>
          </a:r>
        </a:p>
      </cdr:txBody>
    </cdr:sp>
  </cdr:relSizeAnchor>
  <cdr:relSizeAnchor xmlns:cdr="http://schemas.openxmlformats.org/drawingml/2006/chartDrawing">
    <cdr:from>
      <cdr:x>0.52384</cdr:x>
      <cdr:y>0.3752</cdr:y>
    </cdr:from>
    <cdr:to>
      <cdr:x>0.62277</cdr:x>
      <cdr:y>0.4386</cdr:y>
    </cdr:to>
    <cdr:sp macro="" textlink="">
      <cdr:nvSpPr>
        <cdr:cNvPr id="32" name="Rectangle 31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3732213" y="1493837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104%</a:t>
          </a:r>
        </a:p>
      </cdr:txBody>
    </cdr:sp>
  </cdr:relSizeAnchor>
  <cdr:relSizeAnchor xmlns:cdr="http://schemas.openxmlformats.org/drawingml/2006/chartDrawing">
    <cdr:from>
      <cdr:x>0.56595</cdr:x>
      <cdr:y>0.38477</cdr:y>
    </cdr:from>
    <cdr:to>
      <cdr:x>0.66488</cdr:x>
      <cdr:y>0.44817</cdr:y>
    </cdr:to>
    <cdr:sp macro="" textlink="">
      <cdr:nvSpPr>
        <cdr:cNvPr id="33" name="Rectangle 32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4032250" y="1531937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126%</a:t>
          </a:r>
        </a:p>
      </cdr:txBody>
    </cdr:sp>
  </cdr:relSizeAnchor>
  <cdr:relSizeAnchor xmlns:cdr="http://schemas.openxmlformats.org/drawingml/2006/chartDrawing">
    <cdr:from>
      <cdr:x>0.61943</cdr:x>
      <cdr:y>0.3752</cdr:y>
    </cdr:from>
    <cdr:to>
      <cdr:x>0.71836</cdr:x>
      <cdr:y>0.4386</cdr:y>
    </cdr:to>
    <cdr:sp macro="" textlink="">
      <cdr:nvSpPr>
        <cdr:cNvPr id="34" name="Rectangle 33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4413250" y="1493837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97%</a:t>
          </a:r>
        </a:p>
      </cdr:txBody>
    </cdr:sp>
  </cdr:relSizeAnchor>
  <cdr:relSizeAnchor xmlns:cdr="http://schemas.openxmlformats.org/drawingml/2006/chartDrawing">
    <cdr:from>
      <cdr:x>0.66154</cdr:x>
      <cdr:y>0.39314</cdr:y>
    </cdr:from>
    <cdr:to>
      <cdr:x>0.76047</cdr:x>
      <cdr:y>0.45654</cdr:y>
    </cdr:to>
    <cdr:sp macro="" textlink="">
      <cdr:nvSpPr>
        <cdr:cNvPr id="35" name="Rectangle 34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4713287" y="1565274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95%</a:t>
          </a:r>
        </a:p>
      </cdr:txBody>
    </cdr:sp>
  </cdr:relSizeAnchor>
  <cdr:relSizeAnchor xmlns:cdr="http://schemas.openxmlformats.org/drawingml/2006/chartDrawing">
    <cdr:from>
      <cdr:x>0.70833</cdr:x>
      <cdr:y>0.36802</cdr:y>
    </cdr:from>
    <cdr:to>
      <cdr:x>0.80726</cdr:x>
      <cdr:y>0.43142</cdr:y>
    </cdr:to>
    <cdr:sp macro="" textlink="">
      <cdr:nvSpPr>
        <cdr:cNvPr id="36" name="Rectangle 35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5046663" y="1465262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76%</a:t>
          </a:r>
        </a:p>
      </cdr:txBody>
    </cdr:sp>
  </cdr:relSizeAnchor>
  <cdr:relSizeAnchor xmlns:cdr="http://schemas.openxmlformats.org/drawingml/2006/chartDrawing">
    <cdr:from>
      <cdr:x>0.75312</cdr:x>
      <cdr:y>0.43501</cdr:y>
    </cdr:from>
    <cdr:to>
      <cdr:x>0.85205</cdr:x>
      <cdr:y>0.4984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5365750" y="1731962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93%</a:t>
          </a:r>
        </a:p>
      </cdr:txBody>
    </cdr:sp>
  </cdr:relSizeAnchor>
  <cdr:relSizeAnchor xmlns:cdr="http://schemas.openxmlformats.org/drawingml/2006/chartDrawing">
    <cdr:from>
      <cdr:x>0.79055</cdr:x>
      <cdr:y>0.4362</cdr:y>
    </cdr:from>
    <cdr:to>
      <cdr:x>0.88948</cdr:x>
      <cdr:y>0.4996</cdr:y>
    </cdr:to>
    <cdr:sp macro="" textlink="">
      <cdr:nvSpPr>
        <cdr:cNvPr id="38" name="Rectangle 37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5632450" y="1736725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112%</a:t>
          </a:r>
        </a:p>
      </cdr:txBody>
    </cdr:sp>
  </cdr:relSizeAnchor>
  <cdr:relSizeAnchor xmlns:cdr="http://schemas.openxmlformats.org/drawingml/2006/chartDrawing">
    <cdr:from>
      <cdr:x>0.84269</cdr:x>
      <cdr:y>0.39553</cdr:y>
    </cdr:from>
    <cdr:to>
      <cdr:x>0.94162</cdr:x>
      <cdr:y>0.45893</cdr:y>
    </cdr:to>
    <cdr:sp macro="" textlink="">
      <cdr:nvSpPr>
        <cdr:cNvPr id="39" name="Rectangle 38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6003925" y="1574800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80%</a:t>
          </a:r>
        </a:p>
      </cdr:txBody>
    </cdr:sp>
  </cdr:relSizeAnchor>
  <cdr:relSizeAnchor xmlns:cdr="http://schemas.openxmlformats.org/drawingml/2006/chartDrawing">
    <cdr:from>
      <cdr:x>0.88681</cdr:x>
      <cdr:y>0.40391</cdr:y>
    </cdr:from>
    <cdr:to>
      <cdr:x>0.98574</cdr:x>
      <cdr:y>0.4673</cdr:y>
    </cdr:to>
    <cdr:sp macro="" textlink="">
      <cdr:nvSpPr>
        <cdr:cNvPr id="40" name="Rectangle 39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6318250" y="1608137"/>
          <a:ext cx="704850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76%</a:t>
          </a:r>
        </a:p>
      </cdr:txBody>
    </cdr:sp>
  </cdr:relSizeAnchor>
  <cdr:relSizeAnchor xmlns:cdr="http://schemas.openxmlformats.org/drawingml/2006/chartDrawing">
    <cdr:from>
      <cdr:x>0.93382</cdr:x>
      <cdr:y>0.38477</cdr:y>
    </cdr:from>
    <cdr:to>
      <cdr:x>1</cdr:x>
      <cdr:y>0.44817</cdr:y>
    </cdr:to>
    <cdr:sp macro="" textlink="">
      <cdr:nvSpPr>
        <cdr:cNvPr id="41" name="Rectangle 40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6653211" y="1531938"/>
          <a:ext cx="471489" cy="25241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69%</a:t>
          </a:r>
        </a:p>
      </cdr:txBody>
    </cdr:sp>
  </cdr:relSizeAnchor>
</c:userShapes>
</file>

<file path=xl/drawings/drawing157.xml><?xml version="1.0" encoding="utf-8"?>
<c:userShapes xmlns:c="http://schemas.openxmlformats.org/drawingml/2006/chart">
  <cdr:relSizeAnchor xmlns:cdr="http://schemas.openxmlformats.org/drawingml/2006/chartDrawing">
    <cdr:from>
      <cdr:x>0.03543</cdr:x>
      <cdr:y>0.1567</cdr:y>
    </cdr:from>
    <cdr:to>
      <cdr:x>0.13436</cdr:x>
      <cdr:y>0.22009</cdr:y>
    </cdr:to>
    <cdr:sp macro="" textlink="">
      <cdr:nvSpPr>
        <cdr:cNvPr id="22" name="Rectangle 21">
          <a:extLst xmlns:a="http://schemas.openxmlformats.org/drawingml/2006/main">
            <a:ext uri="{FF2B5EF4-FFF2-40B4-BE49-F238E27FC236}">
              <a16:creationId xmlns:a16="http://schemas.microsoft.com/office/drawing/2014/main" id="{664BDDFD-7AA0-415E-96F5-6EC416568E2D}"/>
            </a:ext>
          </a:extLst>
        </cdr:cNvPr>
        <cdr:cNvSpPr/>
      </cdr:nvSpPr>
      <cdr:spPr>
        <a:xfrm xmlns:a="http://schemas.openxmlformats.org/drawingml/2006/main">
          <a:off x="252433" y="623899"/>
          <a:ext cx="704846" cy="2523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s-MX" sz="1000"/>
            <a:t>152%</a:t>
          </a:r>
        </a:p>
      </cdr:txBody>
    </cdr:sp>
  </cdr:relSizeAnchor>
  <cdr:relSizeAnchor xmlns:cdr="http://schemas.openxmlformats.org/drawingml/2006/chartDrawing">
    <cdr:from>
      <cdr:x>0.08734</cdr:x>
      <cdr:y>0.18979</cdr:y>
    </cdr:from>
    <cdr:to>
      <cdr:x>0.18627</cdr:x>
      <cdr:y>0.25319</cdr:y>
    </cdr:to>
    <cdr:sp macro="" textlink="">
      <cdr:nvSpPr>
        <cdr:cNvPr id="23" name="Rectangle 22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622287" y="755638"/>
          <a:ext cx="704846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95%</a:t>
          </a:r>
        </a:p>
      </cdr:txBody>
    </cdr:sp>
  </cdr:relSizeAnchor>
  <cdr:relSizeAnchor xmlns:cdr="http://schemas.openxmlformats.org/drawingml/2006/chartDrawing">
    <cdr:from>
      <cdr:x>0.13346</cdr:x>
      <cdr:y>0.2197</cdr:y>
    </cdr:from>
    <cdr:to>
      <cdr:x>0.23239</cdr:x>
      <cdr:y>0.2831</cdr:y>
    </cdr:to>
    <cdr:sp macro="" textlink="">
      <cdr:nvSpPr>
        <cdr:cNvPr id="24" name="Rectangle 23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950894" y="874713"/>
          <a:ext cx="704847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107%</a:t>
          </a:r>
        </a:p>
      </cdr:txBody>
    </cdr:sp>
  </cdr:relSizeAnchor>
  <cdr:relSizeAnchor xmlns:cdr="http://schemas.openxmlformats.org/drawingml/2006/chartDrawing">
    <cdr:from>
      <cdr:x>0.18093</cdr:x>
      <cdr:y>0.24721</cdr:y>
    </cdr:from>
    <cdr:to>
      <cdr:x>0.27986</cdr:x>
      <cdr:y>0.31061</cdr:y>
    </cdr:to>
    <cdr:sp macro="" textlink="">
      <cdr:nvSpPr>
        <cdr:cNvPr id="25" name="Rectangle 24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1289054" y="984238"/>
          <a:ext cx="704846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99%</a:t>
          </a:r>
        </a:p>
      </cdr:txBody>
    </cdr:sp>
  </cdr:relSizeAnchor>
  <cdr:relSizeAnchor xmlns:cdr="http://schemas.openxmlformats.org/drawingml/2006/chartDrawing">
    <cdr:from>
      <cdr:x>0.22772</cdr:x>
      <cdr:y>0.18142</cdr:y>
    </cdr:from>
    <cdr:to>
      <cdr:x>0.32665</cdr:x>
      <cdr:y>0.24481</cdr:y>
    </cdr:to>
    <cdr:sp macro="" textlink="">
      <cdr:nvSpPr>
        <cdr:cNvPr id="26" name="Rectangle 25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1622434" y="722324"/>
          <a:ext cx="704847" cy="2523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86%</a:t>
          </a:r>
        </a:p>
      </cdr:txBody>
    </cdr:sp>
  </cdr:relSizeAnchor>
  <cdr:relSizeAnchor xmlns:cdr="http://schemas.openxmlformats.org/drawingml/2006/chartDrawing">
    <cdr:from>
      <cdr:x>0.2705</cdr:x>
      <cdr:y>0.26515</cdr:y>
    </cdr:from>
    <cdr:to>
      <cdr:x>0.36943</cdr:x>
      <cdr:y>0.32855</cdr:y>
    </cdr:to>
    <cdr:sp macro="" textlink="">
      <cdr:nvSpPr>
        <cdr:cNvPr id="27" name="Rectangle 26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1927212" y="1055678"/>
          <a:ext cx="704847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108%</a:t>
          </a:r>
        </a:p>
      </cdr:txBody>
    </cdr:sp>
  </cdr:relSizeAnchor>
  <cdr:relSizeAnchor xmlns:cdr="http://schemas.openxmlformats.org/drawingml/2006/chartDrawing">
    <cdr:from>
      <cdr:x>0.31729</cdr:x>
      <cdr:y>0.27472</cdr:y>
    </cdr:from>
    <cdr:to>
      <cdr:x>0.41622</cdr:x>
      <cdr:y>0.33812</cdr:y>
    </cdr:to>
    <cdr:sp macro="" textlink="">
      <cdr:nvSpPr>
        <cdr:cNvPr id="28" name="Rectangle 27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2260595" y="1093789"/>
          <a:ext cx="704847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133%</a:t>
          </a:r>
        </a:p>
      </cdr:txBody>
    </cdr:sp>
  </cdr:relSizeAnchor>
  <cdr:relSizeAnchor xmlns:cdr="http://schemas.openxmlformats.org/drawingml/2006/chartDrawing">
    <cdr:from>
      <cdr:x>0.36876</cdr:x>
      <cdr:y>0.26037</cdr:y>
    </cdr:from>
    <cdr:to>
      <cdr:x>0.4677</cdr:x>
      <cdr:y>0.32376</cdr:y>
    </cdr:to>
    <cdr:sp macro="" textlink="">
      <cdr:nvSpPr>
        <cdr:cNvPr id="29" name="Rectangle 28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2627280" y="1036655"/>
          <a:ext cx="704917" cy="2523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93%</a:t>
          </a:r>
        </a:p>
      </cdr:txBody>
    </cdr:sp>
  </cdr:relSizeAnchor>
  <cdr:relSizeAnchor xmlns:cdr="http://schemas.openxmlformats.org/drawingml/2006/chartDrawing">
    <cdr:from>
      <cdr:x>0.41221</cdr:x>
      <cdr:y>0.33692</cdr:y>
    </cdr:from>
    <cdr:to>
      <cdr:x>0.51114</cdr:x>
      <cdr:y>0.40032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2936877" y="1341442"/>
          <a:ext cx="704846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115%</a:t>
          </a:r>
        </a:p>
      </cdr:txBody>
    </cdr:sp>
  </cdr:relSizeAnchor>
  <cdr:relSizeAnchor xmlns:cdr="http://schemas.openxmlformats.org/drawingml/2006/chartDrawing">
    <cdr:from>
      <cdr:x>0.46301</cdr:x>
      <cdr:y>0.23764</cdr:y>
    </cdr:from>
    <cdr:to>
      <cdr:x>0.56194</cdr:x>
      <cdr:y>0.30104</cdr:y>
    </cdr:to>
    <cdr:sp macro="" textlink="">
      <cdr:nvSpPr>
        <cdr:cNvPr id="31" name="Rectangle 30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3298798" y="946157"/>
          <a:ext cx="704847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73%</a:t>
          </a:r>
        </a:p>
      </cdr:txBody>
    </cdr:sp>
  </cdr:relSizeAnchor>
  <cdr:relSizeAnchor xmlns:cdr="http://schemas.openxmlformats.org/drawingml/2006/chartDrawing">
    <cdr:from>
      <cdr:x>0.54991</cdr:x>
      <cdr:y>0.36324</cdr:y>
    </cdr:from>
    <cdr:to>
      <cdr:x>0.64884</cdr:x>
      <cdr:y>0.42664</cdr:y>
    </cdr:to>
    <cdr:sp macro="" textlink="">
      <cdr:nvSpPr>
        <cdr:cNvPr id="32" name="Rectangle 31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3917940" y="1446214"/>
          <a:ext cx="704846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104%</a:t>
          </a:r>
        </a:p>
      </cdr:txBody>
    </cdr:sp>
  </cdr:relSizeAnchor>
  <cdr:relSizeAnchor xmlns:cdr="http://schemas.openxmlformats.org/drawingml/2006/chartDrawing">
    <cdr:from>
      <cdr:x>0.50779</cdr:x>
      <cdr:y>0.32735</cdr:y>
    </cdr:from>
    <cdr:to>
      <cdr:x>0.60672</cdr:x>
      <cdr:y>0.39075</cdr:y>
    </cdr:to>
    <cdr:sp macro="" textlink="">
      <cdr:nvSpPr>
        <cdr:cNvPr id="33" name="Rectangle 32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3617886" y="1303343"/>
          <a:ext cx="704847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87%</a:t>
          </a:r>
        </a:p>
      </cdr:txBody>
    </cdr:sp>
  </cdr:relSizeAnchor>
  <cdr:relSizeAnchor xmlns:cdr="http://schemas.openxmlformats.org/drawingml/2006/chartDrawing">
    <cdr:from>
      <cdr:x>0.59938</cdr:x>
      <cdr:y>0.3752</cdr:y>
    </cdr:from>
    <cdr:to>
      <cdr:x>0.69831</cdr:x>
      <cdr:y>0.4386</cdr:y>
    </cdr:to>
    <cdr:sp macro="" textlink="">
      <cdr:nvSpPr>
        <cdr:cNvPr id="34" name="Rectangle 33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4270378" y="1493840"/>
          <a:ext cx="704846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108%</a:t>
          </a:r>
        </a:p>
      </cdr:txBody>
    </cdr:sp>
  </cdr:relSizeAnchor>
  <cdr:relSizeAnchor xmlns:cdr="http://schemas.openxmlformats.org/drawingml/2006/chartDrawing">
    <cdr:from>
      <cdr:x>0.6475</cdr:x>
      <cdr:y>0.38836</cdr:y>
    </cdr:from>
    <cdr:to>
      <cdr:x>0.74643</cdr:x>
      <cdr:y>0.45176</cdr:y>
    </cdr:to>
    <cdr:sp macro="" textlink="">
      <cdr:nvSpPr>
        <cdr:cNvPr id="35" name="Rectangle 34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4613262" y="1546218"/>
          <a:ext cx="704847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112%</a:t>
          </a:r>
        </a:p>
      </cdr:txBody>
    </cdr:sp>
  </cdr:relSizeAnchor>
  <cdr:relSizeAnchor xmlns:cdr="http://schemas.openxmlformats.org/drawingml/2006/chartDrawing">
    <cdr:from>
      <cdr:x>0.69563</cdr:x>
      <cdr:y>0.37639</cdr:y>
    </cdr:from>
    <cdr:to>
      <cdr:x>0.79456</cdr:x>
      <cdr:y>0.43979</cdr:y>
    </cdr:to>
    <cdr:sp macro="" textlink="">
      <cdr:nvSpPr>
        <cdr:cNvPr id="36" name="Rectangle 35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4956152" y="1498591"/>
          <a:ext cx="704846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91%</a:t>
          </a:r>
        </a:p>
      </cdr:txBody>
    </cdr:sp>
  </cdr:relSizeAnchor>
  <cdr:relSizeAnchor xmlns:cdr="http://schemas.openxmlformats.org/drawingml/2006/chartDrawing">
    <cdr:from>
      <cdr:x>0.74109</cdr:x>
      <cdr:y>0.36802</cdr:y>
    </cdr:from>
    <cdr:to>
      <cdr:x>0.84002</cdr:x>
      <cdr:y>0.43141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5280030" y="1465271"/>
          <a:ext cx="704847" cy="2523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90%</a:t>
          </a:r>
        </a:p>
      </cdr:txBody>
    </cdr:sp>
  </cdr:relSizeAnchor>
  <cdr:relSizeAnchor xmlns:cdr="http://schemas.openxmlformats.org/drawingml/2006/chartDrawing">
    <cdr:from>
      <cdr:x>0.78453</cdr:x>
      <cdr:y>0.42663</cdr:y>
    </cdr:from>
    <cdr:to>
      <cdr:x>0.88346</cdr:x>
      <cdr:y>0.49003</cdr:y>
    </cdr:to>
    <cdr:sp macro="" textlink="">
      <cdr:nvSpPr>
        <cdr:cNvPr id="38" name="Rectangle 37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5589570" y="1698609"/>
          <a:ext cx="704846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106%</a:t>
          </a:r>
        </a:p>
      </cdr:txBody>
    </cdr:sp>
  </cdr:relSizeAnchor>
  <cdr:relSizeAnchor xmlns:cdr="http://schemas.openxmlformats.org/drawingml/2006/chartDrawing">
    <cdr:from>
      <cdr:x>0.83333</cdr:x>
      <cdr:y>0.4051</cdr:y>
    </cdr:from>
    <cdr:to>
      <cdr:x>0.93226</cdr:x>
      <cdr:y>0.4685</cdr:y>
    </cdr:to>
    <cdr:sp macro="" textlink="">
      <cdr:nvSpPr>
        <cdr:cNvPr id="39" name="Rectangle 38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5937238" y="1612883"/>
          <a:ext cx="704847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92%</a:t>
          </a:r>
        </a:p>
      </cdr:txBody>
    </cdr:sp>
  </cdr:relSizeAnchor>
  <cdr:relSizeAnchor xmlns:cdr="http://schemas.openxmlformats.org/drawingml/2006/chartDrawing">
    <cdr:from>
      <cdr:x>0.8848</cdr:x>
      <cdr:y>0.40032</cdr:y>
    </cdr:from>
    <cdr:to>
      <cdr:x>0.98373</cdr:x>
      <cdr:y>0.46371</cdr:y>
    </cdr:to>
    <cdr:sp macro="" textlink="">
      <cdr:nvSpPr>
        <cdr:cNvPr id="40" name="Rectangle 39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6303967" y="1593860"/>
          <a:ext cx="704847" cy="2523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82%</a:t>
          </a:r>
        </a:p>
      </cdr:txBody>
    </cdr:sp>
  </cdr:relSizeAnchor>
  <cdr:relSizeAnchor xmlns:cdr="http://schemas.openxmlformats.org/drawingml/2006/chartDrawing">
    <cdr:from>
      <cdr:x>0.9278</cdr:x>
      <cdr:y>0.44219</cdr:y>
    </cdr:from>
    <cdr:to>
      <cdr:x>0.99398</cdr:x>
      <cdr:y>0.50559</cdr:y>
    </cdr:to>
    <cdr:sp macro="" textlink="">
      <cdr:nvSpPr>
        <cdr:cNvPr id="41" name="Rectangle 40">
          <a:extLst xmlns:a="http://schemas.openxmlformats.org/drawingml/2006/main">
            <a:ext uri="{FF2B5EF4-FFF2-40B4-BE49-F238E27FC236}">
              <a16:creationId xmlns:a16="http://schemas.microsoft.com/office/drawing/2014/main" id="{0D89970C-40DE-4A89-9E8D-AFAF535CD8C7}"/>
            </a:ext>
          </a:extLst>
        </cdr:cNvPr>
        <cdr:cNvSpPr/>
      </cdr:nvSpPr>
      <cdr:spPr>
        <a:xfrm xmlns:a="http://schemas.openxmlformats.org/drawingml/2006/main">
          <a:off x="6610324" y="1760543"/>
          <a:ext cx="471513" cy="25242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000"/>
            <a:t>50%</a:t>
          </a:r>
        </a:p>
      </cdr:txBody>
    </cdr:sp>
  </cdr:relSizeAnchor>
  <cdr:relSizeAnchor xmlns:cdr="http://schemas.openxmlformats.org/drawingml/2006/chartDrawing">
    <cdr:from>
      <cdr:x>0.04011</cdr:x>
      <cdr:y>0.21611</cdr:y>
    </cdr:from>
    <cdr:to>
      <cdr:x>0.09064</cdr:x>
      <cdr:y>0.30653</cdr:y>
    </cdr:to>
    <cdr:pic>
      <cdr:nvPicPr>
        <cdr:cNvPr id="42" name="Picture 41">
          <a:extLst xmlns:a="http://schemas.openxmlformats.org/drawingml/2006/main">
            <a:ext uri="{FF2B5EF4-FFF2-40B4-BE49-F238E27FC236}">
              <a16:creationId xmlns:a16="http://schemas.microsoft.com/office/drawing/2014/main" id="{5CD8980C-EFA9-42C9-94F6-283172D4765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85750" y="860425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0.08801</cdr:x>
      <cdr:y>0.2508</cdr:y>
    </cdr:from>
    <cdr:to>
      <cdr:x>0.13854</cdr:x>
      <cdr:y>0.34122</cdr:y>
    </cdr:to>
    <cdr:pic>
      <cdr:nvPicPr>
        <cdr:cNvPr id="43" name="Picture 42">
          <a:extLst xmlns:a="http://schemas.openxmlformats.org/drawingml/2006/main">
            <a:ext uri="{FF2B5EF4-FFF2-40B4-BE49-F238E27FC236}">
              <a16:creationId xmlns:a16="http://schemas.microsoft.com/office/drawing/2014/main" id="{7E871015-96FD-47F1-A234-5564DE818BC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27062" y="998538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0.13614</cdr:x>
      <cdr:y>0.2799</cdr:y>
    </cdr:from>
    <cdr:to>
      <cdr:x>0.18667</cdr:x>
      <cdr:y>0.37032</cdr:y>
    </cdr:to>
    <cdr:pic>
      <cdr:nvPicPr>
        <cdr:cNvPr id="44" name="Picture 43">
          <a:extLst xmlns:a="http://schemas.openxmlformats.org/drawingml/2006/main">
            <a:ext uri="{FF2B5EF4-FFF2-40B4-BE49-F238E27FC236}">
              <a16:creationId xmlns:a16="http://schemas.microsoft.com/office/drawing/2014/main" id="{661601A6-31C2-4EA3-B7F2-A9223E538F4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969964" y="1114425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0.1816</cdr:x>
      <cdr:y>0.30582</cdr:y>
    </cdr:from>
    <cdr:to>
      <cdr:x>0.23212</cdr:x>
      <cdr:y>0.39624</cdr:y>
    </cdr:to>
    <cdr:pic>
      <cdr:nvPicPr>
        <cdr:cNvPr id="45" name="Picture 44">
          <a:extLst xmlns:a="http://schemas.openxmlformats.org/drawingml/2006/main">
            <a:ext uri="{FF2B5EF4-FFF2-40B4-BE49-F238E27FC236}">
              <a16:creationId xmlns:a16="http://schemas.microsoft.com/office/drawing/2014/main" id="{9BF5BF13-E7BC-4169-8B5E-192BF850519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293813" y="1217613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0.22906</cdr:x>
      <cdr:y>0.23884</cdr:y>
    </cdr:from>
    <cdr:to>
      <cdr:x>0.27958</cdr:x>
      <cdr:y>0.32925</cdr:y>
    </cdr:to>
    <cdr:pic>
      <cdr:nvPicPr>
        <cdr:cNvPr id="46" name="Picture 45">
          <a:extLst xmlns:a="http://schemas.openxmlformats.org/drawingml/2006/main">
            <a:ext uri="{FF2B5EF4-FFF2-40B4-BE49-F238E27FC236}">
              <a16:creationId xmlns:a16="http://schemas.microsoft.com/office/drawing/2014/main" id="{9735F27E-260C-4B8F-A554-6FE736BCF19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631950" y="950912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0.27518</cdr:x>
      <cdr:y>0.32616</cdr:y>
    </cdr:from>
    <cdr:to>
      <cdr:x>0.32571</cdr:x>
      <cdr:y>0.41658</cdr:y>
    </cdr:to>
    <cdr:pic>
      <cdr:nvPicPr>
        <cdr:cNvPr id="47" name="Picture 46">
          <a:extLst xmlns:a="http://schemas.openxmlformats.org/drawingml/2006/main">
            <a:ext uri="{FF2B5EF4-FFF2-40B4-BE49-F238E27FC236}">
              <a16:creationId xmlns:a16="http://schemas.microsoft.com/office/drawing/2014/main" id="{FAFC00FF-01DF-487D-867F-2C627503F31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1960563" y="1298574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0.32197</cdr:x>
      <cdr:y>0.33453</cdr:y>
    </cdr:from>
    <cdr:to>
      <cdr:x>0.3725</cdr:x>
      <cdr:y>0.42495</cdr:y>
    </cdr:to>
    <cdr:pic>
      <cdr:nvPicPr>
        <cdr:cNvPr id="48" name="Picture 47">
          <a:extLst xmlns:a="http://schemas.openxmlformats.org/drawingml/2006/main">
            <a:ext uri="{FF2B5EF4-FFF2-40B4-BE49-F238E27FC236}">
              <a16:creationId xmlns:a16="http://schemas.microsoft.com/office/drawing/2014/main" id="{7658E27E-1976-4E15-A566-E82167A676B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293937" y="1331912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0.3701</cdr:x>
      <cdr:y>0.31539</cdr:y>
    </cdr:from>
    <cdr:to>
      <cdr:x>0.42063</cdr:x>
      <cdr:y>0.40581</cdr:y>
    </cdr:to>
    <cdr:pic>
      <cdr:nvPicPr>
        <cdr:cNvPr id="49" name="Picture 48">
          <a:extLst xmlns:a="http://schemas.openxmlformats.org/drawingml/2006/main">
            <a:ext uri="{FF2B5EF4-FFF2-40B4-BE49-F238E27FC236}">
              <a16:creationId xmlns:a16="http://schemas.microsoft.com/office/drawing/2014/main" id="{B56ABF07-C0BB-4921-8854-8BC1FADC710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636837" y="1255713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0.41689</cdr:x>
      <cdr:y>0.39553</cdr:y>
    </cdr:from>
    <cdr:to>
      <cdr:x>0.46742</cdr:x>
      <cdr:y>0.48595</cdr:y>
    </cdr:to>
    <cdr:pic>
      <cdr:nvPicPr>
        <cdr:cNvPr id="50" name="Picture 49">
          <a:extLst xmlns:a="http://schemas.openxmlformats.org/drawingml/2006/main">
            <a:ext uri="{FF2B5EF4-FFF2-40B4-BE49-F238E27FC236}">
              <a16:creationId xmlns:a16="http://schemas.microsoft.com/office/drawing/2014/main" id="{8C62535E-6B8E-48BF-A3C3-2B0CD91C56D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2970212" y="1574800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0.46502</cdr:x>
      <cdr:y>0.29266</cdr:y>
    </cdr:from>
    <cdr:to>
      <cdr:x>0.51555</cdr:x>
      <cdr:y>0.38308</cdr:y>
    </cdr:to>
    <cdr:pic>
      <cdr:nvPicPr>
        <cdr:cNvPr id="51" name="Picture 50">
          <a:extLst xmlns:a="http://schemas.openxmlformats.org/drawingml/2006/main">
            <a:ext uri="{FF2B5EF4-FFF2-40B4-BE49-F238E27FC236}">
              <a16:creationId xmlns:a16="http://schemas.microsoft.com/office/drawing/2014/main" id="{99A0D909-BC04-4EF5-8DCD-AFF471F7C87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313113" y="1165225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0.51047</cdr:x>
      <cdr:y>0.38118</cdr:y>
    </cdr:from>
    <cdr:to>
      <cdr:x>0.561</cdr:x>
      <cdr:y>0.4716</cdr:y>
    </cdr:to>
    <cdr:pic>
      <cdr:nvPicPr>
        <cdr:cNvPr id="52" name="Picture 51">
          <a:extLst xmlns:a="http://schemas.openxmlformats.org/drawingml/2006/main">
            <a:ext uri="{FF2B5EF4-FFF2-40B4-BE49-F238E27FC236}">
              <a16:creationId xmlns:a16="http://schemas.microsoft.com/office/drawing/2014/main" id="{B856E2E9-079D-4E4C-918B-260E0FB4020B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636963" y="1517650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0.55526</cdr:x>
      <cdr:y>0.42305</cdr:y>
    </cdr:from>
    <cdr:to>
      <cdr:x>0.60579</cdr:x>
      <cdr:y>0.51347</cdr:y>
    </cdr:to>
    <cdr:pic>
      <cdr:nvPicPr>
        <cdr:cNvPr id="53" name="Picture 52">
          <a:extLst xmlns:a="http://schemas.openxmlformats.org/drawingml/2006/main">
            <a:ext uri="{FF2B5EF4-FFF2-40B4-BE49-F238E27FC236}">
              <a16:creationId xmlns:a16="http://schemas.microsoft.com/office/drawing/2014/main" id="{68393051-8CFD-4C14-9C06-697A7654B34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3956050" y="1684337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0.60339</cdr:x>
      <cdr:y>0.4362</cdr:y>
    </cdr:from>
    <cdr:to>
      <cdr:x>0.65392</cdr:x>
      <cdr:y>0.52662</cdr:y>
    </cdr:to>
    <cdr:pic>
      <cdr:nvPicPr>
        <cdr:cNvPr id="54" name="Picture 53">
          <a:extLst xmlns:a="http://schemas.openxmlformats.org/drawingml/2006/main">
            <a:ext uri="{FF2B5EF4-FFF2-40B4-BE49-F238E27FC236}">
              <a16:creationId xmlns:a16="http://schemas.microsoft.com/office/drawing/2014/main" id="{BE310B77-8260-4D9D-BEF5-024DFFC7D36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298950" y="1736724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0.65085</cdr:x>
      <cdr:y>0.44817</cdr:y>
    </cdr:from>
    <cdr:to>
      <cdr:x>0.70138</cdr:x>
      <cdr:y>0.53859</cdr:y>
    </cdr:to>
    <cdr:pic>
      <cdr:nvPicPr>
        <cdr:cNvPr id="55" name="Picture 54">
          <a:extLst xmlns:a="http://schemas.openxmlformats.org/drawingml/2006/main">
            <a:ext uri="{FF2B5EF4-FFF2-40B4-BE49-F238E27FC236}">
              <a16:creationId xmlns:a16="http://schemas.microsoft.com/office/drawing/2014/main" id="{10B8BF64-3A5D-4F4A-80A1-C21A5CC754B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637087" y="1784350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0.69831</cdr:x>
      <cdr:y>0.43022</cdr:y>
    </cdr:from>
    <cdr:to>
      <cdr:x>0.74884</cdr:x>
      <cdr:y>0.52064</cdr:y>
    </cdr:to>
    <cdr:pic>
      <cdr:nvPicPr>
        <cdr:cNvPr id="56" name="Picture 55">
          <a:extLst xmlns:a="http://schemas.openxmlformats.org/drawingml/2006/main">
            <a:ext uri="{FF2B5EF4-FFF2-40B4-BE49-F238E27FC236}">
              <a16:creationId xmlns:a16="http://schemas.microsoft.com/office/drawing/2014/main" id="{32B7E333-CCF2-435C-B6E4-AD4B746C2F7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4975225" y="1712913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0.74242</cdr:x>
      <cdr:y>0.42424</cdr:y>
    </cdr:from>
    <cdr:to>
      <cdr:x>0.79295</cdr:x>
      <cdr:y>0.51466</cdr:y>
    </cdr:to>
    <cdr:pic>
      <cdr:nvPicPr>
        <cdr:cNvPr id="57" name="Picture 56">
          <a:extLst xmlns:a="http://schemas.openxmlformats.org/drawingml/2006/main">
            <a:ext uri="{FF2B5EF4-FFF2-40B4-BE49-F238E27FC236}">
              <a16:creationId xmlns:a16="http://schemas.microsoft.com/office/drawing/2014/main" id="{8A688C5E-711D-4989-B6DE-24B32766982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289550" y="1689100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0.79078</cdr:x>
      <cdr:y>0.47329</cdr:y>
    </cdr:from>
    <cdr:to>
      <cdr:x>0.8413</cdr:x>
      <cdr:y>0.5637</cdr:y>
    </cdr:to>
    <cdr:pic>
      <cdr:nvPicPr>
        <cdr:cNvPr id="58" name="Picture 57">
          <a:extLst xmlns:a="http://schemas.openxmlformats.org/drawingml/2006/main">
            <a:ext uri="{FF2B5EF4-FFF2-40B4-BE49-F238E27FC236}">
              <a16:creationId xmlns:a16="http://schemas.microsoft.com/office/drawing/2014/main" id="{266A5166-517B-4DAF-9CCA-973E06F156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634037" y="1884362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0.83668</cdr:x>
      <cdr:y>0.46372</cdr:y>
    </cdr:from>
    <cdr:to>
      <cdr:x>0.8872</cdr:x>
      <cdr:y>0.55414</cdr:y>
    </cdr:to>
    <cdr:pic>
      <cdr:nvPicPr>
        <cdr:cNvPr id="59" name="Picture 58">
          <a:extLst xmlns:a="http://schemas.openxmlformats.org/drawingml/2006/main">
            <a:ext uri="{FF2B5EF4-FFF2-40B4-BE49-F238E27FC236}">
              <a16:creationId xmlns:a16="http://schemas.microsoft.com/office/drawing/2014/main" id="{95EA6451-CA66-4D34-B435-0171D7F088DF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5961062" y="1846263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0.88347</cdr:x>
      <cdr:y>0.45893</cdr:y>
    </cdr:from>
    <cdr:to>
      <cdr:x>0.934</cdr:x>
      <cdr:y>0.54935</cdr:y>
    </cdr:to>
    <cdr:pic>
      <cdr:nvPicPr>
        <cdr:cNvPr id="60" name="Picture 59">
          <a:extLst xmlns:a="http://schemas.openxmlformats.org/drawingml/2006/main">
            <a:ext uri="{FF2B5EF4-FFF2-40B4-BE49-F238E27FC236}">
              <a16:creationId xmlns:a16="http://schemas.microsoft.com/office/drawing/2014/main" id="{C7A2C2E5-C446-481D-BA8A-2301AC1D4585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294437" y="1827213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  <cdr:relSizeAnchor xmlns:cdr="http://schemas.openxmlformats.org/drawingml/2006/chartDrawing">
    <cdr:from>
      <cdr:x>0.93026</cdr:x>
      <cdr:y>0.4996</cdr:y>
    </cdr:from>
    <cdr:to>
      <cdr:x>0.98079</cdr:x>
      <cdr:y>0.59002</cdr:y>
    </cdr:to>
    <cdr:pic>
      <cdr:nvPicPr>
        <cdr:cNvPr id="61" name="Picture 60">
          <a:extLst xmlns:a="http://schemas.openxmlformats.org/drawingml/2006/main">
            <a:ext uri="{FF2B5EF4-FFF2-40B4-BE49-F238E27FC236}">
              <a16:creationId xmlns:a16="http://schemas.microsoft.com/office/drawing/2014/main" id="{A2D19C38-55D9-417F-957E-FDE7B635ABA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6627813" y="1989138"/>
          <a:ext cx="360000" cy="3600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</cdr:pic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F80A3A-0DFF-4DDE-AA28-A420E55D1130}" name="Table1" displayName="Table1" ref="G1:T39" totalsRowShown="0" headerRowDxfId="34" dataDxfId="33">
  <autoFilter ref="G1:T39" xr:uid="{89F80A3A-0DFF-4DDE-AA28-A420E55D1130}"/>
  <sortState xmlns:xlrd2="http://schemas.microsoft.com/office/spreadsheetml/2017/richdata2" ref="G2:T39">
    <sortCondition ref="J1:J39"/>
  </sortState>
  <tableColumns count="14">
    <tableColumn id="1" xr3:uid="{E1564A5D-8E69-4C36-B1AE-2CB1B6816E11}" name="Season" dataDxfId="32"/>
    <tableColumn id="2" xr3:uid="{41B35AE3-A276-4A97-9FB5-ED0EB53E33B4}" name="Div" dataDxfId="31"/>
    <tableColumn id="3" xr3:uid="{C58FEAB1-6BD1-4A9E-A2AB-9D714357E0D4}" name="Date" dataDxfId="30"/>
    <tableColumn id="13" xr3:uid="{FA80F06C-BDE6-4151-AF27-0943B84B4614}" name="Day" dataDxfId="29"/>
    <tableColumn id="12" xr3:uid="{3FB8E165-DAB3-4537-A1C3-C8716C891464}" name="Month" dataDxfId="28"/>
    <tableColumn id="14" xr3:uid="{55E2C613-8573-47E5-BD3C-91FA5318F981}" name="Year" dataDxfId="27"/>
    <tableColumn id="4" xr3:uid="{70AC4DCA-665C-46CB-94B6-C6C13A34A978}" name="HomeTeam" dataDxfId="26"/>
    <tableColumn id="5" xr3:uid="{2BF90548-62D6-4DF3-B80D-DBC780D0EC71}" name="AwayTeam" dataDxfId="25"/>
    <tableColumn id="6" xr3:uid="{F73D179C-09FD-4F29-932D-C5387F3D3811}" name="FTHG" dataDxfId="24"/>
    <tableColumn id="7" xr3:uid="{23C9E071-0DBA-4A92-B822-22A2381F1741}" name="FTAG" dataDxfId="23"/>
    <tableColumn id="8" xr3:uid="{205DF395-BF01-4F12-8F22-B6D663579544}" name="FTR" dataDxfId="22"/>
    <tableColumn id="9" xr3:uid="{7F6EC73D-41BF-4386-9348-80739846B9AC}" name="ProbH" dataDxfId="21"/>
    <tableColumn id="10" xr3:uid="{73D080F7-1C0A-4514-8937-7A0F597718C1}" name="ProbD" dataDxfId="20"/>
    <tableColumn id="11" xr3:uid="{B4F83FA9-5ECD-4A74-B0E3-92EF92A21CFF}" name="ProbA" dataDxfId="19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C72373-10C5-4C21-83E0-6DE1973B3F93}" name="Table2" displayName="Table2" ref="H1:R39" totalsRowShown="0">
  <autoFilter ref="H1:R39" xr:uid="{B5C72373-10C5-4C21-83E0-6DE1973B3F93}"/>
  <sortState xmlns:xlrd2="http://schemas.microsoft.com/office/spreadsheetml/2017/richdata2" ref="H2:R39">
    <sortCondition ref="J1:J39"/>
  </sortState>
  <tableColumns count="11">
    <tableColumn id="1" xr3:uid="{0256F119-02E7-41BB-B7E3-F25DA937062B}" name="Season"/>
    <tableColumn id="2" xr3:uid="{38714870-3643-493D-8440-E24554964B2D}" name="Div"/>
    <tableColumn id="3" xr3:uid="{D17D0CFD-D72C-4235-94EA-6249432AD1CA}" name="Date" dataDxfId="18"/>
    <tableColumn id="4" xr3:uid="{AC78162C-2184-4C5E-BD4C-67AE14815DD5}" name="HomeTeam"/>
    <tableColumn id="5" xr3:uid="{5FB0E48F-4D13-43B3-856B-6564B42D7E6F}" name="AwayTeam"/>
    <tableColumn id="6" xr3:uid="{AD4C2D6A-ED09-4CAE-AD59-C9C33A845B60}" name="FTHG"/>
    <tableColumn id="7" xr3:uid="{5E562F9A-A62C-493D-930B-E7A8DABDE208}" name="FTAG"/>
    <tableColumn id="8" xr3:uid="{7087A2AA-8B5B-4969-90EC-A7B2AF4EC82B}" name="FTR"/>
    <tableColumn id="9" xr3:uid="{4FFF0370-4FF8-4547-8387-F967A6997F32}" name="ProbH"/>
    <tableColumn id="10" xr3:uid="{B62B40BE-617F-4F24-8C20-928D6523FA94}" name="ProbD"/>
    <tableColumn id="11" xr3:uid="{AE3016E4-2710-4EDA-BC8B-93DF2D22BA28}" name="Prob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FC65C83-2C2D-4FA8-BE24-E19D28A2B3BD}" name="Table3" displayName="Table3" ref="G1:Q39" totalsRowShown="0">
  <autoFilter ref="G1:Q39" xr:uid="{1FC65C83-2C2D-4FA8-BE24-E19D28A2B3BD}"/>
  <sortState xmlns:xlrd2="http://schemas.microsoft.com/office/spreadsheetml/2017/richdata2" ref="G2:Q39">
    <sortCondition ref="I1:I39"/>
  </sortState>
  <tableColumns count="11">
    <tableColumn id="1" xr3:uid="{744D6517-46C0-4E15-AF2D-833281A6B763}" name="Season"/>
    <tableColumn id="2" xr3:uid="{AE45E894-3EB5-43F7-B8C5-88410A86CAA5}" name="Div"/>
    <tableColumn id="3" xr3:uid="{8391FEEE-F6DA-430F-B335-E15216E93C97}" name="Date" dataDxfId="17"/>
    <tableColumn id="4" xr3:uid="{F3A6D458-0DD9-4103-8916-5AF53073B805}" name="HomeTeam"/>
    <tableColumn id="5" xr3:uid="{1B431988-FB91-4D23-85E9-625DB28A08AC}" name="AwayTeam"/>
    <tableColumn id="6" xr3:uid="{69ED9A9D-0D6C-4916-B52A-FD87FEAB77C2}" name="FTHG"/>
    <tableColumn id="7" xr3:uid="{BA31E107-80D1-48A9-82E8-5AB604AF0568}" name="FTAG"/>
    <tableColumn id="8" xr3:uid="{398839D1-A90D-46D9-B9F1-8613319DE426}" name="FTR"/>
    <tableColumn id="9" xr3:uid="{1D7603AB-8F4A-45CA-88BF-3D19FE2BD5B3}" name="ProbH"/>
    <tableColumn id="10" xr3:uid="{E71E9065-231C-47A0-AB6A-5093E99B6314}" name="ProbD"/>
    <tableColumn id="11" xr3:uid="{FC99C6EB-2B79-4CAA-B45C-62E41032C77B}" name="Prob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3D70E0-3FB3-4EC4-A9FC-1A6502D40A0F}" name="Table4" displayName="Table4" ref="G1:S39" totalsRowShown="0">
  <autoFilter ref="G1:S39" xr:uid="{0E3D70E0-3FB3-4EC4-A9FC-1A6502D40A0F}"/>
  <sortState xmlns:xlrd2="http://schemas.microsoft.com/office/spreadsheetml/2017/richdata2" ref="G2:O38">
    <sortCondition ref="G1:G38"/>
  </sortState>
  <tableColumns count="13">
    <tableColumn id="4" xr3:uid="{E2095520-4EBA-44E3-8282-8E2D8C4FD456}" name="Date" dataDxfId="16"/>
    <tableColumn id="5" xr3:uid="{0C54EB30-DB88-4B6A-BDE9-9686C2054156}" name="HomeTeam"/>
    <tableColumn id="6" xr3:uid="{C9C22E9E-0B8B-4D5E-A2EC-C18283097DBC}" name="AwayTeam"/>
    <tableColumn id="7" xr3:uid="{EE631144-38F8-478B-B52B-EC07F0CF15AF}" name="FTHG"/>
    <tableColumn id="8" xr3:uid="{20FD84F8-A269-4419-8C55-E9851B590743}" name="FTAG"/>
    <tableColumn id="9" xr3:uid="{75383FF9-8A13-4526-A68F-79FDD8D23A10}" name="FTR"/>
    <tableColumn id="10" xr3:uid="{0D37C0FD-FA8C-42C7-923C-A28C0F85CC59}" name="OddH" dataDxfId="15">
      <calculatedColumnFormula>1/Table4[[#This Row],[ProbH]]-Table4[[#This Row],[Margin]]</calculatedColumnFormula>
    </tableColumn>
    <tableColumn id="11" xr3:uid="{3971AAAF-0CA1-49DD-9E59-C04BF382810E}" name="OddD" dataDxfId="14">
      <calculatedColumnFormula>1/Table4[[#This Row],[ProbD]]-Table4[[#This Row],[Margin]]</calculatedColumnFormula>
    </tableColumn>
    <tableColumn id="12" xr3:uid="{F3486859-80D1-4DCC-9CEB-86FABE5D0F16}" name="OddA" dataDxfId="13">
      <calculatedColumnFormula>1/Table4[[#This Row],[ProbA]]-Table4[[#This Row],[Margin]]</calculatedColumnFormula>
    </tableColumn>
    <tableColumn id="13" xr3:uid="{AE3D9BC0-B2AE-447F-B09F-69F234537EF8}" name="Margin" dataDxfId="12">
      <calculatedColumnFormula>(1/Table4[[#This Row],[ProbH]]+1/Table4[[#This Row],[ProbD]]+1/Table4[[#This Row],[ProbA]]-1)/3</calculatedColumnFormula>
    </tableColumn>
    <tableColumn id="14" xr3:uid="{30733C7D-B5B7-4F89-9815-93617429B7A7}" name="ProbH" dataDxfId="11"/>
    <tableColumn id="15" xr3:uid="{EDEDD4AE-A971-4D93-880A-ED49BD4AA60A}" name="ProbD"/>
    <tableColumn id="16" xr3:uid="{940B3C6E-7613-4D3A-8E31-32E780D9A673}" name="Prob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EF0060-85BE-4EB7-B350-7F18A77EE6DB}" name="Table5" displayName="Table5" ref="G1:S39" totalsRowShown="0">
  <autoFilter ref="G1:S39" xr:uid="{D8EF0060-85BE-4EB7-B350-7F18A77EE6DB}"/>
  <sortState xmlns:xlrd2="http://schemas.microsoft.com/office/spreadsheetml/2017/richdata2" ref="G2:S39">
    <sortCondition ref="G1:G39"/>
  </sortState>
  <tableColumns count="13">
    <tableColumn id="1" xr3:uid="{CEC35E11-C7D7-4159-8360-A203987580E5}" name="Date" dataDxfId="10"/>
    <tableColumn id="2" xr3:uid="{A67FD7D5-0FE2-40F2-89F7-5D66E8C8590A}" name="HomeTeam"/>
    <tableColumn id="3" xr3:uid="{F542125E-7889-41EC-9D6F-C4326D60B8AB}" name="AwayTeam"/>
    <tableColumn id="4" xr3:uid="{B90AD26D-3592-4AE6-AC2D-36D2085B6F1D}" name="FTHG"/>
    <tableColumn id="5" xr3:uid="{EC8AEF3A-70AC-4D3F-AFBD-48478E746D72}" name="FTAG"/>
    <tableColumn id="6" xr3:uid="{63E178C8-2484-4A60-B307-4AB3FDE2D50B}" name="FTR"/>
    <tableColumn id="7" xr3:uid="{4253CDAD-D2CD-4445-8978-2FD6C628285F}" name="OddH" dataDxfId="9">
      <calculatedColumnFormula>1/Table5[[#This Row],[ProbH]]-Table5[[#This Row],[Margin]]</calculatedColumnFormula>
    </tableColumn>
    <tableColumn id="8" xr3:uid="{E512D786-17EC-45F2-A8CB-1DB4B50A1138}" name="OddD" dataDxfId="8">
      <calculatedColumnFormula>1/Table5[[#This Row],[ProbD]]-Table5[[#This Row],[Margin]]</calculatedColumnFormula>
    </tableColumn>
    <tableColumn id="9" xr3:uid="{588696D6-9629-48E0-ACA6-25866B8B26AD}" name="OddA" dataDxfId="7">
      <calculatedColumnFormula>1/Table5[[#This Row],[ProbA]]-Table5[[#This Row],[Margin]]</calculatedColumnFormula>
    </tableColumn>
    <tableColumn id="10" xr3:uid="{A5BFEC2E-49A5-4972-A205-9DCD080CB621}" name="Margin" dataDxfId="6">
      <calculatedColumnFormula>(1/Table5[[#This Row],[ProbH]]+1/Table5[[#This Row],[ProbD]]+1/Table5[[#This Row],[ProbA]]-1)/3</calculatedColumnFormula>
    </tableColumn>
    <tableColumn id="11" xr3:uid="{87D9A12B-771F-4AC5-A4A8-F0561DB1DF58}" name="ProbH"/>
    <tableColumn id="12" xr3:uid="{C025FE13-1446-4332-B242-4D9CFFAE46FF}" name="ProbD"/>
    <tableColumn id="13" xr3:uid="{9CEB21CA-1131-490E-A404-3C8D75DA0274}" name="Prob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2C16DE8-A721-46BA-94CA-A4F2C8267B7F}" name="Table6" displayName="Table6" ref="G1:S39" totalsRowShown="0">
  <autoFilter ref="G1:S39" xr:uid="{D2C16DE8-A721-46BA-94CA-A4F2C8267B7F}"/>
  <sortState xmlns:xlrd2="http://schemas.microsoft.com/office/spreadsheetml/2017/richdata2" ref="G2:S39">
    <sortCondition ref="G1:G39"/>
  </sortState>
  <tableColumns count="13">
    <tableColumn id="1" xr3:uid="{EB72F091-BCB4-4296-860B-954A9A19A8FF}" name="Date" dataDxfId="5"/>
    <tableColumn id="2" xr3:uid="{9E887792-9D95-406F-9326-11CE8C51FB7B}" name="HomeTeam"/>
    <tableColumn id="3" xr3:uid="{E4083B11-A3BB-4C17-9EE4-3F2A80C99A94}" name="AwayTeam"/>
    <tableColumn id="4" xr3:uid="{489D4F8A-5D82-44DC-AE70-12ECE3ADDBD5}" name="FTHG"/>
    <tableColumn id="5" xr3:uid="{2D932295-31C9-4DBD-A592-2CF815899981}" name="FTAG"/>
    <tableColumn id="6" xr3:uid="{FA4370E8-5CF0-4003-A5A5-4775C5C9C906}" name="FTR"/>
    <tableColumn id="7" xr3:uid="{84C38536-3A6D-4A58-BC06-5F1AFEF1A365}" name="OddH"/>
    <tableColumn id="8" xr3:uid="{FF3227BA-DCDF-4FE3-A1A6-8278F98BBACC}" name="OddD"/>
    <tableColumn id="9" xr3:uid="{D87613ED-68EF-4576-A972-E8B791D27B7E}" name="OddA"/>
    <tableColumn id="10" xr3:uid="{818D75DF-5CCB-4949-86E6-C6E78FC7429F}" name="Margin" dataDxfId="4">
      <calculatedColumnFormula>(1/Table6[[#This Row],[OddH]]+1/Table6[[#This Row],[OddD]]+1/Table6[[#This Row],[OddA]]-1)/3</calculatedColumnFormula>
    </tableColumn>
    <tableColumn id="11" xr3:uid="{C2682719-210C-4F30-85F1-BEBAC8A40125}" name="ProbH" dataDxfId="3">
      <calculatedColumnFormula>1/Table6[[#This Row],[OddH]]-Table6[[#This Row],[Margin]]</calculatedColumnFormula>
    </tableColumn>
    <tableColumn id="12" xr3:uid="{8C4FD864-0601-4DC3-9D9D-84C2F51706F9}" name="ProbD" dataDxfId="2">
      <calculatedColumnFormula>1/Table6[[#This Row],[OddD]]-Table6[[#This Row],[Margin]]</calculatedColumnFormula>
    </tableColumn>
    <tableColumn id="13" xr3:uid="{5CB3C05C-4193-436A-87D4-09027ADC9E59}" name="ProbA" dataDxfId="1">
      <calculatedColumnFormula>1/Table6[[#This Row],[OddA]]-Table6[[#This Row],[Margin]]</calculatedColumnFormula>
    </tableColumn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155E75-639D-4B3F-B595-3E51EEFE6EEC}" name="Table7" displayName="Table7" ref="B1:E21" totalsRowShown="0">
  <autoFilter ref="B1:E21" xr:uid="{CD155E75-639D-4B3F-B595-3E51EEFE6EEC}"/>
  <sortState xmlns:xlrd2="http://schemas.microsoft.com/office/spreadsheetml/2017/richdata2" ref="B2:D21">
    <sortCondition descending="1" ref="C1:C21"/>
  </sortState>
  <tableColumns count="4">
    <tableColumn id="1" xr3:uid="{C64D79BE-14F3-4E6D-B8F0-A40B7FDEC99E}" name="Equipo"/>
    <tableColumn id="2" xr3:uid="{1C19A96C-D997-4050-A872-39861F6A1DFC}" name="Puntos Obtenidos"/>
    <tableColumn id="3" xr3:uid="{B5E81DE1-41DC-456E-8E91-CAE4F3A3823C}" name="Puntos Esperados"/>
    <tableColumn id="4" xr3:uid="{DDE465C9-5AE7-43C1-BBF3-ED95BED384A3}" name="Ratio" dataCellStyle="Percent">
      <calculatedColumnFormula>Table7[[#This Row],[Puntos Obtenidos]]/Table7[[#This Row],[Puntos Esperados]]</calculatedColumnFormula>
    </tableColumn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20C8628-84A4-478B-89F0-D9BBACBC30C3}" name="Table8" displayName="Table8" ref="B26:E46" totalsRowShown="0">
  <autoFilter ref="B26:E46" xr:uid="{D20C8628-84A4-478B-89F0-D9BBACBC30C3}"/>
  <sortState xmlns:xlrd2="http://schemas.microsoft.com/office/spreadsheetml/2017/richdata2" ref="B27:E46">
    <sortCondition descending="1" ref="C26:C46"/>
  </sortState>
  <tableColumns count="4">
    <tableColumn id="1" xr3:uid="{2E9E9C4B-FC29-49DD-9DBC-EC85BD3355C5}" name="Equipo"/>
    <tableColumn id="2" xr3:uid="{234280FB-0F50-4975-AD23-C1F5B9DAE67E}" name="Puntos Obtenidos"/>
    <tableColumn id="3" xr3:uid="{E90D3B81-04E3-492B-ACD9-E2AC4435AC5F}" name="Puntos Esperados"/>
    <tableColumn id="4" xr3:uid="{18250EA7-AB3C-4E47-95A3-347FCF77328C}" name="Performance" dataDxfId="0" dataCellStyle="Percent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drawing" Target="../drawings/drawing15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55FD4-F6E9-4A79-9C13-6234C9A8116B}">
  <dimension ref="A1:M42"/>
  <sheetViews>
    <sheetView topLeftCell="A4" workbookViewId="0">
      <selection activeCell="F13" sqref="F13"/>
    </sheetView>
  </sheetViews>
  <sheetFormatPr defaultRowHeight="14.25" x14ac:dyDescent="0.45"/>
  <cols>
    <col min="1" max="1" width="29.19921875" bestFit="1" customWidth="1"/>
    <col min="2" max="2" width="19.796875" customWidth="1"/>
    <col min="3" max="3" width="18.9296875" bestFit="1" customWidth="1"/>
    <col min="4" max="4" width="17" customWidth="1"/>
    <col min="5" max="5" width="21.1328125" customWidth="1"/>
    <col min="6" max="6" width="20.3984375" customWidth="1"/>
    <col min="7" max="7" width="17.9296875" bestFit="1" customWidth="1"/>
    <col min="8" max="8" width="9.59765625" customWidth="1"/>
    <col min="9" max="9" width="13.3984375" customWidth="1"/>
  </cols>
  <sheetData>
    <row r="1" spans="1:13" x14ac:dyDescent="0.45"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5</v>
      </c>
    </row>
    <row r="2" spans="1:13" x14ac:dyDescent="0.45">
      <c r="A2" t="s">
        <v>0</v>
      </c>
      <c r="B2" s="1">
        <v>421000000</v>
      </c>
      <c r="C2" s="1">
        <v>48000000</v>
      </c>
      <c r="D2">
        <v>1.35</v>
      </c>
      <c r="E2" s="1">
        <f>(B2+C2)*D2</f>
        <v>633150000</v>
      </c>
      <c r="F2">
        <v>20.68</v>
      </c>
      <c r="G2" s="2">
        <f>E2*F2</f>
        <v>13093542000</v>
      </c>
      <c r="H2" s="2"/>
      <c r="I2" s="2"/>
    </row>
    <row r="3" spans="1:13" x14ac:dyDescent="0.45">
      <c r="B3" s="1">
        <v>16000000</v>
      </c>
      <c r="C3" s="1">
        <v>0</v>
      </c>
      <c r="D3">
        <v>1.35</v>
      </c>
      <c r="E3" s="1">
        <f>(B3+C3)*D3</f>
        <v>21600000</v>
      </c>
      <c r="F3">
        <v>20.68</v>
      </c>
      <c r="G3" s="2">
        <f>E3*F3</f>
        <v>446688000</v>
      </c>
    </row>
    <row r="4" spans="1:13" ht="14.65" thickBot="1" x14ac:dyDescent="0.5"/>
    <row r="5" spans="1:13" ht="45" customHeight="1" thickTop="1" thickBot="1" x14ac:dyDescent="0.5">
      <c r="B5" s="14" t="s">
        <v>39</v>
      </c>
      <c r="C5" s="18">
        <v>13093542000</v>
      </c>
    </row>
    <row r="6" spans="1:13" ht="15" thickTop="1" thickBot="1" x14ac:dyDescent="0.5"/>
    <row r="7" spans="1:13" ht="31.9" customHeight="1" thickTop="1" thickBot="1" x14ac:dyDescent="0.5">
      <c r="A7" s="15" t="s">
        <v>26</v>
      </c>
      <c r="B7" s="15" t="s">
        <v>5</v>
      </c>
      <c r="C7" s="15" t="s">
        <v>27</v>
      </c>
      <c r="D7" s="16" t="s">
        <v>31</v>
      </c>
      <c r="E7" s="16" t="s">
        <v>32</v>
      </c>
      <c r="F7" s="16" t="s">
        <v>33</v>
      </c>
      <c r="J7" s="17" t="s">
        <v>30</v>
      </c>
      <c r="K7" s="17" t="s">
        <v>29</v>
      </c>
      <c r="L7" s="12" t="s">
        <v>30</v>
      </c>
      <c r="M7" s="12" t="s">
        <v>29</v>
      </c>
    </row>
    <row r="8" spans="1:13" ht="15" thickTop="1" thickBot="1" x14ac:dyDescent="0.5">
      <c r="A8" s="6" t="s">
        <v>9</v>
      </c>
      <c r="B8" s="4">
        <v>2605680000</v>
      </c>
      <c r="C8" s="5">
        <v>0.19900497512437812</v>
      </c>
      <c r="D8" s="10">
        <f>1/C8</f>
        <v>5.0249999999999995</v>
      </c>
      <c r="E8" s="13" t="str">
        <f>_xlfn.CONCAT(L8," years, ",M8," days")</f>
        <v>5 years, 9 days</v>
      </c>
      <c r="F8" s="13" t="str">
        <f>_xlfn.CONCAT(J8," years, ",K8, " days")</f>
        <v>0 years, 72 days</v>
      </c>
      <c r="I8">
        <f t="shared" ref="I8:I15" si="0">1/D8</f>
        <v>0.19900497512437812</v>
      </c>
      <c r="J8">
        <f t="shared" ref="J8:J20" si="1">INT(I8)</f>
        <v>0</v>
      </c>
      <c r="K8">
        <f t="shared" ref="K8:K20" si="2">INT((I8-J8)*365)</f>
        <v>72</v>
      </c>
      <c r="L8" s="11">
        <f>INT(D8)</f>
        <v>5</v>
      </c>
      <c r="M8">
        <f>INT((D8-L8)*365)</f>
        <v>9</v>
      </c>
    </row>
    <row r="9" spans="1:13" ht="15" thickTop="1" thickBot="1" x14ac:dyDescent="0.5">
      <c r="A9" s="6" t="s">
        <v>10</v>
      </c>
      <c r="B9" s="4">
        <v>2419560000</v>
      </c>
      <c r="C9" s="5">
        <v>0.18479033404406539</v>
      </c>
      <c r="D9" s="10">
        <f>1/C9</f>
        <v>5.4115384615384619</v>
      </c>
      <c r="E9" s="13" t="str">
        <f t="shared" ref="E9:E20" si="3">_xlfn.CONCAT(L9," years, ",M9," days")</f>
        <v>5 years, 150 days</v>
      </c>
      <c r="F9" s="13" t="str">
        <f t="shared" ref="F9:F20" si="4">_xlfn.CONCAT(J9," years, ",K9, " days")</f>
        <v>0 years, 67 days</v>
      </c>
      <c r="I9">
        <f t="shared" si="0"/>
        <v>0.18479033404406536</v>
      </c>
      <c r="J9">
        <f t="shared" si="1"/>
        <v>0</v>
      </c>
      <c r="K9">
        <f t="shared" si="2"/>
        <v>67</v>
      </c>
      <c r="L9" s="11">
        <f t="shared" ref="L9:L20" si="5">INT(D9)</f>
        <v>5</v>
      </c>
      <c r="M9">
        <f t="shared" ref="M9:M20" si="6">INT((D9-L9)*365)</f>
        <v>150</v>
      </c>
    </row>
    <row r="10" spans="1:13" ht="15" thickTop="1" thickBot="1" x14ac:dyDescent="0.5">
      <c r="A10" s="6" t="s">
        <v>24</v>
      </c>
      <c r="B10" s="4">
        <v>1985280000</v>
      </c>
      <c r="C10" s="5">
        <v>0.15162283819000236</v>
      </c>
      <c r="D10" s="10">
        <f>1/C10</f>
        <v>6.5953125000000004</v>
      </c>
      <c r="E10" s="13" t="str">
        <f t="shared" si="3"/>
        <v>6 years, 217 days</v>
      </c>
      <c r="F10" s="13" t="str">
        <f t="shared" si="4"/>
        <v>0 years, 55 days</v>
      </c>
      <c r="I10">
        <f t="shared" si="0"/>
        <v>0.15162283819000236</v>
      </c>
      <c r="J10">
        <f t="shared" si="1"/>
        <v>0</v>
      </c>
      <c r="K10">
        <f t="shared" si="2"/>
        <v>55</v>
      </c>
      <c r="L10" s="11">
        <f t="shared" si="5"/>
        <v>6</v>
      </c>
      <c r="M10">
        <f t="shared" si="6"/>
        <v>217</v>
      </c>
    </row>
    <row r="11" spans="1:13" ht="15" thickTop="1" thickBot="1" x14ac:dyDescent="0.5">
      <c r="A11" s="6" t="s">
        <v>25</v>
      </c>
      <c r="B11" s="4">
        <v>868560000</v>
      </c>
      <c r="C11" s="5">
        <v>6.633499170812604E-2</v>
      </c>
      <c r="D11" s="10">
        <f>1/C11</f>
        <v>15.074999999999999</v>
      </c>
      <c r="E11" s="13" t="str">
        <f t="shared" si="3"/>
        <v>15 years, 27 days</v>
      </c>
      <c r="F11" s="13" t="str">
        <f t="shared" si="4"/>
        <v>0 years, 24 days</v>
      </c>
      <c r="I11">
        <f t="shared" si="0"/>
        <v>6.633499170812604E-2</v>
      </c>
      <c r="J11">
        <f t="shared" si="1"/>
        <v>0</v>
      </c>
      <c r="K11">
        <f t="shared" si="2"/>
        <v>24</v>
      </c>
      <c r="L11" s="11">
        <f t="shared" si="5"/>
        <v>15</v>
      </c>
      <c r="M11">
        <f t="shared" si="6"/>
        <v>27</v>
      </c>
    </row>
    <row r="12" spans="1:13" ht="15" thickTop="1" thickBot="1" x14ac:dyDescent="0.5">
      <c r="A12" s="6" t="s">
        <v>28</v>
      </c>
      <c r="B12" s="4">
        <v>11787600000</v>
      </c>
      <c r="C12" s="5">
        <v>0.90026060175313904</v>
      </c>
      <c r="D12" s="10">
        <f>1/C12</f>
        <v>1.1107894736842105</v>
      </c>
      <c r="E12" s="13" t="str">
        <f t="shared" si="3"/>
        <v>1 years, 40 days</v>
      </c>
      <c r="F12" s="13" t="str">
        <f t="shared" si="4"/>
        <v>0 years, 328 days</v>
      </c>
      <c r="I12">
        <f t="shared" si="0"/>
        <v>0.90026060175313904</v>
      </c>
      <c r="J12">
        <f t="shared" si="1"/>
        <v>0</v>
      </c>
      <c r="K12">
        <f t="shared" si="2"/>
        <v>328</v>
      </c>
      <c r="L12" s="11">
        <f t="shared" si="5"/>
        <v>1</v>
      </c>
      <c r="M12">
        <f t="shared" si="6"/>
        <v>40</v>
      </c>
    </row>
    <row r="13" spans="1:13" ht="15" thickTop="1" thickBot="1" x14ac:dyDescent="0.5">
      <c r="A13" s="6" t="s">
        <v>7</v>
      </c>
      <c r="B13" s="4">
        <v>9306000000</v>
      </c>
      <c r="C13" s="7">
        <v>0.71073205401563611</v>
      </c>
      <c r="D13" s="10">
        <v>1.407</v>
      </c>
      <c r="E13" s="13" t="str">
        <f t="shared" si="3"/>
        <v>1 years, 148 days</v>
      </c>
      <c r="F13" s="13" t="str">
        <f t="shared" si="4"/>
        <v>0 years, 259 days</v>
      </c>
      <c r="I13">
        <f t="shared" si="0"/>
        <v>0.71073205401563611</v>
      </c>
      <c r="J13">
        <f t="shared" si="1"/>
        <v>0</v>
      </c>
      <c r="K13">
        <f t="shared" si="2"/>
        <v>259</v>
      </c>
      <c r="L13" s="11">
        <f t="shared" si="5"/>
        <v>1</v>
      </c>
      <c r="M13">
        <f t="shared" si="6"/>
        <v>148</v>
      </c>
    </row>
    <row r="14" spans="1:13" ht="15" hidden="1" thickTop="1" thickBot="1" x14ac:dyDescent="0.5">
      <c r="A14" s="6" t="s">
        <v>38</v>
      </c>
      <c r="B14" s="4">
        <v>836400000000</v>
      </c>
      <c r="C14" s="7">
        <v>63.878819039187412</v>
      </c>
      <c r="D14" s="8">
        <f>1/C14</f>
        <v>1.5654641319942611E-2</v>
      </c>
      <c r="E14" s="13" t="str">
        <f t="shared" si="3"/>
        <v>0 years, 5 days</v>
      </c>
      <c r="F14" s="13" t="str">
        <f t="shared" si="4"/>
        <v>63 years, 320 days</v>
      </c>
      <c r="I14">
        <f t="shared" si="0"/>
        <v>63.878819039187412</v>
      </c>
      <c r="J14">
        <f t="shared" si="1"/>
        <v>63</v>
      </c>
      <c r="K14">
        <f t="shared" si="2"/>
        <v>320</v>
      </c>
      <c r="L14" s="11">
        <f t="shared" si="5"/>
        <v>0</v>
      </c>
      <c r="M14">
        <f t="shared" si="6"/>
        <v>5</v>
      </c>
    </row>
    <row r="15" spans="1:13" ht="15" hidden="1" thickTop="1" thickBot="1" x14ac:dyDescent="0.5">
      <c r="A15" s="6" t="s">
        <v>37</v>
      </c>
      <c r="B15" s="4">
        <v>634388200000</v>
      </c>
      <c r="C15" s="7">
        <v>48.450465122424475</v>
      </c>
      <c r="D15" s="8">
        <f t="shared" ref="D15:D20" si="7">1/C15</f>
        <v>2.0639636739775424E-2</v>
      </c>
      <c r="E15" s="13" t="str">
        <f t="shared" si="3"/>
        <v>0 years, 7 days</v>
      </c>
      <c r="F15" s="13" t="str">
        <f t="shared" si="4"/>
        <v>48 years, 164 days</v>
      </c>
      <c r="I15">
        <f t="shared" si="0"/>
        <v>48.450465122424475</v>
      </c>
      <c r="J15">
        <f t="shared" si="1"/>
        <v>48</v>
      </c>
      <c r="K15">
        <f t="shared" si="2"/>
        <v>164</v>
      </c>
      <c r="L15" s="11">
        <f t="shared" si="5"/>
        <v>0</v>
      </c>
      <c r="M15">
        <f t="shared" si="6"/>
        <v>7</v>
      </c>
    </row>
    <row r="16" spans="1:13" ht="15" thickTop="1" thickBot="1" x14ac:dyDescent="0.5">
      <c r="A16" s="19" t="s">
        <v>36</v>
      </c>
      <c r="B16" s="4">
        <v>13367480531</v>
      </c>
      <c r="C16" s="7">
        <v>1.0209216521396578</v>
      </c>
      <c r="D16" s="8">
        <v>0.97950709332512431</v>
      </c>
      <c r="E16" s="13" t="str">
        <f t="shared" si="3"/>
        <v>0 years, 357 days</v>
      </c>
      <c r="F16" s="13" t="str">
        <f t="shared" si="4"/>
        <v>0 years, 357 days</v>
      </c>
      <c r="I16">
        <v>0.97950709332512431</v>
      </c>
      <c r="J16">
        <f t="shared" si="1"/>
        <v>0</v>
      </c>
      <c r="K16">
        <f t="shared" si="2"/>
        <v>357</v>
      </c>
      <c r="L16" s="11">
        <f t="shared" si="5"/>
        <v>0</v>
      </c>
      <c r="M16">
        <f t="shared" si="6"/>
        <v>357</v>
      </c>
    </row>
    <row r="17" spans="1:13" ht="15" thickTop="1" thickBot="1" x14ac:dyDescent="0.5">
      <c r="A17" s="6" t="s">
        <v>17</v>
      </c>
      <c r="B17" s="4">
        <v>200000000000</v>
      </c>
      <c r="C17" s="7">
        <v>15.274705652603398</v>
      </c>
      <c r="D17" s="8">
        <f t="shared" si="7"/>
        <v>6.5467709999999998E-2</v>
      </c>
      <c r="E17" s="13" t="str">
        <f t="shared" si="3"/>
        <v>0 years, 23 days</v>
      </c>
      <c r="F17" s="13" t="str">
        <f t="shared" si="4"/>
        <v>15 years, 100 days</v>
      </c>
      <c r="I17">
        <f>1/D17</f>
        <v>15.274705652603398</v>
      </c>
      <c r="J17">
        <f t="shared" si="1"/>
        <v>15</v>
      </c>
      <c r="K17">
        <f t="shared" si="2"/>
        <v>100</v>
      </c>
      <c r="L17" s="11">
        <f t="shared" si="5"/>
        <v>0</v>
      </c>
      <c r="M17">
        <f t="shared" si="6"/>
        <v>23</v>
      </c>
    </row>
    <row r="18" spans="1:13" ht="15" thickTop="1" thickBot="1" x14ac:dyDescent="0.5">
      <c r="A18" s="6" t="s">
        <v>18</v>
      </c>
      <c r="B18" s="4">
        <v>1304000000</v>
      </c>
      <c r="C18" s="7">
        <v>9.9591080854974159E-2</v>
      </c>
      <c r="D18" s="9">
        <f t="shared" si="7"/>
        <v>10.04105981595092</v>
      </c>
      <c r="E18" s="13" t="str">
        <f t="shared" si="3"/>
        <v>10 years, 14 days</v>
      </c>
      <c r="F18" s="13" t="str">
        <f t="shared" si="4"/>
        <v>0 years, 36 days</v>
      </c>
      <c r="I18">
        <f>1/D18</f>
        <v>9.9591080854974159E-2</v>
      </c>
      <c r="J18">
        <f t="shared" si="1"/>
        <v>0</v>
      </c>
      <c r="K18">
        <f t="shared" si="2"/>
        <v>36</v>
      </c>
      <c r="L18" s="11">
        <f t="shared" si="5"/>
        <v>10</v>
      </c>
      <c r="M18">
        <f t="shared" si="6"/>
        <v>14</v>
      </c>
    </row>
    <row r="19" spans="1:13" ht="15" thickTop="1" thickBot="1" x14ac:dyDescent="0.5">
      <c r="A19" s="6" t="s">
        <v>21</v>
      </c>
      <c r="B19" s="4">
        <v>35421000000</v>
      </c>
      <c r="C19" s="7">
        <v>2.705226744604325</v>
      </c>
      <c r="D19" s="9">
        <f t="shared" si="7"/>
        <v>0.36965478106208177</v>
      </c>
      <c r="E19" s="13" t="str">
        <f t="shared" si="3"/>
        <v>0 years, 134 days</v>
      </c>
      <c r="F19" s="13" t="str">
        <f t="shared" si="4"/>
        <v>2 years, 257 days</v>
      </c>
      <c r="I19">
        <f>1/D19</f>
        <v>2.705226744604325</v>
      </c>
      <c r="J19">
        <f t="shared" si="1"/>
        <v>2</v>
      </c>
      <c r="K19">
        <f t="shared" si="2"/>
        <v>257</v>
      </c>
      <c r="L19" s="11">
        <f t="shared" si="5"/>
        <v>0</v>
      </c>
      <c r="M19">
        <f t="shared" si="6"/>
        <v>134</v>
      </c>
    </row>
    <row r="20" spans="1:13" ht="15" thickTop="1" thickBot="1" x14ac:dyDescent="0.5">
      <c r="A20" s="6" t="s">
        <v>34</v>
      </c>
      <c r="B20" s="4">
        <v>5060142857.1428576</v>
      </c>
      <c r="C20" s="7">
        <v>0.38646096351490355</v>
      </c>
      <c r="D20" s="9">
        <f t="shared" si="7"/>
        <v>2.5875834674345728</v>
      </c>
      <c r="E20" s="13" t="str">
        <f t="shared" si="3"/>
        <v>2 years, 214 days</v>
      </c>
      <c r="F20" s="13" t="str">
        <f t="shared" si="4"/>
        <v>0 years, 141 days</v>
      </c>
      <c r="I20">
        <f>1/D20</f>
        <v>0.38646096351490355</v>
      </c>
      <c r="J20">
        <f t="shared" si="1"/>
        <v>0</v>
      </c>
      <c r="K20">
        <f t="shared" si="2"/>
        <v>141</v>
      </c>
      <c r="L20" s="11">
        <f t="shared" si="5"/>
        <v>2</v>
      </c>
      <c r="M20">
        <f t="shared" si="6"/>
        <v>214</v>
      </c>
    </row>
    <row r="21" spans="1:13" ht="14.65" thickTop="1" x14ac:dyDescent="0.45">
      <c r="B21" s="1"/>
      <c r="C21" s="3"/>
    </row>
    <row r="27" spans="1:13" x14ac:dyDescent="0.45">
      <c r="A27" t="s">
        <v>8</v>
      </c>
      <c r="B27" t="s">
        <v>1</v>
      </c>
      <c r="C27" t="s">
        <v>5</v>
      </c>
      <c r="D27" t="s">
        <v>12</v>
      </c>
    </row>
    <row r="28" spans="1:13" x14ac:dyDescent="0.45">
      <c r="A28" t="s">
        <v>9</v>
      </c>
      <c r="B28" s="1">
        <v>126000000</v>
      </c>
      <c r="C28" s="1">
        <f>B28*$F$2</f>
        <v>2605680000</v>
      </c>
      <c r="D28" s="3">
        <f>C28/$G$2</f>
        <v>0.19900497512437812</v>
      </c>
    </row>
    <row r="29" spans="1:13" x14ac:dyDescent="0.45">
      <c r="A29" t="s">
        <v>10</v>
      </c>
      <c r="B29" s="1">
        <v>117000000</v>
      </c>
      <c r="C29" s="1">
        <f>B29*$F$2</f>
        <v>2419560000</v>
      </c>
      <c r="D29" s="3">
        <f>C29/$G$2</f>
        <v>0.18479033404406539</v>
      </c>
    </row>
    <row r="30" spans="1:13" x14ac:dyDescent="0.45">
      <c r="A30" t="s">
        <v>24</v>
      </c>
      <c r="B30" s="1">
        <v>96000000</v>
      </c>
      <c r="C30" s="1">
        <f>B30*$F$2</f>
        <v>1985280000</v>
      </c>
      <c r="D30" s="3">
        <f>C30/$G$2</f>
        <v>0.15162283819000236</v>
      </c>
    </row>
    <row r="31" spans="1:13" x14ac:dyDescent="0.45">
      <c r="A31" t="s">
        <v>25</v>
      </c>
      <c r="B31" s="1">
        <v>42000000</v>
      </c>
      <c r="C31" s="1">
        <f>B31*$F$2</f>
        <v>868560000</v>
      </c>
      <c r="D31" s="3">
        <f>C31/$G$2</f>
        <v>6.633499170812604E-2</v>
      </c>
    </row>
    <row r="32" spans="1:13" x14ac:dyDescent="0.45">
      <c r="A32" t="s">
        <v>11</v>
      </c>
      <c r="B32" s="1">
        <v>570000000</v>
      </c>
      <c r="C32" s="1">
        <f>B32*$F$2</f>
        <v>11787600000</v>
      </c>
      <c r="D32" s="3">
        <f>C32/$G$2</f>
        <v>0.90026060175313904</v>
      </c>
      <c r="E32" t="s">
        <v>14</v>
      </c>
    </row>
    <row r="34" spans="1:6" x14ac:dyDescent="0.45">
      <c r="A34" t="s">
        <v>13</v>
      </c>
      <c r="B34" t="s">
        <v>4</v>
      </c>
      <c r="C34" t="s">
        <v>5</v>
      </c>
      <c r="D34" t="s">
        <v>12</v>
      </c>
      <c r="E34" t="s">
        <v>19</v>
      </c>
      <c r="F34" t="s">
        <v>20</v>
      </c>
    </row>
    <row r="35" spans="1:6" x14ac:dyDescent="0.45">
      <c r="A35" t="s">
        <v>7</v>
      </c>
      <c r="B35" s="1">
        <v>450000000</v>
      </c>
      <c r="C35" s="2">
        <f>B35*$F$2</f>
        <v>9306000000</v>
      </c>
      <c r="D35" s="3">
        <f>C35/$G$2</f>
        <v>0.71073205401563611</v>
      </c>
      <c r="E35">
        <f t="shared" ref="E35:E42" si="8">$G$2/C35</f>
        <v>1.407</v>
      </c>
    </row>
    <row r="36" spans="1:6" x14ac:dyDescent="0.45">
      <c r="A36" t="s">
        <v>15</v>
      </c>
      <c r="B36" s="1">
        <f>C36/$F$2</f>
        <v>40444874274.661507</v>
      </c>
      <c r="C36" s="1">
        <v>836400000000</v>
      </c>
      <c r="D36" s="3">
        <f t="shared" ref="D36:D42" si="9">C36/$G$2</f>
        <v>63.878819039187412</v>
      </c>
      <c r="E36">
        <f t="shared" si="8"/>
        <v>1.5654641319942611E-2</v>
      </c>
    </row>
    <row r="37" spans="1:6" x14ac:dyDescent="0.45">
      <c r="A37" t="s">
        <v>16</v>
      </c>
      <c r="B37" s="1">
        <f>C37/$F$2</f>
        <v>30676411992.263058</v>
      </c>
      <c r="C37" s="1">
        <v>634388200000</v>
      </c>
      <c r="D37" s="3">
        <f t="shared" si="9"/>
        <v>48.450465122424475</v>
      </c>
      <c r="E37">
        <f t="shared" si="8"/>
        <v>2.0639636739775424E-2</v>
      </c>
    </row>
    <row r="38" spans="1:6" x14ac:dyDescent="0.45">
      <c r="A38" t="s">
        <v>17</v>
      </c>
      <c r="B38" s="1">
        <f>C38/$F$2</f>
        <v>9671179883.9458408</v>
      </c>
      <c r="C38" s="1">
        <v>200000000000</v>
      </c>
      <c r="D38" s="3">
        <f t="shared" si="9"/>
        <v>15.274705652603398</v>
      </c>
      <c r="E38">
        <f t="shared" si="8"/>
        <v>6.5467709999999998E-2</v>
      </c>
    </row>
    <row r="39" spans="1:6" x14ac:dyDescent="0.45">
      <c r="A39" t="s">
        <v>18</v>
      </c>
      <c r="B39" s="1">
        <f>C39/$F$2</f>
        <v>63056092.843326889</v>
      </c>
      <c r="C39" s="1">
        <v>1304000000</v>
      </c>
      <c r="D39" s="3">
        <f t="shared" si="9"/>
        <v>9.9591080854974159E-2</v>
      </c>
      <c r="E39">
        <f t="shared" si="8"/>
        <v>10.04105981595092</v>
      </c>
    </row>
    <row r="40" spans="1:6" x14ac:dyDescent="0.45">
      <c r="A40" t="s">
        <v>21</v>
      </c>
      <c r="B40" s="1">
        <f>C40/$F$2</f>
        <v>2901353965.1837525</v>
      </c>
      <c r="C40" s="1">
        <v>60000000000</v>
      </c>
      <c r="D40" s="3">
        <f t="shared" si="9"/>
        <v>4.582411695781019</v>
      </c>
      <c r="E40">
        <f t="shared" si="8"/>
        <v>0.21822569999999999</v>
      </c>
      <c r="F40" t="s">
        <v>23</v>
      </c>
    </row>
    <row r="41" spans="1:6" x14ac:dyDescent="0.45">
      <c r="A41" t="s">
        <v>22</v>
      </c>
      <c r="B41" s="2">
        <f>B40/7</f>
        <v>414479137.88339323</v>
      </c>
      <c r="C41" s="2">
        <f>C40/7</f>
        <v>8571428571.4285717</v>
      </c>
      <c r="D41" s="3">
        <f t="shared" si="9"/>
        <v>0.65463024225443134</v>
      </c>
      <c r="E41">
        <f t="shared" si="8"/>
        <v>1.5275798999999999</v>
      </c>
    </row>
    <row r="42" spans="1:6" x14ac:dyDescent="0.45">
      <c r="A42" t="s">
        <v>35</v>
      </c>
      <c r="B42" s="2">
        <f>B41/7</f>
        <v>59211305.41191332</v>
      </c>
      <c r="C42" s="1">
        <v>13367480531</v>
      </c>
      <c r="D42" s="3">
        <f t="shared" si="9"/>
        <v>1.0209216521396578</v>
      </c>
      <c r="E42">
        <f t="shared" si="8"/>
        <v>0.97950709332512431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D28FB-2397-49D5-BE6B-A84F9CCD9AE7}">
  <dimension ref="A1:D21"/>
  <sheetViews>
    <sheetView workbookViewId="0">
      <selection activeCell="H33" sqref="H33"/>
    </sheetView>
  </sheetViews>
  <sheetFormatPr defaultRowHeight="14.25" x14ac:dyDescent="0.45"/>
  <cols>
    <col min="1" max="1" width="10.33203125" bestFit="1" customWidth="1"/>
    <col min="2" max="2" width="20.3984375" bestFit="1" customWidth="1"/>
    <col min="3" max="3" width="16.46484375" bestFit="1" customWidth="1"/>
    <col min="4" max="4" width="17.796875" customWidth="1"/>
  </cols>
  <sheetData>
    <row r="1" spans="1:4" ht="16.5" thickTop="1" thickBot="1" x14ac:dyDescent="0.5">
      <c r="A1" s="20" t="s">
        <v>81</v>
      </c>
      <c r="B1" s="20" t="s">
        <v>94</v>
      </c>
      <c r="C1" s="20" t="s">
        <v>82</v>
      </c>
      <c r="D1" s="20" t="s">
        <v>83</v>
      </c>
    </row>
    <row r="2" spans="1:4" ht="14.65" thickTop="1" x14ac:dyDescent="0.45">
      <c r="A2" s="21" t="s">
        <v>51</v>
      </c>
      <c r="B2" s="21" t="s">
        <v>95</v>
      </c>
      <c r="C2" s="21" t="s">
        <v>52</v>
      </c>
      <c r="D2" s="21" t="s">
        <v>53</v>
      </c>
    </row>
    <row r="3" spans="1:4" x14ac:dyDescent="0.45">
      <c r="A3" s="21" t="s">
        <v>40</v>
      </c>
      <c r="B3" s="21" t="s">
        <v>96</v>
      </c>
      <c r="C3" s="21" t="s">
        <v>41</v>
      </c>
      <c r="D3" s="21" t="s">
        <v>42</v>
      </c>
    </row>
    <row r="4" spans="1:4" x14ac:dyDescent="0.45">
      <c r="A4" s="21" t="s">
        <v>48</v>
      </c>
      <c r="B4" s="21" t="s">
        <v>96</v>
      </c>
      <c r="C4" s="21" t="s">
        <v>49</v>
      </c>
      <c r="D4" s="21" t="s">
        <v>50</v>
      </c>
    </row>
    <row r="5" spans="1:4" x14ac:dyDescent="0.45">
      <c r="A5" s="21" t="s">
        <v>45</v>
      </c>
      <c r="B5" s="21" t="s">
        <v>96</v>
      </c>
      <c r="C5" s="21" t="s">
        <v>46</v>
      </c>
      <c r="D5" s="21" t="s">
        <v>47</v>
      </c>
    </row>
    <row r="6" spans="1:4" x14ac:dyDescent="0.45">
      <c r="A6" s="21" t="s">
        <v>58</v>
      </c>
      <c r="B6" s="21" t="s">
        <v>97</v>
      </c>
      <c r="C6" s="21" t="s">
        <v>87</v>
      </c>
      <c r="D6" s="21" t="s">
        <v>57</v>
      </c>
    </row>
    <row r="7" spans="1:4" x14ac:dyDescent="0.45">
      <c r="A7" s="21" t="s">
        <v>43</v>
      </c>
      <c r="B7" s="21" t="s">
        <v>98</v>
      </c>
      <c r="C7" s="21" t="s">
        <v>84</v>
      </c>
      <c r="D7" s="21" t="s">
        <v>44</v>
      </c>
    </row>
    <row r="8" spans="1:4" x14ac:dyDescent="0.45">
      <c r="A8" s="21" t="s">
        <v>54</v>
      </c>
      <c r="B8" s="21" t="s">
        <v>99</v>
      </c>
      <c r="C8" s="21" t="s">
        <v>55</v>
      </c>
      <c r="D8" s="21" t="s">
        <v>56</v>
      </c>
    </row>
    <row r="9" spans="1:4" x14ac:dyDescent="0.45">
      <c r="A9" s="23">
        <v>44198</v>
      </c>
      <c r="B9" s="21" t="s">
        <v>104</v>
      </c>
      <c r="C9" s="21" t="s">
        <v>105</v>
      </c>
      <c r="D9" s="21" t="s">
        <v>106</v>
      </c>
    </row>
    <row r="10" spans="1:4" x14ac:dyDescent="0.45">
      <c r="A10" s="21" t="s">
        <v>78</v>
      </c>
      <c r="B10" s="21" t="s">
        <v>100</v>
      </c>
      <c r="C10" s="21" t="s">
        <v>79</v>
      </c>
      <c r="D10" s="21" t="s">
        <v>80</v>
      </c>
    </row>
    <row r="11" spans="1:4" x14ac:dyDescent="0.45">
      <c r="A11" s="22">
        <v>44486</v>
      </c>
      <c r="B11" s="24" t="s">
        <v>101</v>
      </c>
      <c r="C11" s="21" t="s">
        <v>90</v>
      </c>
      <c r="D11" s="21" t="s">
        <v>91</v>
      </c>
    </row>
    <row r="12" spans="1:4" x14ac:dyDescent="0.45">
      <c r="A12" s="21" t="s">
        <v>59</v>
      </c>
      <c r="B12" s="21" t="s">
        <v>97</v>
      </c>
      <c r="C12" s="21" t="s">
        <v>89</v>
      </c>
      <c r="D12" s="21" t="s">
        <v>60</v>
      </c>
    </row>
    <row r="13" spans="1:4" x14ac:dyDescent="0.45">
      <c r="A13" s="21" t="s">
        <v>61</v>
      </c>
      <c r="B13" s="21" t="s">
        <v>97</v>
      </c>
      <c r="C13" s="21" t="s">
        <v>86</v>
      </c>
      <c r="D13" s="21" t="s">
        <v>57</v>
      </c>
    </row>
    <row r="14" spans="1:4" x14ac:dyDescent="0.45">
      <c r="A14" s="21" t="s">
        <v>62</v>
      </c>
      <c r="B14" s="21" t="s">
        <v>97</v>
      </c>
      <c r="C14" s="21" t="s">
        <v>63</v>
      </c>
      <c r="D14" s="21" t="s">
        <v>64</v>
      </c>
    </row>
    <row r="15" spans="1:4" x14ac:dyDescent="0.45">
      <c r="A15" s="21" t="s">
        <v>65</v>
      </c>
      <c r="B15" s="21" t="s">
        <v>102</v>
      </c>
      <c r="C15" s="21" t="s">
        <v>66</v>
      </c>
      <c r="D15" s="21" t="s">
        <v>67</v>
      </c>
    </row>
    <row r="16" spans="1:4" x14ac:dyDescent="0.45">
      <c r="A16" s="23">
        <v>44450</v>
      </c>
      <c r="B16" s="23" t="s">
        <v>101</v>
      </c>
      <c r="C16" s="21" t="s">
        <v>92</v>
      </c>
      <c r="D16" s="21" t="s">
        <v>93</v>
      </c>
    </row>
    <row r="17" spans="1:4" x14ac:dyDescent="0.45">
      <c r="A17" s="21" t="s">
        <v>70</v>
      </c>
      <c r="B17" s="21" t="s">
        <v>103</v>
      </c>
      <c r="C17" s="21" t="s">
        <v>71</v>
      </c>
      <c r="D17" s="21" t="s">
        <v>69</v>
      </c>
    </row>
    <row r="18" spans="1:4" x14ac:dyDescent="0.45">
      <c r="A18" s="21" t="s">
        <v>72</v>
      </c>
      <c r="B18" s="21" t="s">
        <v>103</v>
      </c>
      <c r="C18" s="21" t="s">
        <v>85</v>
      </c>
      <c r="D18" s="21" t="s">
        <v>68</v>
      </c>
    </row>
    <row r="19" spans="1:4" x14ac:dyDescent="0.45">
      <c r="A19" s="21" t="s">
        <v>73</v>
      </c>
      <c r="B19" s="21" t="s">
        <v>103</v>
      </c>
      <c r="C19" s="21" t="s">
        <v>74</v>
      </c>
      <c r="D19" s="21" t="s">
        <v>88</v>
      </c>
    </row>
    <row r="20" spans="1:4" x14ac:dyDescent="0.45">
      <c r="A20" s="23">
        <v>43694</v>
      </c>
      <c r="B20" s="21" t="s">
        <v>109</v>
      </c>
      <c r="C20" s="21" t="s">
        <v>108</v>
      </c>
      <c r="D20" s="21" t="s">
        <v>107</v>
      </c>
    </row>
    <row r="21" spans="1:4" x14ac:dyDescent="0.45">
      <c r="A21" s="21" t="s">
        <v>76</v>
      </c>
      <c r="B21" s="21" t="s">
        <v>100</v>
      </c>
      <c r="C21" s="21" t="s">
        <v>75</v>
      </c>
      <c r="D21" s="21" t="s">
        <v>77</v>
      </c>
    </row>
  </sheetData>
  <conditionalFormatting sqref="A2:B8 A12:B15 A17:B19 A10:B10 B9 A21:B21 B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6D62F-0727-4B34-B587-3F6823033DBF}">
  <dimension ref="B3:BS31"/>
  <sheetViews>
    <sheetView topLeftCell="BC1" workbookViewId="0">
      <selection activeCell="BG27" sqref="BG27"/>
    </sheetView>
  </sheetViews>
  <sheetFormatPr defaultRowHeight="14.25" x14ac:dyDescent="0.45"/>
  <cols>
    <col min="2" max="6" width="9.59765625" customWidth="1"/>
    <col min="7" max="10" width="9.59765625" hidden="1" customWidth="1"/>
    <col min="11" max="16" width="9.59765625" customWidth="1"/>
    <col min="21" max="22" width="0" hidden="1" customWidth="1"/>
    <col min="50" max="50" width="9.06640625" customWidth="1"/>
    <col min="55" max="55" width="10.53125" bestFit="1" customWidth="1"/>
  </cols>
  <sheetData>
    <row r="3" spans="2:71" ht="67.900000000000006" customHeight="1" thickBot="1" x14ac:dyDescent="0.5">
      <c r="B3" s="29" t="s">
        <v>110</v>
      </c>
      <c r="C3" s="26" t="s">
        <v>112</v>
      </c>
      <c r="D3" s="27" t="s">
        <v>113</v>
      </c>
      <c r="E3" s="26" t="s">
        <v>114</v>
      </c>
      <c r="F3" s="27" t="s">
        <v>115</v>
      </c>
      <c r="G3" s="26" t="s">
        <v>116</v>
      </c>
      <c r="H3" s="27" t="s">
        <v>117</v>
      </c>
      <c r="I3" s="26" t="s">
        <v>124</v>
      </c>
      <c r="J3" s="27" t="s">
        <v>125</v>
      </c>
      <c r="K3" s="26" t="s">
        <v>118</v>
      </c>
      <c r="L3" s="27" t="s">
        <v>119</v>
      </c>
      <c r="M3" s="26" t="s">
        <v>123</v>
      </c>
      <c r="N3" s="27" t="s">
        <v>120</v>
      </c>
      <c r="O3" s="26" t="s">
        <v>121</v>
      </c>
      <c r="P3" s="27" t="s">
        <v>122</v>
      </c>
      <c r="R3" s="30" t="s">
        <v>110</v>
      </c>
      <c r="S3" s="31" t="s">
        <v>126</v>
      </c>
      <c r="T3" s="32" t="s">
        <v>127</v>
      </c>
      <c r="U3" s="31" t="s">
        <v>112</v>
      </c>
      <c r="V3" s="32" t="s">
        <v>113</v>
      </c>
      <c r="X3" s="29" t="s">
        <v>110</v>
      </c>
      <c r="Y3" s="26" t="s">
        <v>126</v>
      </c>
      <c r="Z3" s="27" t="s">
        <v>127</v>
      </c>
      <c r="AA3" s="26" t="s">
        <v>112</v>
      </c>
      <c r="AB3" s="27" t="s">
        <v>113</v>
      </c>
      <c r="AD3" s="29" t="s">
        <v>110</v>
      </c>
      <c r="AE3" s="26" t="s">
        <v>112</v>
      </c>
      <c r="AF3" s="27" t="s">
        <v>113</v>
      </c>
      <c r="AG3" s="26" t="s">
        <v>114</v>
      </c>
      <c r="AH3" s="27" t="s">
        <v>115</v>
      </c>
      <c r="AI3" s="26" t="s">
        <v>116</v>
      </c>
      <c r="AJ3" s="27" t="s">
        <v>117</v>
      </c>
      <c r="AK3" s="26" t="s">
        <v>124</v>
      </c>
      <c r="AL3" s="27" t="s">
        <v>125</v>
      </c>
      <c r="AM3" s="26" t="s">
        <v>118</v>
      </c>
      <c r="AN3" s="27" t="s">
        <v>119</v>
      </c>
      <c r="AO3" s="26" t="s">
        <v>123</v>
      </c>
      <c r="AP3" s="27" t="s">
        <v>120</v>
      </c>
      <c r="AQ3" s="26" t="s">
        <v>121</v>
      </c>
      <c r="AR3" s="27" t="s">
        <v>122</v>
      </c>
      <c r="AT3" s="71" t="s">
        <v>156</v>
      </c>
      <c r="AU3" s="70" t="s">
        <v>148</v>
      </c>
      <c r="AV3" s="69" t="s">
        <v>149</v>
      </c>
      <c r="AW3" s="62" t="s">
        <v>150</v>
      </c>
      <c r="AX3" s="62" t="s">
        <v>152</v>
      </c>
      <c r="AY3" s="70" t="s">
        <v>153</v>
      </c>
      <c r="AZ3" s="69" t="s">
        <v>154</v>
      </c>
      <c r="BA3" s="69" t="s">
        <v>155</v>
      </c>
      <c r="BC3" s="61" t="s">
        <v>156</v>
      </c>
      <c r="BD3" s="62" t="s">
        <v>148</v>
      </c>
      <c r="BE3" s="62" t="s">
        <v>149</v>
      </c>
      <c r="BF3" s="62" t="s">
        <v>150</v>
      </c>
      <c r="BG3" s="62" t="s">
        <v>152</v>
      </c>
      <c r="BH3" s="62" t="s">
        <v>153</v>
      </c>
      <c r="BI3" s="62" t="s">
        <v>154</v>
      </c>
      <c r="BJ3" s="62" t="s">
        <v>155</v>
      </c>
      <c r="BL3" s="61" t="s">
        <v>156</v>
      </c>
      <c r="BM3" s="62" t="s">
        <v>155</v>
      </c>
      <c r="BN3" s="62" t="s">
        <v>154</v>
      </c>
      <c r="BO3" s="62" t="s">
        <v>153</v>
      </c>
      <c r="BP3" s="62" t="s">
        <v>152</v>
      </c>
      <c r="BQ3" s="62" t="s">
        <v>150</v>
      </c>
      <c r="BR3" s="62" t="s">
        <v>149</v>
      </c>
      <c r="BS3" s="62" t="s">
        <v>148</v>
      </c>
    </row>
    <row r="4" spans="2:71" ht="14.65" thickBot="1" x14ac:dyDescent="0.5">
      <c r="B4" s="28" t="s">
        <v>111</v>
      </c>
      <c r="C4" s="54">
        <v>1.5541589648798522</v>
      </c>
      <c r="D4" s="55">
        <v>1.0728280961182994</v>
      </c>
      <c r="E4" s="54">
        <v>13.085767097966729</v>
      </c>
      <c r="F4" s="55">
        <v>9.9829944547134932</v>
      </c>
      <c r="G4" s="54">
        <v>4.9075785582255085</v>
      </c>
      <c r="H4" s="55">
        <v>3.6658040665434379</v>
      </c>
      <c r="I4" s="54">
        <v>12.711645101663587</v>
      </c>
      <c r="J4" s="55">
        <v>13.214787430683918</v>
      </c>
      <c r="K4" s="54">
        <v>12.711645101663587</v>
      </c>
      <c r="L4" s="55">
        <v>13.214787430683918</v>
      </c>
      <c r="M4" s="54">
        <v>1.7452865064695009</v>
      </c>
      <c r="N4" s="55">
        <v>2.1260628465804068</v>
      </c>
      <c r="O4" s="54">
        <v>9.1682070240295746E-2</v>
      </c>
      <c r="P4" s="55">
        <v>0.13641404805914972</v>
      </c>
      <c r="R4" s="36" t="s">
        <v>128</v>
      </c>
      <c r="S4" s="37">
        <v>1.9</v>
      </c>
      <c r="T4" s="38">
        <v>0.8</v>
      </c>
      <c r="U4" s="37">
        <v>1.8</v>
      </c>
      <c r="V4" s="38">
        <v>0.9</v>
      </c>
      <c r="X4" s="36" t="s">
        <v>128</v>
      </c>
      <c r="Y4" s="43">
        <v>19</v>
      </c>
      <c r="Z4" s="44">
        <v>8</v>
      </c>
      <c r="AA4" s="43">
        <v>18</v>
      </c>
      <c r="AB4" s="44">
        <v>9</v>
      </c>
      <c r="AD4" s="28" t="s">
        <v>82</v>
      </c>
      <c r="AE4" s="56">
        <v>155.41589648798521</v>
      </c>
      <c r="AF4" s="57">
        <v>107.28280961182995</v>
      </c>
      <c r="AG4" s="56">
        <v>1308.576709796673</v>
      </c>
      <c r="AH4" s="57">
        <v>998.29944547134937</v>
      </c>
      <c r="AI4" s="56">
        <v>490.75785582255082</v>
      </c>
      <c r="AJ4" s="57">
        <v>366.58040665434379</v>
      </c>
      <c r="AK4" s="56">
        <f>AG4-AI4</f>
        <v>817.81885397412213</v>
      </c>
      <c r="AL4" s="57">
        <f>AH4-AJ4</f>
        <v>631.71903881700564</v>
      </c>
      <c r="AM4" s="56">
        <v>1271.1645101663587</v>
      </c>
      <c r="AN4" s="57">
        <v>1321.4787430683919</v>
      </c>
      <c r="AO4" s="56">
        <v>174.5286506469501</v>
      </c>
      <c r="AP4" s="57">
        <v>212.60628465804069</v>
      </c>
      <c r="AQ4" s="56">
        <v>9.1682070240295754</v>
      </c>
      <c r="AR4" s="57">
        <v>13.641404805914972</v>
      </c>
      <c r="AT4" s="63" t="s">
        <v>82</v>
      </c>
      <c r="AU4" s="64">
        <v>155.41589648798501</v>
      </c>
      <c r="AV4" s="64">
        <v>1309</v>
      </c>
      <c r="AW4" s="64">
        <v>491</v>
      </c>
      <c r="AX4" s="64">
        <v>818</v>
      </c>
      <c r="AY4" s="64">
        <v>1271</v>
      </c>
      <c r="AZ4" s="64">
        <v>175</v>
      </c>
      <c r="BA4" s="64">
        <v>9</v>
      </c>
      <c r="BC4" s="63" t="s">
        <v>147</v>
      </c>
      <c r="BD4" s="67">
        <v>0.59161272164368139</v>
      </c>
      <c r="BE4" s="67">
        <v>0.56725052483133276</v>
      </c>
      <c r="BF4" s="67">
        <v>0.57242033547496873</v>
      </c>
      <c r="BG4" s="67">
        <v>0.56419280795715376</v>
      </c>
      <c r="BH4" s="67">
        <v>0.49029673040452865</v>
      </c>
      <c r="BI4" s="67">
        <v>0.45082123758594345</v>
      </c>
      <c r="BJ4" s="67">
        <v>0.40194489465153971</v>
      </c>
      <c r="BL4" s="63" t="s">
        <v>82</v>
      </c>
      <c r="BM4" s="67">
        <v>0.40194489465153971</v>
      </c>
      <c r="BN4" s="67">
        <v>0.45082123758594345</v>
      </c>
      <c r="BO4" s="67">
        <v>0.49029673040452865</v>
      </c>
      <c r="BP4" s="67">
        <v>0.56419280795715376</v>
      </c>
      <c r="BQ4" s="67">
        <v>0.57242033547496873</v>
      </c>
      <c r="BR4" s="67">
        <v>0.56725052483133276</v>
      </c>
      <c r="BS4" s="67">
        <v>0.59161272164368139</v>
      </c>
    </row>
    <row r="5" spans="2:71" ht="15" thickTop="1" thickBot="1" x14ac:dyDescent="0.5">
      <c r="R5" s="39" t="s">
        <v>111</v>
      </c>
      <c r="S5" s="40">
        <v>1.7</v>
      </c>
      <c r="T5" s="41">
        <v>1.1000000000000001</v>
      </c>
      <c r="U5" s="40">
        <v>1.6</v>
      </c>
      <c r="V5" s="41">
        <v>1.1000000000000001</v>
      </c>
      <c r="X5" s="39" t="s">
        <v>111</v>
      </c>
      <c r="Y5" s="45">
        <v>17</v>
      </c>
      <c r="Z5" s="46">
        <v>11</v>
      </c>
      <c r="AA5" s="45">
        <v>16</v>
      </c>
      <c r="AB5" s="46">
        <v>11</v>
      </c>
      <c r="AD5" s="28" t="s">
        <v>83</v>
      </c>
      <c r="AE5" s="56">
        <v>155.41589648798521</v>
      </c>
      <c r="AF5" s="57">
        <v>107.28280961182995</v>
      </c>
      <c r="AG5" s="56">
        <v>1308.576709796673</v>
      </c>
      <c r="AH5" s="57">
        <v>998.29944547134937</v>
      </c>
      <c r="AI5" s="56">
        <v>490.75785582255082</v>
      </c>
      <c r="AJ5" s="57">
        <v>366.58040665434379</v>
      </c>
      <c r="AK5" s="56">
        <f>AG5-AI5</f>
        <v>817.81885397412213</v>
      </c>
      <c r="AL5" s="57">
        <f>AH5-AJ5</f>
        <v>631.71903881700564</v>
      </c>
      <c r="AM5" s="56">
        <v>1271.1645101663587</v>
      </c>
      <c r="AN5" s="57">
        <v>1321.4787430683919</v>
      </c>
      <c r="AO5" s="56">
        <v>174.5286506469501</v>
      </c>
      <c r="AP5" s="57">
        <v>212.60628465804069</v>
      </c>
      <c r="AQ5" s="56">
        <v>9.1682070240295754</v>
      </c>
      <c r="AR5" s="57">
        <v>13.641404805914972</v>
      </c>
      <c r="AT5" s="65" t="s">
        <v>83</v>
      </c>
      <c r="AU5" s="66">
        <v>107</v>
      </c>
      <c r="AV5" s="66">
        <v>998</v>
      </c>
      <c r="AW5" s="66">
        <v>367</v>
      </c>
      <c r="AX5" s="66">
        <v>632</v>
      </c>
      <c r="AY5" s="66">
        <v>1321</v>
      </c>
      <c r="AZ5" s="66">
        <v>213</v>
      </c>
      <c r="BA5" s="66">
        <v>14</v>
      </c>
      <c r="BC5" s="65" t="s">
        <v>74</v>
      </c>
      <c r="BD5" s="68">
        <v>0.40838727835631866</v>
      </c>
      <c r="BE5" s="68">
        <v>0.43274947516866713</v>
      </c>
      <c r="BF5" s="68">
        <v>0.42757966452503121</v>
      </c>
      <c r="BG5" s="68">
        <v>0.43580719204284618</v>
      </c>
      <c r="BH5" s="68">
        <v>0.5097032695954713</v>
      </c>
      <c r="BI5" s="68">
        <v>0.54917876241405661</v>
      </c>
      <c r="BJ5" s="68">
        <v>0.59805510534846029</v>
      </c>
      <c r="BL5" s="65" t="s">
        <v>83</v>
      </c>
      <c r="BM5" s="68">
        <v>0.59805510534846029</v>
      </c>
      <c r="BN5" s="68">
        <v>0.54917876241405661</v>
      </c>
      <c r="BO5" s="68">
        <v>0.5097032695954713</v>
      </c>
      <c r="BP5" s="68">
        <v>0.43580719204284618</v>
      </c>
      <c r="BQ5" s="68">
        <v>0.42757966452503121</v>
      </c>
      <c r="BR5" s="68">
        <v>0.43274947516866713</v>
      </c>
      <c r="BS5" s="68">
        <v>0.40838727835631866</v>
      </c>
    </row>
    <row r="6" spans="2:71" ht="14.65" thickTop="1" x14ac:dyDescent="0.45">
      <c r="R6" s="33" t="s">
        <v>129</v>
      </c>
      <c r="S6" s="34">
        <v>1.4</v>
      </c>
      <c r="T6" s="35">
        <v>1.3</v>
      </c>
      <c r="U6" s="34">
        <v>1.3</v>
      </c>
      <c r="V6" s="35">
        <v>1.2</v>
      </c>
      <c r="X6" s="33" t="s">
        <v>129</v>
      </c>
      <c r="Y6" s="47">
        <v>14</v>
      </c>
      <c r="Z6" s="48">
        <v>13</v>
      </c>
      <c r="AA6" s="47">
        <v>13</v>
      </c>
      <c r="AB6" s="48">
        <v>12</v>
      </c>
    </row>
    <row r="7" spans="2:71" ht="18.399999999999999" thickBot="1" x14ac:dyDescent="0.5">
      <c r="C7">
        <v>155.41589648798521</v>
      </c>
      <c r="D7">
        <v>107.28280961182995</v>
      </c>
      <c r="E7">
        <v>1308.576709796673</v>
      </c>
      <c r="F7">
        <v>998.29944547134937</v>
      </c>
      <c r="G7">
        <v>490.75785582255082</v>
      </c>
      <c r="H7">
        <v>366.58040665434379</v>
      </c>
      <c r="I7">
        <v>817.81885397412213</v>
      </c>
      <c r="J7">
        <v>631.71903881700564</v>
      </c>
      <c r="K7">
        <v>1271.1645101663587</v>
      </c>
      <c r="L7">
        <v>1321.4787430683919</v>
      </c>
      <c r="M7">
        <v>174.5286506469501</v>
      </c>
      <c r="N7">
        <v>212.60628465804069</v>
      </c>
      <c r="O7">
        <v>9.1682070240295754</v>
      </c>
      <c r="P7">
        <v>13.641404805914972</v>
      </c>
      <c r="X7" s="42" t="s">
        <v>130</v>
      </c>
      <c r="Y7" s="49">
        <f>SUM(Y4:Y6)</f>
        <v>50</v>
      </c>
      <c r="Z7" s="49">
        <f>SUM(Z4:Z6)</f>
        <v>32</v>
      </c>
      <c r="AA7" s="49">
        <f>SUM(AA4:AA6)</f>
        <v>47</v>
      </c>
      <c r="AB7" s="49">
        <f>SUM(AB4:AB6)</f>
        <v>32</v>
      </c>
    </row>
    <row r="8" spans="2:71" ht="14.65" thickTop="1" x14ac:dyDescent="0.45"/>
    <row r="9" spans="2:71" x14ac:dyDescent="0.45">
      <c r="AE9">
        <v>1.5541589648798522</v>
      </c>
      <c r="AF9">
        <v>1.0728280961182994</v>
      </c>
      <c r="AG9">
        <v>13.085767097966729</v>
      </c>
      <c r="AH9">
        <v>9.9829944547134932</v>
      </c>
      <c r="AI9">
        <v>4.9075785582255085</v>
      </c>
      <c r="AJ9">
        <v>3.6658040665434379</v>
      </c>
      <c r="AK9">
        <v>12.711645101663587</v>
      </c>
      <c r="AL9">
        <v>13.214787430683918</v>
      </c>
      <c r="AM9">
        <v>12.711645101663587</v>
      </c>
      <c r="AN9">
        <v>13.214787430683918</v>
      </c>
      <c r="AO9">
        <v>1.7452865064695009</v>
      </c>
      <c r="AP9">
        <v>2.1260628465804068</v>
      </c>
      <c r="AQ9">
        <v>9.1682070240295746E-2</v>
      </c>
      <c r="AR9">
        <v>0.13641404805914972</v>
      </c>
    </row>
    <row r="11" spans="2:71" x14ac:dyDescent="0.45">
      <c r="AE11" s="11">
        <f>AE9*100</f>
        <v>155.41589648798521</v>
      </c>
      <c r="AF11" s="11">
        <f t="shared" ref="AF11:AR11" si="0">AF9*100</f>
        <v>107.28280961182995</v>
      </c>
      <c r="AG11" s="11">
        <f t="shared" si="0"/>
        <v>1308.576709796673</v>
      </c>
      <c r="AH11" s="11">
        <f t="shared" si="0"/>
        <v>998.29944547134937</v>
      </c>
      <c r="AI11" s="11">
        <f t="shared" si="0"/>
        <v>490.75785582255082</v>
      </c>
      <c r="AJ11" s="11">
        <f t="shared" si="0"/>
        <v>366.58040665434379</v>
      </c>
      <c r="AK11" s="11">
        <f t="shared" si="0"/>
        <v>1271.1645101663587</v>
      </c>
      <c r="AL11" s="11">
        <f t="shared" si="0"/>
        <v>1321.4787430683919</v>
      </c>
      <c r="AM11" s="11">
        <f t="shared" si="0"/>
        <v>1271.1645101663587</v>
      </c>
      <c r="AN11" s="11">
        <f t="shared" si="0"/>
        <v>1321.4787430683919</v>
      </c>
      <c r="AO11" s="11">
        <f t="shared" si="0"/>
        <v>174.5286506469501</v>
      </c>
      <c r="AP11" s="11">
        <f t="shared" si="0"/>
        <v>212.60628465804069</v>
      </c>
      <c r="AQ11" s="11">
        <f t="shared" si="0"/>
        <v>9.1682070240295754</v>
      </c>
      <c r="AR11" s="11">
        <f t="shared" si="0"/>
        <v>13.641404805914972</v>
      </c>
    </row>
    <row r="12" spans="2:71" x14ac:dyDescent="0.45">
      <c r="S12">
        <v>1</v>
      </c>
      <c r="T12">
        <v>1</v>
      </c>
      <c r="V12" t="s">
        <v>139</v>
      </c>
    </row>
    <row r="13" spans="2:71" x14ac:dyDescent="0.45">
      <c r="S13">
        <v>2</v>
      </c>
      <c r="T13">
        <v>2</v>
      </c>
      <c r="V13">
        <f>SUM(T12:T33)</f>
        <v>125</v>
      </c>
      <c r="AE13" t="s">
        <v>140</v>
      </c>
      <c r="AG13" t="s">
        <v>141</v>
      </c>
      <c r="AI13" t="s">
        <v>142</v>
      </c>
      <c r="AK13" t="s">
        <v>143</v>
      </c>
      <c r="AM13" t="s">
        <v>144</v>
      </c>
      <c r="AO13" t="s">
        <v>145</v>
      </c>
      <c r="AQ13" t="s">
        <v>146</v>
      </c>
    </row>
    <row r="14" spans="2:71" x14ac:dyDescent="0.45">
      <c r="S14">
        <v>3</v>
      </c>
      <c r="T14">
        <v>3</v>
      </c>
      <c r="AE14" s="11">
        <f>AE4+AF4</f>
        <v>262.69870609981513</v>
      </c>
      <c r="AG14" s="11">
        <f>AG4+AH4</f>
        <v>2306.8761552680226</v>
      </c>
      <c r="AI14" s="11">
        <f>AI4+AJ4</f>
        <v>857.33826247689467</v>
      </c>
      <c r="AK14" s="11">
        <f>AK4+AL4</f>
        <v>1449.5378927911279</v>
      </c>
      <c r="AM14" s="11">
        <f>AM4+AN4</f>
        <v>2592.6432532347508</v>
      </c>
      <c r="AO14" s="11">
        <f>AO4+AP4</f>
        <v>387.13493530499079</v>
      </c>
      <c r="AQ14" s="11">
        <f>AQ4+AR4</f>
        <v>22.809611829944547</v>
      </c>
    </row>
    <row r="15" spans="2:71" x14ac:dyDescent="0.45">
      <c r="S15">
        <v>4</v>
      </c>
      <c r="T15">
        <v>4</v>
      </c>
    </row>
    <row r="16" spans="2:71" x14ac:dyDescent="0.45">
      <c r="S16">
        <v>5</v>
      </c>
      <c r="T16">
        <v>5</v>
      </c>
      <c r="AF16" t="s">
        <v>148</v>
      </c>
      <c r="AG16" t="s">
        <v>149</v>
      </c>
      <c r="AH16" t="s">
        <v>150</v>
      </c>
      <c r="AI16" t="s">
        <v>151</v>
      </c>
      <c r="AJ16" t="s">
        <v>153</v>
      </c>
      <c r="AK16" t="s">
        <v>145</v>
      </c>
      <c r="AL16" t="s">
        <v>146</v>
      </c>
    </row>
    <row r="17" spans="19:38" x14ac:dyDescent="0.45">
      <c r="S17">
        <v>6</v>
      </c>
      <c r="T17">
        <v>6</v>
      </c>
      <c r="AE17" t="s">
        <v>147</v>
      </c>
      <c r="AF17">
        <f>AE4/AE14</f>
        <v>0.59161272164368139</v>
      </c>
      <c r="AG17">
        <f>AG4/AG14</f>
        <v>0.56725052483133276</v>
      </c>
      <c r="AH17">
        <f>AI4/AI14</f>
        <v>0.57242033547496873</v>
      </c>
      <c r="AI17">
        <f>AK4/AK14</f>
        <v>0.56419280795715376</v>
      </c>
      <c r="AJ17">
        <f>AM4/AM14</f>
        <v>0.49029673040452865</v>
      </c>
      <c r="AK17">
        <f>AO11/AO14</f>
        <v>0.45082123758594345</v>
      </c>
      <c r="AL17">
        <f>AQ11/AQ14</f>
        <v>0.40194489465153971</v>
      </c>
    </row>
    <row r="18" spans="19:38" x14ac:dyDescent="0.45">
      <c r="S18">
        <v>7</v>
      </c>
      <c r="T18">
        <v>7</v>
      </c>
      <c r="AE18" t="s">
        <v>74</v>
      </c>
      <c r="AF18">
        <f>AF4/AE14</f>
        <v>0.40838727835631866</v>
      </c>
      <c r="AG18">
        <f>AH4/AG14</f>
        <v>0.43274947516866713</v>
      </c>
      <c r="AH18">
        <f>AJ4/AI14</f>
        <v>0.42757966452503121</v>
      </c>
      <c r="AI18">
        <f>AL4/AK14</f>
        <v>0.43580719204284618</v>
      </c>
      <c r="AJ18">
        <f>AN11/AM14</f>
        <v>0.5097032695954713</v>
      </c>
      <c r="AK18">
        <f>AP11/AO14</f>
        <v>0.54917876241405661</v>
      </c>
      <c r="AL18">
        <f>AR11/AQ14</f>
        <v>0.59805510534846029</v>
      </c>
    </row>
    <row r="19" spans="19:38" x14ac:dyDescent="0.45">
      <c r="S19">
        <v>8</v>
      </c>
      <c r="T19">
        <v>8</v>
      </c>
    </row>
    <row r="20" spans="19:38" x14ac:dyDescent="0.45">
      <c r="S20">
        <v>9</v>
      </c>
      <c r="T20">
        <v>9</v>
      </c>
    </row>
    <row r="21" spans="19:38" x14ac:dyDescent="0.45">
      <c r="S21">
        <v>10</v>
      </c>
      <c r="T21">
        <v>10</v>
      </c>
    </row>
    <row r="22" spans="19:38" x14ac:dyDescent="0.45">
      <c r="S22">
        <v>11</v>
      </c>
      <c r="T22">
        <v>10</v>
      </c>
    </row>
    <row r="23" spans="19:38" x14ac:dyDescent="0.45">
      <c r="S23">
        <v>12</v>
      </c>
      <c r="T23">
        <v>10</v>
      </c>
    </row>
    <row r="24" spans="19:38" x14ac:dyDescent="0.45">
      <c r="S24">
        <v>13</v>
      </c>
      <c r="T24">
        <v>10</v>
      </c>
    </row>
    <row r="25" spans="19:38" x14ac:dyDescent="0.45">
      <c r="S25">
        <v>14</v>
      </c>
      <c r="T25">
        <v>10</v>
      </c>
    </row>
    <row r="26" spans="19:38" x14ac:dyDescent="0.45">
      <c r="S26">
        <v>15</v>
      </c>
      <c r="T26">
        <v>10</v>
      </c>
    </row>
    <row r="27" spans="19:38" x14ac:dyDescent="0.45">
      <c r="S27">
        <v>16</v>
      </c>
      <c r="T27">
        <v>10</v>
      </c>
    </row>
    <row r="28" spans="19:38" x14ac:dyDescent="0.45">
      <c r="S28">
        <v>17</v>
      </c>
      <c r="T28">
        <v>10</v>
      </c>
    </row>
    <row r="29" spans="19:38" x14ac:dyDescent="0.45">
      <c r="S29">
        <v>18</v>
      </c>
      <c r="T29">
        <v>0</v>
      </c>
    </row>
    <row r="30" spans="19:38" x14ac:dyDescent="0.45">
      <c r="S30">
        <v>19</v>
      </c>
      <c r="T30">
        <v>0</v>
      </c>
    </row>
    <row r="31" spans="19:38" x14ac:dyDescent="0.45">
      <c r="S31">
        <v>20</v>
      </c>
      <c r="T31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E2980-C7A9-4546-B6DA-3E0EFEFBE39D}">
  <dimension ref="A1:I45"/>
  <sheetViews>
    <sheetView workbookViewId="0">
      <selection activeCell="K1" sqref="K1"/>
    </sheetView>
  </sheetViews>
  <sheetFormatPr defaultRowHeight="14.25" x14ac:dyDescent="0.45"/>
  <cols>
    <col min="1" max="3" width="9.59765625" customWidth="1"/>
    <col min="4" max="7" width="9.59765625" hidden="1" customWidth="1"/>
    <col min="8" max="9" width="9.59765625" customWidth="1"/>
  </cols>
  <sheetData>
    <row r="1" spans="1:9" s="25" customFormat="1" ht="57" customHeight="1" x14ac:dyDescent="0.45">
      <c r="A1" s="53" t="s">
        <v>110</v>
      </c>
      <c r="B1" s="51" t="s">
        <v>135</v>
      </c>
      <c r="C1" s="51" t="s">
        <v>136</v>
      </c>
      <c r="D1" s="51" t="s">
        <v>131</v>
      </c>
      <c r="E1" s="51" t="s">
        <v>132</v>
      </c>
      <c r="F1" s="51" t="s">
        <v>133</v>
      </c>
      <c r="G1" s="51" t="s">
        <v>134</v>
      </c>
      <c r="H1" s="51" t="s">
        <v>137</v>
      </c>
      <c r="I1" s="51" t="s">
        <v>138</v>
      </c>
    </row>
    <row r="2" spans="1:9" x14ac:dyDescent="0.45">
      <c r="A2" s="50">
        <v>0.92</v>
      </c>
      <c r="B2" s="52">
        <f>E2*3+F2*1</f>
        <v>2.8511036819162383</v>
      </c>
      <c r="C2" s="52">
        <f>F2*1+G2*3</f>
        <v>9.4573618705715845E-2</v>
      </c>
      <c r="D2" s="52">
        <v>31.474358974358971</v>
      </c>
      <c r="E2" s="52">
        <v>0.93226032751273036</v>
      </c>
      <c r="F2" s="52">
        <v>5.4322699378046999E-2</v>
      </c>
      <c r="G2" s="52">
        <v>1.3416973109222951E-2</v>
      </c>
      <c r="H2" s="52">
        <v>3.8461538461538458</v>
      </c>
      <c r="I2" s="52">
        <v>0.53846153846153844</v>
      </c>
    </row>
    <row r="3" spans="1:9" x14ac:dyDescent="0.45">
      <c r="A3" s="50">
        <v>0.9</v>
      </c>
      <c r="B3" s="52">
        <f t="shared" ref="B3:B45" si="0">E3*3+F3*1</f>
        <v>2.7966515632576594</v>
      </c>
      <c r="C3" s="52">
        <f t="shared" ref="C3:C45" si="1">F3*1+G3*3</f>
        <v>0.12984297925142402</v>
      </c>
      <c r="D3" s="52">
        <v>24.49006622516556</v>
      </c>
      <c r="E3" s="52">
        <v>0.90771536858891411</v>
      </c>
      <c r="F3" s="52">
        <v>7.3505457490917012E-2</v>
      </c>
      <c r="G3" s="52">
        <v>1.8779173920169E-2</v>
      </c>
      <c r="H3" s="52">
        <v>3.3841059602649008</v>
      </c>
      <c r="I3" s="52">
        <v>0.64238410596026485</v>
      </c>
    </row>
    <row r="4" spans="1:9" x14ac:dyDescent="0.45">
      <c r="A4" s="50">
        <v>0.88</v>
      </c>
      <c r="B4" s="52">
        <f t="shared" si="0"/>
        <v>2.7507549457120692</v>
      </c>
      <c r="C4" s="52">
        <f t="shared" si="1"/>
        <v>0.16247160876210986</v>
      </c>
      <c r="D4" s="52">
        <v>20.928176795580111</v>
      </c>
      <c r="E4" s="52">
        <v>0.88799383339541604</v>
      </c>
      <c r="F4" s="52">
        <v>8.6773445525821072E-2</v>
      </c>
      <c r="G4" s="52">
        <v>2.523272107876293E-2</v>
      </c>
      <c r="H4" s="52">
        <v>3.1491712707182322</v>
      </c>
      <c r="I4" s="52">
        <v>0.53591160220994472</v>
      </c>
    </row>
    <row r="5" spans="1:9" x14ac:dyDescent="0.45">
      <c r="A5" s="50">
        <v>0.86</v>
      </c>
      <c r="B5" s="52">
        <f t="shared" si="0"/>
        <v>2.7047840654227144</v>
      </c>
      <c r="C5" s="52">
        <f t="shared" si="1"/>
        <v>0.19490877185443989</v>
      </c>
      <c r="D5" s="52">
        <v>17.977521613832849</v>
      </c>
      <c r="E5" s="52">
        <v>0.86815896756662292</v>
      </c>
      <c r="F5" s="52">
        <v>0.1003071627228458</v>
      </c>
      <c r="G5" s="52">
        <v>3.1533869710531362E-2</v>
      </c>
      <c r="H5" s="52">
        <v>3.0404624277456649</v>
      </c>
      <c r="I5" s="52">
        <v>0.52890173410404628</v>
      </c>
    </row>
    <row r="6" spans="1:9" x14ac:dyDescent="0.45">
      <c r="A6" s="50">
        <v>0.84</v>
      </c>
      <c r="B6" s="52">
        <f t="shared" si="0"/>
        <v>2.6673112143782256</v>
      </c>
      <c r="C6" s="52">
        <f t="shared" si="1"/>
        <v>0.22182397948464672</v>
      </c>
      <c r="D6" s="52">
        <v>16.139294117647061</v>
      </c>
      <c r="E6" s="52">
        <v>0.85214880274703253</v>
      </c>
      <c r="F6" s="52">
        <v>0.11086480613712781</v>
      </c>
      <c r="G6" s="52">
        <v>3.6986391115839637E-2</v>
      </c>
      <c r="H6" s="52">
        <v>2.670588235294117</v>
      </c>
      <c r="I6" s="52">
        <v>0.57411764705882351</v>
      </c>
    </row>
    <row r="7" spans="1:9" x14ac:dyDescent="0.45">
      <c r="A7" s="50">
        <v>0.82</v>
      </c>
      <c r="B7" s="52">
        <f t="shared" si="0"/>
        <v>2.6185043505263703</v>
      </c>
      <c r="C7" s="52">
        <f t="shared" si="1"/>
        <v>0.25692124371343017</v>
      </c>
      <c r="D7" s="52">
        <v>14.56131701631702</v>
      </c>
      <c r="E7" s="52">
        <v>0.8313099815887236</v>
      </c>
      <c r="F7" s="52">
        <v>0.1245744057601996</v>
      </c>
      <c r="G7" s="52">
        <v>4.4115612651076858E-2</v>
      </c>
      <c r="H7" s="52">
        <v>2.7599067599067602</v>
      </c>
      <c r="I7" s="52">
        <v>0.60139860139860135</v>
      </c>
    </row>
    <row r="8" spans="1:9" x14ac:dyDescent="0.45">
      <c r="A8" s="50">
        <v>0.8</v>
      </c>
      <c r="B8" s="52">
        <f t="shared" si="0"/>
        <v>2.5694000102189554</v>
      </c>
      <c r="C8" s="52">
        <f t="shared" si="1"/>
        <v>0.2930782281356768</v>
      </c>
      <c r="D8" s="52">
        <v>13.17467362924282</v>
      </c>
      <c r="E8" s="52">
        <v>0.81062608285786264</v>
      </c>
      <c r="F8" s="52">
        <v>0.13752176164536761</v>
      </c>
      <c r="G8" s="52">
        <v>5.1852155496769733E-2</v>
      </c>
      <c r="H8" s="52">
        <v>2.6631853785900779</v>
      </c>
      <c r="I8" s="52">
        <v>0.63054830287206265</v>
      </c>
    </row>
    <row r="9" spans="1:9" x14ac:dyDescent="0.45">
      <c r="A9" s="50">
        <v>0.78</v>
      </c>
      <c r="B9" s="52">
        <f t="shared" si="0"/>
        <v>2.5255322036043588</v>
      </c>
      <c r="C9" s="52">
        <f t="shared" si="1"/>
        <v>0.32423903830122369</v>
      </c>
      <c r="D9" s="52">
        <v>11.7369825708061</v>
      </c>
      <c r="E9" s="52">
        <v>0.7917678151699804</v>
      </c>
      <c r="F9" s="52">
        <v>0.1502287580944176</v>
      </c>
      <c r="G9" s="52">
        <v>5.8003426735602027E-2</v>
      </c>
      <c r="H9" s="52">
        <v>2.5027262813522362</v>
      </c>
      <c r="I9" s="52">
        <v>0.65103598691384956</v>
      </c>
    </row>
    <row r="10" spans="1:9" x14ac:dyDescent="0.45">
      <c r="A10" s="50">
        <v>0.76</v>
      </c>
      <c r="B10" s="52">
        <f t="shared" si="0"/>
        <v>2.4768943280501636</v>
      </c>
      <c r="C10" s="52">
        <f t="shared" si="1"/>
        <v>0.36236242233300364</v>
      </c>
      <c r="D10" s="52">
        <v>10.748454157782509</v>
      </c>
      <c r="E10" s="52">
        <v>0.77205035947777712</v>
      </c>
      <c r="F10" s="52">
        <v>0.1607432496168324</v>
      </c>
      <c r="G10" s="52">
        <v>6.720639090539042E-2</v>
      </c>
      <c r="H10" s="52">
        <v>2.3965884861407249</v>
      </c>
      <c r="I10" s="52">
        <v>0.71535181236673773</v>
      </c>
    </row>
    <row r="11" spans="1:9" x14ac:dyDescent="0.45">
      <c r="A11" s="50">
        <v>0.74</v>
      </c>
      <c r="B11" s="52">
        <f t="shared" si="0"/>
        <v>2.4261581428370045</v>
      </c>
      <c r="C11" s="52">
        <f t="shared" si="1"/>
        <v>0.40160634967974917</v>
      </c>
      <c r="D11" s="52">
        <v>9.784551231135822</v>
      </c>
      <c r="E11" s="52">
        <v>0.75130754511791942</v>
      </c>
      <c r="F11" s="52">
        <v>0.1722355074832464</v>
      </c>
      <c r="G11" s="52">
        <v>7.6456947398834255E-2</v>
      </c>
      <c r="H11" s="52">
        <v>2.330420969023034</v>
      </c>
      <c r="I11" s="52">
        <v>0.68546465448768867</v>
      </c>
    </row>
    <row r="12" spans="1:9" x14ac:dyDescent="0.45">
      <c r="A12" s="50">
        <v>0.72</v>
      </c>
      <c r="B12" s="52">
        <f t="shared" si="0"/>
        <v>2.3749635199551693</v>
      </c>
      <c r="C12" s="52">
        <f t="shared" si="1"/>
        <v>0.44130366263957893</v>
      </c>
      <c r="D12" s="52">
        <v>8.9177293233082704</v>
      </c>
      <c r="E12" s="52">
        <v>0.73041023418330597</v>
      </c>
      <c r="F12" s="52">
        <v>0.1837328174052516</v>
      </c>
      <c r="G12" s="52">
        <v>8.5856948411442438E-2</v>
      </c>
      <c r="H12" s="52">
        <v>2.2436090225563912</v>
      </c>
      <c r="I12" s="52">
        <v>0.75338345864661649</v>
      </c>
    </row>
    <row r="13" spans="1:9" x14ac:dyDescent="0.45">
      <c r="A13" s="50">
        <v>0.7</v>
      </c>
      <c r="B13" s="52">
        <f t="shared" si="0"/>
        <v>2.3288743096422602</v>
      </c>
      <c r="C13" s="52">
        <f t="shared" si="1"/>
        <v>0.47695922076506025</v>
      </c>
      <c r="D13" s="52">
        <v>8.2886783546864464</v>
      </c>
      <c r="E13" s="52">
        <v>0.71156928001652708</v>
      </c>
      <c r="F13" s="52">
        <v>0.19416646959267911</v>
      </c>
      <c r="G13" s="52">
        <v>9.4264250390793697E-2</v>
      </c>
      <c r="H13" s="52">
        <v>2.224544841537424</v>
      </c>
      <c r="I13" s="52">
        <v>0.76803776129467294</v>
      </c>
    </row>
    <row r="14" spans="1:9" x14ac:dyDescent="0.45">
      <c r="A14" s="50">
        <v>0.68</v>
      </c>
      <c r="B14" s="52">
        <f t="shared" si="0"/>
        <v>2.2809240428978073</v>
      </c>
      <c r="C14" s="52">
        <f t="shared" si="1"/>
        <v>0.51285766971545521</v>
      </c>
      <c r="D14" s="52">
        <v>7.8322281323877077</v>
      </c>
      <c r="E14" s="52">
        <v>0.69156858517035646</v>
      </c>
      <c r="F14" s="52">
        <v>0.20621828738673781</v>
      </c>
      <c r="G14" s="52">
        <v>0.1022131274429058</v>
      </c>
      <c r="H14" s="52">
        <v>2.1359338061465718</v>
      </c>
      <c r="I14" s="52">
        <v>0.77482269503546097</v>
      </c>
    </row>
    <row r="15" spans="1:9" x14ac:dyDescent="0.45">
      <c r="A15" s="50">
        <v>0.66</v>
      </c>
      <c r="B15" s="52">
        <f t="shared" si="0"/>
        <v>2.2311424831798083</v>
      </c>
      <c r="C15" s="52">
        <f t="shared" si="1"/>
        <v>0.55281092137037047</v>
      </c>
      <c r="D15" s="52">
        <v>7.1827478403949003</v>
      </c>
      <c r="E15" s="52">
        <v>0.6716986292433289</v>
      </c>
      <c r="F15" s="52">
        <v>0.21604659544982141</v>
      </c>
      <c r="G15" s="52">
        <v>0.1122547753068497</v>
      </c>
      <c r="H15" s="52">
        <v>2.089675030851502</v>
      </c>
      <c r="I15" s="52">
        <v>0.8354586589880707</v>
      </c>
    </row>
    <row r="16" spans="1:9" x14ac:dyDescent="0.45">
      <c r="A16" s="50">
        <v>0.64</v>
      </c>
      <c r="B16" s="52">
        <f t="shared" si="0"/>
        <v>2.1745910991837163</v>
      </c>
      <c r="C16" s="52">
        <f t="shared" si="1"/>
        <v>0.59796358565236019</v>
      </c>
      <c r="D16" s="52">
        <v>6.6872098214285716</v>
      </c>
      <c r="E16" s="52">
        <v>0.64904859467326415</v>
      </c>
      <c r="F16" s="52">
        <v>0.22744531516392361</v>
      </c>
      <c r="G16" s="52">
        <v>0.12350609016281219</v>
      </c>
      <c r="H16" s="52">
        <v>1.980803571428571</v>
      </c>
      <c r="I16" s="52">
        <v>0.85357142857142854</v>
      </c>
    </row>
    <row r="17" spans="1:9" x14ac:dyDescent="0.45">
      <c r="A17" s="50">
        <v>0.62</v>
      </c>
      <c r="B17" s="52">
        <f t="shared" si="0"/>
        <v>2.1234388909289978</v>
      </c>
      <c r="C17" s="52">
        <f t="shared" si="1"/>
        <v>0.63925141338926716</v>
      </c>
      <c r="D17" s="52">
        <v>6.1839444444444451</v>
      </c>
      <c r="E17" s="52">
        <v>0.62870973174908784</v>
      </c>
      <c r="F17" s="52">
        <v>0.23730969568173441</v>
      </c>
      <c r="G17" s="52">
        <v>0.13398057256917759</v>
      </c>
      <c r="H17" s="52">
        <v>1.8681481481481479</v>
      </c>
      <c r="I17" s="52">
        <v>0.86851851851851847</v>
      </c>
    </row>
    <row r="18" spans="1:9" x14ac:dyDescent="0.45">
      <c r="A18" s="50">
        <v>0.6</v>
      </c>
      <c r="B18" s="52">
        <f t="shared" si="0"/>
        <v>2.0749792289385525</v>
      </c>
      <c r="C18" s="52">
        <f t="shared" si="1"/>
        <v>0.68220664089703831</v>
      </c>
      <c r="D18" s="52">
        <v>5.7927826579767636</v>
      </c>
      <c r="E18" s="52">
        <v>0.61072169959138134</v>
      </c>
      <c r="F18" s="52">
        <v>0.24281413016440859</v>
      </c>
      <c r="G18" s="52">
        <v>0.14646417024420991</v>
      </c>
      <c r="H18" s="52">
        <v>1.841836734693878</v>
      </c>
      <c r="I18" s="52">
        <v>0.88917233560090703</v>
      </c>
    </row>
    <row r="19" spans="1:9" x14ac:dyDescent="0.45">
      <c r="A19" s="50">
        <v>0.57999999999999996</v>
      </c>
      <c r="B19" s="52">
        <f t="shared" si="0"/>
        <v>2.0230889143600308</v>
      </c>
      <c r="C19" s="52">
        <f t="shared" si="1"/>
        <v>0.72731480520165426</v>
      </c>
      <c r="D19" s="52">
        <v>5.3694034104181263</v>
      </c>
      <c r="E19" s="52">
        <v>0.59116421130723862</v>
      </c>
      <c r="F19" s="52">
        <v>0.2495962804383148</v>
      </c>
      <c r="G19" s="52">
        <v>0.15923950825444649</v>
      </c>
      <c r="H19" s="52">
        <v>1.7619715019855171</v>
      </c>
      <c r="I19" s="52">
        <v>0.87432842793739785</v>
      </c>
    </row>
    <row r="20" spans="1:9" x14ac:dyDescent="0.45">
      <c r="A20" s="50">
        <v>0.56000000000000005</v>
      </c>
      <c r="B20" s="52">
        <f t="shared" si="0"/>
        <v>1.9673156855724254</v>
      </c>
      <c r="C20" s="52">
        <f t="shared" si="1"/>
        <v>0.77729484582409181</v>
      </c>
      <c r="D20" s="52">
        <v>4.9940233487589394</v>
      </c>
      <c r="E20" s="52">
        <v>0.5706420723229807</v>
      </c>
      <c r="F20" s="52">
        <v>0.25538946860348338</v>
      </c>
      <c r="G20" s="52">
        <v>0.17396845907353611</v>
      </c>
      <c r="H20" s="52">
        <v>1.7546812539448771</v>
      </c>
      <c r="I20" s="52">
        <v>0.93456764148958549</v>
      </c>
    </row>
    <row r="21" spans="1:9" x14ac:dyDescent="0.45">
      <c r="A21" s="50">
        <v>0.54</v>
      </c>
      <c r="B21" s="52">
        <f t="shared" si="0"/>
        <v>1.915666026436746</v>
      </c>
      <c r="C21" s="52">
        <f t="shared" si="1"/>
        <v>0.82283834599204153</v>
      </c>
      <c r="D21" s="52">
        <v>4.6734566383936302</v>
      </c>
      <c r="E21" s="52">
        <v>0.55139013295517769</v>
      </c>
      <c r="F21" s="52">
        <v>0.2614956275712127</v>
      </c>
      <c r="G21" s="52">
        <v>0.18711423947360961</v>
      </c>
      <c r="H21" s="52">
        <v>1.684957590444867</v>
      </c>
      <c r="I21" s="52">
        <v>0.95101263631642718</v>
      </c>
    </row>
    <row r="22" spans="1:9" x14ac:dyDescent="0.45">
      <c r="A22" s="50">
        <v>0.52</v>
      </c>
      <c r="B22" s="52">
        <f t="shared" si="0"/>
        <v>1.8614830167843088</v>
      </c>
      <c r="C22" s="52">
        <f t="shared" si="1"/>
        <v>0.87079851622593896</v>
      </c>
      <c r="D22" s="52">
        <v>4.4364235920606747</v>
      </c>
      <c r="E22" s="52">
        <v>0.53125484993151884</v>
      </c>
      <c r="F22" s="52">
        <v>0.26771846698975221</v>
      </c>
      <c r="G22" s="52">
        <v>0.2010266830787289</v>
      </c>
      <c r="H22" s="52">
        <v>1.625948039373891</v>
      </c>
      <c r="I22" s="52">
        <v>0.97079231886396644</v>
      </c>
    </row>
    <row r="23" spans="1:9" x14ac:dyDescent="0.45">
      <c r="A23" s="50">
        <v>0.5</v>
      </c>
      <c r="B23" s="52">
        <f t="shared" si="0"/>
        <v>1.8001937313313046</v>
      </c>
      <c r="C23" s="52">
        <f t="shared" si="1"/>
        <v>0.9268512077832276</v>
      </c>
      <c r="D23" s="52">
        <v>4.0808056015126448</v>
      </c>
      <c r="E23" s="52">
        <v>0.50907955681527894</v>
      </c>
      <c r="F23" s="52">
        <v>0.27295506088546778</v>
      </c>
      <c r="G23" s="52">
        <v>0.2179653822992533</v>
      </c>
      <c r="H23" s="52">
        <v>1.5342708579532029</v>
      </c>
      <c r="I23" s="52">
        <v>0.98593713070196176</v>
      </c>
    </row>
    <row r="24" spans="1:9" x14ac:dyDescent="0.45">
      <c r="A24" s="50">
        <v>0.48</v>
      </c>
      <c r="B24" s="52">
        <f t="shared" si="0"/>
        <v>1.743992017160418</v>
      </c>
      <c r="C24" s="52">
        <f t="shared" si="1"/>
        <v>0.97803937284245479</v>
      </c>
      <c r="D24" s="52">
        <v>3.810339589545694</v>
      </c>
      <c r="E24" s="52">
        <v>0.48867446905443013</v>
      </c>
      <c r="F24" s="52">
        <v>0.27796860999712752</v>
      </c>
      <c r="G24" s="52">
        <v>0.2333569209484424</v>
      </c>
      <c r="H24" s="52">
        <v>1.510877192982456</v>
      </c>
      <c r="I24" s="52">
        <v>1.0163157894736841</v>
      </c>
    </row>
    <row r="25" spans="1:9" x14ac:dyDescent="0.45">
      <c r="A25" s="50">
        <v>0.46</v>
      </c>
      <c r="B25" s="52">
        <f t="shared" si="0"/>
        <v>1.6955772349985931</v>
      </c>
      <c r="C25" s="52">
        <f t="shared" si="1"/>
        <v>1.0239029519551039</v>
      </c>
      <c r="D25" s="52">
        <v>3.6877298096251629</v>
      </c>
      <c r="E25" s="52">
        <v>0.47168580731743009</v>
      </c>
      <c r="F25" s="52">
        <v>0.28051981304630291</v>
      </c>
      <c r="G25" s="52">
        <v>0.24779437963626699</v>
      </c>
      <c r="H25" s="52">
        <v>1.4888836329233679</v>
      </c>
      <c r="I25" s="52">
        <v>1.0516792809839171</v>
      </c>
    </row>
    <row r="26" spans="1:9" x14ac:dyDescent="0.45">
      <c r="A26" s="50">
        <v>0.44</v>
      </c>
      <c r="B26" s="52">
        <f t="shared" si="0"/>
        <v>1.6395459745305552</v>
      </c>
      <c r="C26" s="52">
        <f t="shared" si="1"/>
        <v>1.0758429359324786</v>
      </c>
      <c r="D26" s="52">
        <v>3.4762070489844681</v>
      </c>
      <c r="E26" s="52">
        <v>0.45164496166452989</v>
      </c>
      <c r="F26" s="52">
        <v>0.28461108953696551</v>
      </c>
      <c r="G26" s="52">
        <v>0.26374394879850438</v>
      </c>
      <c r="H26" s="52">
        <v>1.4140979689366791</v>
      </c>
      <c r="I26" s="52">
        <v>1.0666666666666671</v>
      </c>
    </row>
    <row r="27" spans="1:9" x14ac:dyDescent="0.45">
      <c r="A27" s="50">
        <v>0.42</v>
      </c>
      <c r="B27" s="52">
        <f t="shared" si="0"/>
        <v>1.5780106027030405</v>
      </c>
      <c r="C27" s="52">
        <f t="shared" si="1"/>
        <v>1.1353025412447635</v>
      </c>
      <c r="D27" s="52">
        <v>3.2536406787179768</v>
      </c>
      <c r="E27" s="52">
        <v>0.43044124888361479</v>
      </c>
      <c r="F27" s="52">
        <v>0.28668685605219602</v>
      </c>
      <c r="G27" s="52">
        <v>0.28287189506418919</v>
      </c>
      <c r="H27" s="52">
        <v>1.396960958296362</v>
      </c>
      <c r="I27" s="52">
        <v>1.091503992901508</v>
      </c>
    </row>
    <row r="28" spans="1:9" x14ac:dyDescent="0.45">
      <c r="A28" s="50">
        <v>0.4</v>
      </c>
      <c r="B28" s="52">
        <f t="shared" si="0"/>
        <v>1.5181603563290151</v>
      </c>
      <c r="C28" s="52">
        <f t="shared" si="1"/>
        <v>1.1952730370775513</v>
      </c>
      <c r="D28" s="52">
        <v>3.0282237786129138</v>
      </c>
      <c r="E28" s="52">
        <v>0.41053124991186069</v>
      </c>
      <c r="F28" s="52">
        <v>0.28656660659343319</v>
      </c>
      <c r="G28" s="52">
        <v>0.30290214349470601</v>
      </c>
      <c r="H28" s="52">
        <v>1.344038264434575</v>
      </c>
      <c r="I28" s="52">
        <v>1.1515772691037469</v>
      </c>
    </row>
    <row r="29" spans="1:9" x14ac:dyDescent="0.45">
      <c r="A29" s="50">
        <v>0.38</v>
      </c>
      <c r="B29" s="52">
        <f t="shared" si="0"/>
        <v>1.464160929441638</v>
      </c>
      <c r="C29" s="52">
        <f t="shared" si="1"/>
        <v>1.2477119808919459</v>
      </c>
      <c r="D29" s="52">
        <v>2.9007257033248082</v>
      </c>
      <c r="E29" s="52">
        <v>0.39201127992507417</v>
      </c>
      <c r="F29" s="52">
        <v>0.28812708966641548</v>
      </c>
      <c r="G29" s="52">
        <v>0.31986163040851018</v>
      </c>
      <c r="H29" s="52">
        <v>1.330562659846547</v>
      </c>
      <c r="I29" s="52">
        <v>1.1595268542199491</v>
      </c>
    </row>
    <row r="30" spans="1:9" x14ac:dyDescent="0.45">
      <c r="A30" s="50">
        <v>0.36</v>
      </c>
      <c r="B30" s="52">
        <f t="shared" si="0"/>
        <v>1.4023864615972674</v>
      </c>
      <c r="C30" s="52">
        <f t="shared" si="1"/>
        <v>1.3093265904245279</v>
      </c>
      <c r="D30" s="52">
        <v>2.7420049569219871</v>
      </c>
      <c r="E30" s="52">
        <v>0.37136650453968778</v>
      </c>
      <c r="F30" s="52">
        <v>0.28828694797820409</v>
      </c>
      <c r="G30" s="52">
        <v>0.34034654748210791</v>
      </c>
      <c r="H30" s="52">
        <v>1.269326094653606</v>
      </c>
      <c r="I30" s="52">
        <v>1.2417089578661631</v>
      </c>
    </row>
    <row r="31" spans="1:9" x14ac:dyDescent="0.45">
      <c r="A31" s="50">
        <v>0.34</v>
      </c>
      <c r="B31" s="52">
        <f t="shared" si="0"/>
        <v>1.3382439854569812</v>
      </c>
      <c r="C31" s="52">
        <f t="shared" si="1"/>
        <v>1.3740319615582339</v>
      </c>
      <c r="D31" s="52">
        <v>2.585041102514507</v>
      </c>
      <c r="E31" s="52">
        <v>0.35017331082406528</v>
      </c>
      <c r="F31" s="52">
        <v>0.28772405298478532</v>
      </c>
      <c r="G31" s="52">
        <v>0.36210263619114952</v>
      </c>
      <c r="H31" s="52">
        <v>1.228921489601805</v>
      </c>
      <c r="I31" s="52">
        <v>1.2940512655166849</v>
      </c>
    </row>
    <row r="32" spans="1:9" x14ac:dyDescent="0.45">
      <c r="A32" s="50">
        <v>0.32</v>
      </c>
      <c r="B32" s="52">
        <f t="shared" si="0"/>
        <v>1.274681051426811</v>
      </c>
      <c r="C32" s="52">
        <f t="shared" si="1"/>
        <v>1.4392482240810365</v>
      </c>
      <c r="D32" s="52">
        <v>2.4463112987246269</v>
      </c>
      <c r="E32" s="52">
        <v>0.32953677564488632</v>
      </c>
      <c r="F32" s="52">
        <v>0.28607072449215198</v>
      </c>
      <c r="G32" s="52">
        <v>0.38439249986296148</v>
      </c>
      <c r="H32" s="52">
        <v>1.210167055864918</v>
      </c>
      <c r="I32" s="52">
        <v>1.3211783725525419</v>
      </c>
    </row>
    <row r="33" spans="1:9" x14ac:dyDescent="0.45">
      <c r="A33" s="50">
        <v>0.3</v>
      </c>
      <c r="B33" s="52">
        <f t="shared" si="0"/>
        <v>1.2142445227270171</v>
      </c>
      <c r="C33" s="52">
        <f t="shared" si="1"/>
        <v>1.4993969533036628</v>
      </c>
      <c r="D33" s="52">
        <v>2.3430874035989722</v>
      </c>
      <c r="E33" s="52">
        <v>0.30929533291923228</v>
      </c>
      <c r="F33" s="52">
        <v>0.28635852396932021</v>
      </c>
      <c r="G33" s="52">
        <v>0.40434614311144751</v>
      </c>
      <c r="H33" s="52">
        <v>1.1805091283106199</v>
      </c>
      <c r="I33" s="52">
        <v>1.3921316533813319</v>
      </c>
    </row>
    <row r="34" spans="1:9" x14ac:dyDescent="0.45">
      <c r="A34" s="50">
        <v>0.28000000000000003</v>
      </c>
      <c r="B34" s="52">
        <f t="shared" si="0"/>
        <v>1.1529533168233341</v>
      </c>
      <c r="C34" s="52">
        <f t="shared" si="1"/>
        <v>1.5628535554286829</v>
      </c>
      <c r="D34" s="52">
        <v>2.230090390104662</v>
      </c>
      <c r="E34" s="52">
        <v>0.28958672969178378</v>
      </c>
      <c r="F34" s="52">
        <v>0.28419312774798272</v>
      </c>
      <c r="G34" s="52">
        <v>0.42622014256023338</v>
      </c>
      <c r="H34" s="52">
        <v>1.128766254360926</v>
      </c>
      <c r="I34" s="52">
        <v>1.415794481446242</v>
      </c>
    </row>
    <row r="35" spans="1:9" x14ac:dyDescent="0.45">
      <c r="A35" s="50">
        <v>0.26</v>
      </c>
      <c r="B35" s="52">
        <f t="shared" si="0"/>
        <v>1.0905313574236399</v>
      </c>
      <c r="C35" s="52">
        <f t="shared" si="1"/>
        <v>1.6289415604939639</v>
      </c>
      <c r="D35" s="52">
        <v>2.126145461173897</v>
      </c>
      <c r="E35" s="52">
        <v>0.27000142511374792</v>
      </c>
      <c r="F35" s="52">
        <v>0.28052708208239618</v>
      </c>
      <c r="G35" s="52">
        <v>0.4494714928038559</v>
      </c>
      <c r="H35" s="52">
        <v>1.0936930368209989</v>
      </c>
      <c r="I35" s="52">
        <v>1.475756471017134</v>
      </c>
    </row>
    <row r="36" spans="1:9" x14ac:dyDescent="0.45">
      <c r="A36" s="50">
        <v>0.24</v>
      </c>
      <c r="B36" s="52">
        <f t="shared" si="0"/>
        <v>1.0221684690062811</v>
      </c>
      <c r="C36" s="52">
        <f t="shared" si="1"/>
        <v>1.7036119427882386</v>
      </c>
      <c r="D36" s="52">
        <v>2.0077492401215808</v>
      </c>
      <c r="E36" s="52">
        <v>0.249316293600267</v>
      </c>
      <c r="F36" s="52">
        <v>0.2742195882054802</v>
      </c>
      <c r="G36" s="52">
        <v>0.47646411819425272</v>
      </c>
      <c r="H36" s="52">
        <v>1.067249240121581</v>
      </c>
      <c r="I36" s="52">
        <v>1.53419452887538</v>
      </c>
    </row>
    <row r="37" spans="1:9" x14ac:dyDescent="0.45">
      <c r="A37" s="50">
        <v>0.22</v>
      </c>
      <c r="B37" s="52">
        <f t="shared" si="0"/>
        <v>0.95722909461760497</v>
      </c>
      <c r="C37" s="52">
        <f t="shared" si="1"/>
        <v>1.7723830340511415</v>
      </c>
      <c r="D37" s="52">
        <v>1.909884864165589</v>
      </c>
      <c r="E37" s="52">
        <v>0.22894707442878379</v>
      </c>
      <c r="F37" s="52">
        <v>0.27038787133125369</v>
      </c>
      <c r="G37" s="52">
        <v>0.50066505423996255</v>
      </c>
      <c r="H37" s="52">
        <v>1.0633893919793009</v>
      </c>
      <c r="I37" s="52">
        <v>1.648124191461837</v>
      </c>
    </row>
    <row r="38" spans="1:9" x14ac:dyDescent="0.45">
      <c r="A38" s="50">
        <v>0.2</v>
      </c>
      <c r="B38" s="52">
        <f t="shared" si="0"/>
        <v>0.89040268062788797</v>
      </c>
      <c r="C38" s="52">
        <f t="shared" si="1"/>
        <v>1.8482406971105219</v>
      </c>
      <c r="D38" s="52">
        <v>1.8171167227833891</v>
      </c>
      <c r="E38" s="52">
        <v>0.20968201945543249</v>
      </c>
      <c r="F38" s="52">
        <v>0.26135662226159051</v>
      </c>
      <c r="G38" s="52">
        <v>0.52896135828297708</v>
      </c>
      <c r="H38" s="52">
        <v>1.0101010101010099</v>
      </c>
      <c r="I38" s="52">
        <v>1.696408529741863</v>
      </c>
    </row>
    <row r="39" spans="1:9" x14ac:dyDescent="0.45">
      <c r="A39" s="50">
        <v>0.18</v>
      </c>
      <c r="B39" s="52">
        <f t="shared" si="0"/>
        <v>0.82644342026658157</v>
      </c>
      <c r="C39" s="52">
        <f t="shared" si="1"/>
        <v>1.9167800490169129</v>
      </c>
      <c r="D39" s="52">
        <v>1.7329678384442779</v>
      </c>
      <c r="E39" s="52">
        <v>0.18988896318335879</v>
      </c>
      <c r="F39" s="52">
        <v>0.25677653071650519</v>
      </c>
      <c r="G39" s="52">
        <v>0.5533345061001359</v>
      </c>
      <c r="H39" s="52">
        <v>1.007479431563201</v>
      </c>
      <c r="I39" s="52">
        <v>1.724008975317876</v>
      </c>
    </row>
    <row r="40" spans="1:9" x14ac:dyDescent="0.45">
      <c r="A40" s="50">
        <v>0.16</v>
      </c>
      <c r="B40" s="52">
        <f t="shared" si="0"/>
        <v>0.76311713474335174</v>
      </c>
      <c r="C40" s="52">
        <f t="shared" si="1"/>
        <v>1.9893236068014093</v>
      </c>
      <c r="D40" s="52">
        <v>1.653922231614539</v>
      </c>
      <c r="E40" s="52">
        <v>0.17185262542937091</v>
      </c>
      <c r="F40" s="52">
        <v>0.24755925845523899</v>
      </c>
      <c r="G40" s="52">
        <v>0.58058811611539007</v>
      </c>
      <c r="H40" s="52">
        <v>0.94500846023688667</v>
      </c>
      <c r="I40" s="52">
        <v>1.755499153976311</v>
      </c>
    </row>
    <row r="41" spans="1:9" x14ac:dyDescent="0.45">
      <c r="A41" s="50">
        <v>0.14000000000000001</v>
      </c>
      <c r="B41" s="52">
        <f t="shared" si="0"/>
        <v>0.69121210804315225</v>
      </c>
      <c r="C41" s="52">
        <f t="shared" si="1"/>
        <v>2.0712429369326668</v>
      </c>
      <c r="D41" s="52">
        <v>1.5753163793103451</v>
      </c>
      <c r="E41" s="52">
        <v>0.1512223843396571</v>
      </c>
      <c r="F41" s="52">
        <v>0.23754495502418091</v>
      </c>
      <c r="G41" s="52">
        <v>0.611232660636162</v>
      </c>
      <c r="H41" s="52">
        <v>0.90258620689655178</v>
      </c>
      <c r="I41" s="52">
        <v>1.944827586206896</v>
      </c>
    </row>
    <row r="42" spans="1:9" x14ac:dyDescent="0.45">
      <c r="A42" s="50">
        <v>0.12</v>
      </c>
      <c r="B42" s="52">
        <f t="shared" si="0"/>
        <v>0.61414966490143463</v>
      </c>
      <c r="C42" s="52">
        <f t="shared" si="1"/>
        <v>2.1593298968977654</v>
      </c>
      <c r="D42" s="52">
        <v>1.4967479423868311</v>
      </c>
      <c r="E42" s="52">
        <v>0.12920974223354481</v>
      </c>
      <c r="F42" s="52">
        <v>0.2265204382008002</v>
      </c>
      <c r="G42" s="52">
        <v>0.64426981956565499</v>
      </c>
      <c r="H42" s="52">
        <v>0.84567901234567899</v>
      </c>
      <c r="I42" s="52">
        <v>1.9711934156378601</v>
      </c>
    </row>
    <row r="43" spans="1:9" x14ac:dyDescent="0.45">
      <c r="A43" s="50">
        <v>0.1</v>
      </c>
      <c r="B43" s="52">
        <f t="shared" si="0"/>
        <v>0.53579250647230348</v>
      </c>
      <c r="C43" s="52">
        <f t="shared" si="1"/>
        <v>2.2550399835145551</v>
      </c>
      <c r="D43" s="52">
        <v>1.416071519795657</v>
      </c>
      <c r="E43" s="52">
        <v>0.10887499881972081</v>
      </c>
      <c r="F43" s="52">
        <v>0.20916751001314099</v>
      </c>
      <c r="G43" s="52">
        <v>0.68195749116713811</v>
      </c>
      <c r="H43" s="52">
        <v>0.86717752234993617</v>
      </c>
      <c r="I43" s="52">
        <v>2.0664112388250322</v>
      </c>
    </row>
    <row r="44" spans="1:9" x14ac:dyDescent="0.45">
      <c r="A44" s="50">
        <v>0.08</v>
      </c>
      <c r="B44" s="52">
        <f t="shared" si="0"/>
        <v>0.45590591794760738</v>
      </c>
      <c r="C44" s="52">
        <f t="shared" si="1"/>
        <v>2.3569377890997196</v>
      </c>
      <c r="D44" s="52">
        <v>1.3416263565891471</v>
      </c>
      <c r="E44" s="52">
        <v>8.9583208331644695E-2</v>
      </c>
      <c r="F44" s="52">
        <v>0.1871562929526733</v>
      </c>
      <c r="G44" s="52">
        <v>0.7232604987156821</v>
      </c>
      <c r="H44" s="52">
        <v>0.72868217054263562</v>
      </c>
      <c r="I44" s="52">
        <v>2.2666666666666671</v>
      </c>
    </row>
    <row r="45" spans="1:9" x14ac:dyDescent="0.45">
      <c r="A45" s="50">
        <v>0</v>
      </c>
      <c r="B45" s="52">
        <f t="shared" si="0"/>
        <v>0.33061742332584204</v>
      </c>
      <c r="C45" s="52">
        <f t="shared" si="1"/>
        <v>2.5198100315799512</v>
      </c>
      <c r="D45" s="52">
        <v>1.231480569948187</v>
      </c>
      <c r="E45" s="52">
        <v>6.0348292743878318E-2</v>
      </c>
      <c r="F45" s="52">
        <v>0.14957254509420709</v>
      </c>
      <c r="G45" s="52">
        <v>0.79007916216191465</v>
      </c>
      <c r="H45" s="52">
        <v>0.68264248704663211</v>
      </c>
      <c r="I45" s="52">
        <v>2.4054404145077721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76D88-60F2-4CEB-862F-A9E49CA8F8B8}">
  <dimension ref="A1:AD39"/>
  <sheetViews>
    <sheetView workbookViewId="0">
      <selection activeCell="D2" sqref="D2"/>
    </sheetView>
  </sheetViews>
  <sheetFormatPr defaultRowHeight="14.25" x14ac:dyDescent="0.45"/>
  <cols>
    <col min="2" max="2" width="14.73046875" bestFit="1" customWidth="1"/>
    <col min="3" max="3" width="14.59765625" bestFit="1" customWidth="1"/>
    <col min="4" max="4" width="15.19921875" bestFit="1" customWidth="1"/>
    <col min="5" max="5" width="15.19921875" customWidth="1"/>
    <col min="7" max="7" width="9.33203125" bestFit="1" customWidth="1"/>
    <col min="8" max="8" width="5.53125" bestFit="1" customWidth="1"/>
    <col min="9" max="9" width="10.19921875" bestFit="1" customWidth="1"/>
    <col min="10" max="12" width="10.19921875" customWidth="1"/>
    <col min="13" max="13" width="14.46484375" bestFit="1" customWidth="1"/>
    <col min="14" max="14" width="14.1328125" bestFit="1" customWidth="1"/>
    <col min="30" max="30" width="4.73046875" bestFit="1" customWidth="1"/>
  </cols>
  <sheetData>
    <row r="1" spans="1:30" x14ac:dyDescent="0.45">
      <c r="B1" t="s">
        <v>158</v>
      </c>
      <c r="C1" t="s">
        <v>159</v>
      </c>
      <c r="D1" t="s">
        <v>234</v>
      </c>
      <c r="E1" t="s">
        <v>272</v>
      </c>
      <c r="G1" s="72" t="s">
        <v>160</v>
      </c>
      <c r="H1" s="72" t="s">
        <v>161</v>
      </c>
      <c r="I1" s="72" t="s">
        <v>162</v>
      </c>
      <c r="J1" s="72" t="s">
        <v>231</v>
      </c>
      <c r="K1" s="72" t="s">
        <v>232</v>
      </c>
      <c r="L1" s="72" t="s">
        <v>233</v>
      </c>
      <c r="M1" s="72" t="s">
        <v>163</v>
      </c>
      <c r="N1" s="72" t="s">
        <v>164</v>
      </c>
      <c r="O1" s="72" t="s">
        <v>165</v>
      </c>
      <c r="P1" s="72" t="s">
        <v>166</v>
      </c>
      <c r="Q1" s="72" t="s">
        <v>167</v>
      </c>
      <c r="R1" s="72" t="s">
        <v>132</v>
      </c>
      <c r="S1" s="72" t="s">
        <v>133</v>
      </c>
      <c r="T1" s="72" t="s">
        <v>134</v>
      </c>
      <c r="V1" t="s">
        <v>228</v>
      </c>
      <c r="W1" t="s">
        <v>229</v>
      </c>
      <c r="X1" t="s">
        <v>230</v>
      </c>
      <c r="Z1" t="s">
        <v>233</v>
      </c>
      <c r="AA1" t="s">
        <v>232</v>
      </c>
      <c r="AB1" t="s">
        <v>231</v>
      </c>
    </row>
    <row r="2" spans="1:30" x14ac:dyDescent="0.45">
      <c r="A2" s="58" t="s">
        <v>157</v>
      </c>
      <c r="B2" s="58">
        <f>D2</f>
        <v>3</v>
      </c>
      <c r="C2" s="59">
        <f>E2</f>
        <v>1.7848669165066395</v>
      </c>
      <c r="D2" s="58" cm="1">
        <f t="array" ref="D2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2" s="59">
        <f>IF(Table1[[#This Row],[HomeTeam]]="Leicester",Table1[[#This Row],[ProbH]]*3+Table1[[#This Row],[ProbD]]*1,Table1[[#This Row],[ProbA]]*3+Table1[[#This Row],[ProbD]]*1)</f>
        <v>1.7848669165066395</v>
      </c>
      <c r="G2" s="58" t="s">
        <v>168</v>
      </c>
      <c r="H2" s="58" t="s">
        <v>169</v>
      </c>
      <c r="I2" s="73" t="s">
        <v>194</v>
      </c>
      <c r="J2" s="60">
        <v>2808</v>
      </c>
      <c r="K2" s="73"/>
      <c r="L2" s="73"/>
      <c r="M2" s="58" t="s">
        <v>63</v>
      </c>
      <c r="N2" s="58" t="s">
        <v>195</v>
      </c>
      <c r="O2" s="58">
        <v>4</v>
      </c>
      <c r="P2" s="58">
        <v>2</v>
      </c>
      <c r="Q2" s="58" t="s">
        <v>175</v>
      </c>
      <c r="R2" s="59">
        <v>0.50299328590321668</v>
      </c>
      <c r="S2" s="59">
        <v>0.27588705879698938</v>
      </c>
      <c r="T2" s="59">
        <v>0.2211196552997938</v>
      </c>
      <c r="V2">
        <v>1</v>
      </c>
      <c r="W2">
        <v>3</v>
      </c>
      <c r="X2">
        <v>2016</v>
      </c>
      <c r="Z2">
        <f>IF(X2=2016, 4000, 2000)</f>
        <v>4000</v>
      </c>
      <c r="AA2">
        <f>W2*100</f>
        <v>300</v>
      </c>
      <c r="AB2">
        <f>V2</f>
        <v>1</v>
      </c>
      <c r="AD2" s="11">
        <f>SUM(Z2:AB2)</f>
        <v>4301</v>
      </c>
    </row>
    <row r="3" spans="1:30" x14ac:dyDescent="0.45">
      <c r="A3" s="58" t="s">
        <v>235</v>
      </c>
      <c r="B3" s="58">
        <f>B2+D3</f>
        <v>6</v>
      </c>
      <c r="C3" s="59">
        <f>C2+E3</f>
        <v>2.9205656404406577</v>
      </c>
      <c r="D3" s="58" cm="1">
        <f t="array" ref="D3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3" s="59">
        <f>IF(Table1[[#This Row],[HomeTeam]]="Leicester",Table1[[#This Row],[ProbH]]*3+Table1[[#This Row],[ProbD]]*1,Table1[[#This Row],[ProbA]]*3+Table1[[#This Row],[ProbD]]*1)</f>
        <v>1.1356987239340182</v>
      </c>
      <c r="G3" s="58" t="s">
        <v>168</v>
      </c>
      <c r="H3" s="58" t="s">
        <v>169</v>
      </c>
      <c r="I3" s="73" t="s">
        <v>210</v>
      </c>
      <c r="J3" s="60">
        <v>2815</v>
      </c>
      <c r="K3" s="73"/>
      <c r="L3" s="73"/>
      <c r="M3" s="58" t="s">
        <v>197</v>
      </c>
      <c r="N3" s="58" t="s">
        <v>63</v>
      </c>
      <c r="O3" s="58">
        <v>1</v>
      </c>
      <c r="P3" s="58">
        <v>2</v>
      </c>
      <c r="Q3" s="58" t="s">
        <v>180</v>
      </c>
      <c r="R3" s="59">
        <v>0.43635231870525992</v>
      </c>
      <c r="S3" s="59">
        <v>0.27762215997510109</v>
      </c>
      <c r="T3" s="59">
        <v>0.28602552131963899</v>
      </c>
      <c r="V3">
        <v>1</v>
      </c>
      <c r="W3">
        <v>5</v>
      </c>
      <c r="X3">
        <v>2016</v>
      </c>
      <c r="Z3">
        <f t="shared" ref="Z3:Z39" si="0">IF(X3=2016, 4000, 2000)</f>
        <v>4000</v>
      </c>
      <c r="AA3">
        <f t="shared" ref="AA3:AA39" si="1">W3*100</f>
        <v>500</v>
      </c>
      <c r="AB3">
        <f t="shared" ref="AB3:AB39" si="2">V3</f>
        <v>1</v>
      </c>
      <c r="AD3" s="11">
        <f t="shared" ref="AD3:AD39" si="3">SUM(Z3:AB3)</f>
        <v>4501</v>
      </c>
    </row>
    <row r="4" spans="1:30" x14ac:dyDescent="0.45">
      <c r="A4" s="58" t="s">
        <v>236</v>
      </c>
      <c r="B4" s="58">
        <f t="shared" ref="B4:B39" si="4">B3+D4</f>
        <v>7</v>
      </c>
      <c r="C4" s="59">
        <f t="shared" ref="C4:C39" si="5">C3+E4</f>
        <v>4.3101714578031292</v>
      </c>
      <c r="D4" s="58" cm="1">
        <f t="array" ref="D4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4" s="59">
        <f>IF(Table1[[#This Row],[HomeTeam]]="Leicester",Table1[[#This Row],[ProbH]]*3+Table1[[#This Row],[ProbD]]*1,Table1[[#This Row],[ProbA]]*3+Table1[[#This Row],[ProbD]]*1)</f>
        <v>1.3896058173624712</v>
      </c>
      <c r="G4" s="58" t="s">
        <v>168</v>
      </c>
      <c r="H4" s="58" t="s">
        <v>169</v>
      </c>
      <c r="I4" s="73" t="s">
        <v>206</v>
      </c>
      <c r="J4" s="60">
        <v>2822</v>
      </c>
      <c r="K4" s="73"/>
      <c r="L4" s="73"/>
      <c r="M4" s="58" t="s">
        <v>63</v>
      </c>
      <c r="N4" s="58" t="s">
        <v>207</v>
      </c>
      <c r="O4" s="58">
        <v>1</v>
      </c>
      <c r="P4" s="58">
        <v>1</v>
      </c>
      <c r="Q4" s="58" t="s">
        <v>172</v>
      </c>
      <c r="R4" s="59">
        <v>0.37301404411670569</v>
      </c>
      <c r="S4" s="59">
        <v>0.27056368501235423</v>
      </c>
      <c r="T4" s="59">
        <v>0.35642227087093997</v>
      </c>
      <c r="V4">
        <v>2</v>
      </c>
      <c r="W4">
        <v>1</v>
      </c>
      <c r="X4">
        <v>2016</v>
      </c>
      <c r="Z4">
        <f t="shared" si="0"/>
        <v>4000</v>
      </c>
      <c r="AA4">
        <f t="shared" si="1"/>
        <v>100</v>
      </c>
      <c r="AB4">
        <f t="shared" si="2"/>
        <v>2</v>
      </c>
      <c r="AD4" s="11">
        <f t="shared" si="3"/>
        <v>4102</v>
      </c>
    </row>
    <row r="5" spans="1:30" x14ac:dyDescent="0.45">
      <c r="A5" s="58" t="s">
        <v>237</v>
      </c>
      <c r="B5" s="58">
        <f t="shared" si="4"/>
        <v>8</v>
      </c>
      <c r="C5" s="59">
        <f t="shared" si="5"/>
        <v>5.4350476709146367</v>
      </c>
      <c r="D5" s="58" cm="1">
        <f t="array" ref="D5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5" s="59">
        <f>IF(Table1[[#This Row],[HomeTeam]]="Leicester",Table1[[#This Row],[ProbH]]*3+Table1[[#This Row],[ProbD]]*1,Table1[[#This Row],[ProbA]]*3+Table1[[#This Row],[ProbD]]*1)</f>
        <v>1.1248762131115075</v>
      </c>
      <c r="G5" s="58" t="s">
        <v>168</v>
      </c>
      <c r="H5" s="58" t="s">
        <v>169</v>
      </c>
      <c r="I5" s="73" t="s">
        <v>211</v>
      </c>
      <c r="J5" s="60">
        <v>2829</v>
      </c>
      <c r="K5" s="73"/>
      <c r="L5" s="73"/>
      <c r="M5" s="58" t="s">
        <v>203</v>
      </c>
      <c r="N5" s="58" t="s">
        <v>63</v>
      </c>
      <c r="O5" s="58">
        <v>1</v>
      </c>
      <c r="P5" s="58">
        <v>1</v>
      </c>
      <c r="Q5" s="58" t="s">
        <v>172</v>
      </c>
      <c r="R5" s="59">
        <v>0.44573182808476919</v>
      </c>
      <c r="S5" s="59">
        <v>0.2689641513170925</v>
      </c>
      <c r="T5" s="59">
        <v>0.28530402059813831</v>
      </c>
      <c r="V5">
        <v>2</v>
      </c>
      <c r="W5">
        <v>2</v>
      </c>
      <c r="X5">
        <v>2016</v>
      </c>
      <c r="Z5">
        <f t="shared" si="0"/>
        <v>4000</v>
      </c>
      <c r="AA5">
        <f t="shared" si="1"/>
        <v>200</v>
      </c>
      <c r="AB5">
        <f t="shared" si="2"/>
        <v>2</v>
      </c>
      <c r="AD5" s="11">
        <f t="shared" si="3"/>
        <v>4202</v>
      </c>
    </row>
    <row r="6" spans="1:30" x14ac:dyDescent="0.45">
      <c r="A6" s="58" t="s">
        <v>238</v>
      </c>
      <c r="B6" s="58">
        <f t="shared" si="4"/>
        <v>11</v>
      </c>
      <c r="C6" s="59">
        <f t="shared" si="5"/>
        <v>7.2441632881097675</v>
      </c>
      <c r="D6" s="58" cm="1">
        <f t="array" ref="D6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6" s="59">
        <f>IF(Table1[[#This Row],[HomeTeam]]="Leicester",Table1[[#This Row],[ProbH]]*3+Table1[[#This Row],[ProbD]]*1,Table1[[#This Row],[ProbA]]*3+Table1[[#This Row],[ProbD]]*1)</f>
        <v>1.8091156171951304</v>
      </c>
      <c r="G6" s="58" t="s">
        <v>168</v>
      </c>
      <c r="H6" s="58" t="s">
        <v>169</v>
      </c>
      <c r="I6" s="73" t="s">
        <v>198</v>
      </c>
      <c r="J6" s="60">
        <v>2913</v>
      </c>
      <c r="K6" s="73"/>
      <c r="L6" s="73"/>
      <c r="M6" s="58" t="s">
        <v>63</v>
      </c>
      <c r="N6" s="58" t="s">
        <v>199</v>
      </c>
      <c r="O6" s="58">
        <v>3</v>
      </c>
      <c r="P6" s="58">
        <v>2</v>
      </c>
      <c r="Q6" s="58" t="s">
        <v>175</v>
      </c>
      <c r="R6" s="59">
        <v>0.51650228998813685</v>
      </c>
      <c r="S6" s="59">
        <v>0.25960874723071981</v>
      </c>
      <c r="T6" s="59">
        <v>0.2238889627811432</v>
      </c>
      <c r="V6">
        <v>3</v>
      </c>
      <c r="W6">
        <v>4</v>
      </c>
      <c r="X6">
        <v>2016</v>
      </c>
      <c r="Z6">
        <f t="shared" si="0"/>
        <v>4000</v>
      </c>
      <c r="AA6">
        <f t="shared" si="1"/>
        <v>400</v>
      </c>
      <c r="AB6">
        <f t="shared" si="2"/>
        <v>3</v>
      </c>
      <c r="AD6" s="11">
        <f t="shared" si="3"/>
        <v>4403</v>
      </c>
    </row>
    <row r="7" spans="1:30" x14ac:dyDescent="0.45">
      <c r="A7" s="58" t="s">
        <v>239</v>
      </c>
      <c r="B7" s="58">
        <f t="shared" si="4"/>
        <v>12</v>
      </c>
      <c r="C7" s="59">
        <f t="shared" si="5"/>
        <v>8.5016796279790494</v>
      </c>
      <c r="D7" s="58" cm="1">
        <f t="array" ref="D7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7" s="59">
        <f>IF(Table1[[#This Row],[HomeTeam]]="Leicester",Table1[[#This Row],[ProbH]]*3+Table1[[#This Row],[ProbD]]*1,Table1[[#This Row],[ProbA]]*3+Table1[[#This Row],[ProbD]]*1)</f>
        <v>1.2575163398692812</v>
      </c>
      <c r="G7" s="58" t="s">
        <v>168</v>
      </c>
      <c r="H7" s="58" t="s">
        <v>169</v>
      </c>
      <c r="I7" s="73" t="s">
        <v>209</v>
      </c>
      <c r="J7" s="60">
        <v>2919</v>
      </c>
      <c r="K7" s="73"/>
      <c r="L7" s="73"/>
      <c r="M7" s="58" t="s">
        <v>184</v>
      </c>
      <c r="N7" s="58" t="s">
        <v>63</v>
      </c>
      <c r="O7" s="58">
        <v>2</v>
      </c>
      <c r="P7" s="58">
        <v>2</v>
      </c>
      <c r="Q7" s="58" t="s">
        <v>172</v>
      </c>
      <c r="R7" s="59">
        <v>0.39084967320261438</v>
      </c>
      <c r="S7" s="59">
        <v>0.28496732026143801</v>
      </c>
      <c r="T7" s="59">
        <v>0.32418300653594773</v>
      </c>
      <c r="V7">
        <v>3</v>
      </c>
      <c r="W7">
        <v>10</v>
      </c>
      <c r="X7">
        <v>2015</v>
      </c>
      <c r="Z7">
        <f t="shared" si="0"/>
        <v>2000</v>
      </c>
      <c r="AA7">
        <f t="shared" si="1"/>
        <v>1000</v>
      </c>
      <c r="AB7">
        <f t="shared" si="2"/>
        <v>3</v>
      </c>
      <c r="AD7" s="11">
        <f t="shared" si="3"/>
        <v>3003</v>
      </c>
    </row>
    <row r="8" spans="1:30" x14ac:dyDescent="0.45">
      <c r="A8" s="58" t="s">
        <v>240</v>
      </c>
      <c r="B8" s="58">
        <f t="shared" si="4"/>
        <v>12</v>
      </c>
      <c r="C8" s="59">
        <f t="shared" si="5"/>
        <v>9.3813092576086792</v>
      </c>
      <c r="D8" s="58" cm="1">
        <f t="array" ref="D8">IF(Table1[[#This Row],[HomeTeam]]="Leicester",_xlfn.IFS(Table1[[#This Row],[FTR]]="H",3,Table1[[#This Row],[FTR]]="D",1,Table1[[#This Row],[FTR]]="A",0),_xlfn.IFS(Table1[[#This Row],[FTR]]="A",3,Table1[[#This Row],[FTR]]="D",1,Table1[[#This Row],[FTR]]="H",0))</f>
        <v>0</v>
      </c>
      <c r="E8" s="59">
        <f>IF(Table1[[#This Row],[HomeTeam]]="Leicester",Table1[[#This Row],[ProbH]]*3+Table1[[#This Row],[ProbD]]*1,Table1[[#This Row],[ProbA]]*3+Table1[[#This Row],[ProbD]]*1)</f>
        <v>0.87962962962962976</v>
      </c>
      <c r="G8" s="58" t="s">
        <v>168</v>
      </c>
      <c r="H8" s="58" t="s">
        <v>169</v>
      </c>
      <c r="I8" s="73" t="s">
        <v>178</v>
      </c>
      <c r="J8" s="60">
        <v>2926</v>
      </c>
      <c r="K8" s="73"/>
      <c r="L8" s="73"/>
      <c r="M8" s="58" t="s">
        <v>63</v>
      </c>
      <c r="N8" s="58" t="s">
        <v>179</v>
      </c>
      <c r="O8" s="58">
        <v>2</v>
      </c>
      <c r="P8" s="58">
        <v>5</v>
      </c>
      <c r="Q8" s="58" t="s">
        <v>180</v>
      </c>
      <c r="R8" s="59">
        <v>0.21296296296296299</v>
      </c>
      <c r="S8" s="59">
        <v>0.24074074074074081</v>
      </c>
      <c r="T8" s="59">
        <v>0.54629629629629639</v>
      </c>
      <c r="V8">
        <v>5</v>
      </c>
      <c r="W8">
        <v>3</v>
      </c>
      <c r="X8">
        <v>2016</v>
      </c>
      <c r="Z8">
        <f t="shared" si="0"/>
        <v>4000</v>
      </c>
      <c r="AA8">
        <f t="shared" si="1"/>
        <v>300</v>
      </c>
      <c r="AB8">
        <f t="shared" si="2"/>
        <v>5</v>
      </c>
      <c r="AD8" s="11">
        <f t="shared" si="3"/>
        <v>4305</v>
      </c>
    </row>
    <row r="9" spans="1:30" x14ac:dyDescent="0.45">
      <c r="A9" s="58" t="s">
        <v>241</v>
      </c>
      <c r="B9" s="58">
        <f t="shared" si="4"/>
        <v>15</v>
      </c>
      <c r="C9" s="59">
        <f t="shared" si="5"/>
        <v>10.544744855826886</v>
      </c>
      <c r="D9" s="58" cm="1">
        <f t="array" ref="D9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9" s="59">
        <f>IF(Table1[[#This Row],[HomeTeam]]="Leicester",Table1[[#This Row],[ProbH]]*3+Table1[[#This Row],[ProbD]]*1,Table1[[#This Row],[ProbA]]*3+Table1[[#This Row],[ProbD]]*1)</f>
        <v>1.1634355982182072</v>
      </c>
      <c r="G9" s="58" t="s">
        <v>168</v>
      </c>
      <c r="H9" s="58" t="s">
        <v>169</v>
      </c>
      <c r="I9" s="73" t="s">
        <v>214</v>
      </c>
      <c r="J9" s="60">
        <v>3003</v>
      </c>
      <c r="K9" s="73"/>
      <c r="L9" s="73"/>
      <c r="M9" s="58" t="s">
        <v>182</v>
      </c>
      <c r="N9" s="58" t="s">
        <v>63</v>
      </c>
      <c r="O9" s="58">
        <v>1</v>
      </c>
      <c r="P9" s="58">
        <v>2</v>
      </c>
      <c r="Q9" s="58" t="s">
        <v>180</v>
      </c>
      <c r="R9" s="59">
        <v>0.42694020954890533</v>
      </c>
      <c r="S9" s="59">
        <v>0.27787188656753881</v>
      </c>
      <c r="T9" s="59">
        <v>0.29518790388355609</v>
      </c>
      <c r="V9">
        <v>5</v>
      </c>
      <c r="W9">
        <v>12</v>
      </c>
      <c r="X9">
        <v>2015</v>
      </c>
      <c r="Z9">
        <f t="shared" si="0"/>
        <v>2000</v>
      </c>
      <c r="AA9">
        <f t="shared" si="1"/>
        <v>1200</v>
      </c>
      <c r="AB9">
        <f t="shared" si="2"/>
        <v>5</v>
      </c>
      <c r="AD9" s="11">
        <f t="shared" si="3"/>
        <v>3205</v>
      </c>
    </row>
    <row r="10" spans="1:30" x14ac:dyDescent="0.45">
      <c r="A10" s="58" t="s">
        <v>242</v>
      </c>
      <c r="B10" s="58">
        <f t="shared" si="4"/>
        <v>16</v>
      </c>
      <c r="C10" s="59">
        <f t="shared" si="5"/>
        <v>11.366173427255458</v>
      </c>
      <c r="D10" s="58" cm="1">
        <f t="array" ref="D10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10" s="59">
        <f>IF(Table1[[#This Row],[HomeTeam]]="Leicester",Table1[[#This Row],[ProbH]]*3+Table1[[#This Row],[ProbD]]*1,Table1[[#This Row],[ProbA]]*3+Table1[[#This Row],[ProbD]]*1)</f>
        <v>0.82142857142857162</v>
      </c>
      <c r="G10" s="58" t="s">
        <v>168</v>
      </c>
      <c r="H10" s="58" t="s">
        <v>169</v>
      </c>
      <c r="I10" s="73" t="s">
        <v>221</v>
      </c>
      <c r="J10" s="60">
        <v>3017</v>
      </c>
      <c r="K10" s="73"/>
      <c r="L10" s="73"/>
      <c r="M10" s="58" t="s">
        <v>177</v>
      </c>
      <c r="N10" s="58" t="s">
        <v>63</v>
      </c>
      <c r="O10" s="58">
        <v>2</v>
      </c>
      <c r="P10" s="58">
        <v>2</v>
      </c>
      <c r="Q10" s="58" t="s">
        <v>172</v>
      </c>
      <c r="R10" s="59">
        <v>0.56428571428571428</v>
      </c>
      <c r="S10" s="59">
        <v>0.24285714285714291</v>
      </c>
      <c r="T10" s="59">
        <v>0.19285714285714289</v>
      </c>
      <c r="V10">
        <v>6</v>
      </c>
      <c r="W10">
        <v>2</v>
      </c>
      <c r="X10">
        <v>2016</v>
      </c>
      <c r="Z10">
        <f t="shared" si="0"/>
        <v>4000</v>
      </c>
      <c r="AA10">
        <f t="shared" si="1"/>
        <v>200</v>
      </c>
      <c r="AB10">
        <f t="shared" si="2"/>
        <v>6</v>
      </c>
      <c r="AD10" s="11">
        <f t="shared" si="3"/>
        <v>4206</v>
      </c>
    </row>
    <row r="11" spans="1:30" x14ac:dyDescent="0.45">
      <c r="A11" s="58" t="s">
        <v>243</v>
      </c>
      <c r="B11" s="58">
        <f t="shared" si="4"/>
        <v>19</v>
      </c>
      <c r="C11" s="59">
        <f t="shared" si="5"/>
        <v>12.972333062826857</v>
      </c>
      <c r="D11" s="58" cm="1">
        <f t="array" ref="D11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11" s="59">
        <f>IF(Table1[[#This Row],[HomeTeam]]="Leicester",Table1[[#This Row],[ProbH]]*3+Table1[[#This Row],[ProbD]]*1,Table1[[#This Row],[ProbA]]*3+Table1[[#This Row],[ProbD]]*1)</f>
        <v>1.6061596355714003</v>
      </c>
      <c r="G11" s="58" t="s">
        <v>168</v>
      </c>
      <c r="H11" s="58" t="s">
        <v>169</v>
      </c>
      <c r="I11" s="73" t="s">
        <v>173</v>
      </c>
      <c r="J11" s="60">
        <v>3024</v>
      </c>
      <c r="K11" s="73"/>
      <c r="L11" s="73"/>
      <c r="M11" s="58" t="s">
        <v>63</v>
      </c>
      <c r="N11" s="58" t="s">
        <v>174</v>
      </c>
      <c r="O11" s="58">
        <v>1</v>
      </c>
      <c r="P11" s="58">
        <v>0</v>
      </c>
      <c r="Q11" s="58" t="s">
        <v>175</v>
      </c>
      <c r="R11" s="59">
        <v>0.44573182808476919</v>
      </c>
      <c r="S11" s="59">
        <v>0.2689641513170925</v>
      </c>
      <c r="T11" s="59">
        <v>0.28530402059813831</v>
      </c>
      <c r="V11">
        <v>7</v>
      </c>
      <c r="W11">
        <v>5</v>
      </c>
      <c r="X11">
        <v>2016</v>
      </c>
      <c r="Z11">
        <f t="shared" si="0"/>
        <v>4000</v>
      </c>
      <c r="AA11">
        <f t="shared" si="1"/>
        <v>500</v>
      </c>
      <c r="AB11">
        <f t="shared" si="2"/>
        <v>7</v>
      </c>
      <c r="AD11" s="11">
        <f t="shared" si="3"/>
        <v>4507</v>
      </c>
    </row>
    <row r="12" spans="1:30" x14ac:dyDescent="0.45">
      <c r="A12" s="58" t="s">
        <v>244</v>
      </c>
      <c r="B12" s="58">
        <f t="shared" si="4"/>
        <v>22</v>
      </c>
      <c r="C12" s="59">
        <f t="shared" si="5"/>
        <v>14.388882706557029</v>
      </c>
      <c r="D12" s="58" cm="1">
        <f t="array" ref="D12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12" s="59">
        <f>IF(Table1[[#This Row],[HomeTeam]]="Leicester",Table1[[#This Row],[ProbH]]*3+Table1[[#This Row],[ProbD]]*1,Table1[[#This Row],[ProbA]]*3+Table1[[#This Row],[ProbD]]*1)</f>
        <v>1.416549643730171</v>
      </c>
      <c r="G12" s="58" t="s">
        <v>168</v>
      </c>
      <c r="H12" s="58" t="s">
        <v>169</v>
      </c>
      <c r="I12" s="73" t="s">
        <v>224</v>
      </c>
      <c r="J12" s="60">
        <v>3031</v>
      </c>
      <c r="K12" s="73"/>
      <c r="L12" s="73"/>
      <c r="M12" s="58" t="s">
        <v>190</v>
      </c>
      <c r="N12" s="58" t="s">
        <v>63</v>
      </c>
      <c r="O12" s="58">
        <v>2</v>
      </c>
      <c r="P12" s="58">
        <v>3</v>
      </c>
      <c r="Q12" s="58" t="s">
        <v>180</v>
      </c>
      <c r="R12" s="59">
        <v>0.33697404691319499</v>
      </c>
      <c r="S12" s="59">
        <v>0.28626410776512201</v>
      </c>
      <c r="T12" s="59">
        <v>0.376761845321683</v>
      </c>
      <c r="V12">
        <v>7</v>
      </c>
      <c r="W12">
        <v>11</v>
      </c>
      <c r="X12">
        <v>2015</v>
      </c>
      <c r="Z12">
        <f t="shared" si="0"/>
        <v>2000</v>
      </c>
      <c r="AA12">
        <f t="shared" si="1"/>
        <v>1100</v>
      </c>
      <c r="AB12">
        <f t="shared" si="2"/>
        <v>7</v>
      </c>
      <c r="AD12" s="11">
        <f t="shared" si="3"/>
        <v>3107</v>
      </c>
    </row>
    <row r="13" spans="1:30" x14ac:dyDescent="0.45">
      <c r="A13" s="58" t="s">
        <v>245</v>
      </c>
      <c r="B13" s="58">
        <f t="shared" si="4"/>
        <v>25</v>
      </c>
      <c r="C13" s="59">
        <f t="shared" si="5"/>
        <v>16.239101346249353</v>
      </c>
      <c r="D13" s="58" cm="1">
        <f t="array" ref="D13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13" s="59">
        <f>IF(Table1[[#This Row],[HomeTeam]]="Leicester",Table1[[#This Row],[ProbH]]*3+Table1[[#This Row],[ProbD]]*1,Table1[[#This Row],[ProbA]]*3+Table1[[#This Row],[ProbD]]*1)</f>
        <v>1.8502186396923239</v>
      </c>
      <c r="G13" s="58" t="s">
        <v>168</v>
      </c>
      <c r="H13" s="58" t="s">
        <v>169</v>
      </c>
      <c r="I13" s="73" t="s">
        <v>200</v>
      </c>
      <c r="J13" s="60">
        <v>3107</v>
      </c>
      <c r="K13" s="73"/>
      <c r="L13" s="73"/>
      <c r="M13" s="58" t="s">
        <v>63</v>
      </c>
      <c r="N13" s="58" t="s">
        <v>201</v>
      </c>
      <c r="O13" s="58">
        <v>2</v>
      </c>
      <c r="P13" s="58">
        <v>1</v>
      </c>
      <c r="Q13" s="58" t="s">
        <v>175</v>
      </c>
      <c r="R13" s="59">
        <v>0.53190032137400556</v>
      </c>
      <c r="S13" s="59">
        <v>0.25451767557030719</v>
      </c>
      <c r="T13" s="59">
        <v>0.21358200305568731</v>
      </c>
      <c r="V13">
        <v>8</v>
      </c>
      <c r="W13">
        <v>8</v>
      </c>
      <c r="X13">
        <v>2015</v>
      </c>
      <c r="Z13">
        <f t="shared" si="0"/>
        <v>2000</v>
      </c>
      <c r="AA13">
        <f t="shared" si="1"/>
        <v>800</v>
      </c>
      <c r="AB13">
        <f t="shared" si="2"/>
        <v>8</v>
      </c>
      <c r="AD13" s="11">
        <f t="shared" si="3"/>
        <v>2808</v>
      </c>
    </row>
    <row r="14" spans="1:30" x14ac:dyDescent="0.45">
      <c r="A14" s="58" t="s">
        <v>246</v>
      </c>
      <c r="B14" s="58">
        <f t="shared" si="4"/>
        <v>28</v>
      </c>
      <c r="C14" s="59">
        <f t="shared" si="5"/>
        <v>17.683545790693799</v>
      </c>
      <c r="D14" s="58" cm="1">
        <f t="array" ref="D14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14" s="59">
        <f>IF(Table1[[#This Row],[HomeTeam]]="Leicester",Table1[[#This Row],[ProbH]]*3+Table1[[#This Row],[ProbD]]*1,Table1[[#This Row],[ProbA]]*3+Table1[[#This Row],[ProbD]]*1)</f>
        <v>1.4444444444444446</v>
      </c>
      <c r="G14" s="58" t="s">
        <v>168</v>
      </c>
      <c r="H14" s="58" t="s">
        <v>169</v>
      </c>
      <c r="I14" s="73" t="s">
        <v>225</v>
      </c>
      <c r="J14" s="60">
        <v>3121</v>
      </c>
      <c r="K14" s="73"/>
      <c r="L14" s="73"/>
      <c r="M14" s="58" t="s">
        <v>60</v>
      </c>
      <c r="N14" s="58" t="s">
        <v>63</v>
      </c>
      <c r="O14" s="58">
        <v>0</v>
      </c>
      <c r="P14" s="58">
        <v>3</v>
      </c>
      <c r="Q14" s="58" t="s">
        <v>180</v>
      </c>
      <c r="R14" s="59">
        <v>0.33888888888888891</v>
      </c>
      <c r="S14" s="59">
        <v>0.26944444444444449</v>
      </c>
      <c r="T14" s="59">
        <v>0.39166666666666672</v>
      </c>
      <c r="V14">
        <v>10</v>
      </c>
      <c r="W14">
        <v>4</v>
      </c>
      <c r="X14">
        <v>2016</v>
      </c>
      <c r="Z14">
        <f t="shared" si="0"/>
        <v>4000</v>
      </c>
      <c r="AA14">
        <f t="shared" si="1"/>
        <v>400</v>
      </c>
      <c r="AB14">
        <f t="shared" si="2"/>
        <v>10</v>
      </c>
      <c r="AD14" s="11">
        <f t="shared" si="3"/>
        <v>4410</v>
      </c>
    </row>
    <row r="15" spans="1:30" x14ac:dyDescent="0.45">
      <c r="A15" s="58" t="s">
        <v>247</v>
      </c>
      <c r="B15" s="58">
        <f t="shared" si="4"/>
        <v>29</v>
      </c>
      <c r="C15" s="59">
        <f t="shared" si="5"/>
        <v>18.903719881835631</v>
      </c>
      <c r="D15" s="58" cm="1">
        <f t="array" ref="D15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15" s="59">
        <f>IF(Table1[[#This Row],[HomeTeam]]="Leicester",Table1[[#This Row],[ProbH]]*3+Table1[[#This Row],[ProbD]]*1,Table1[[#This Row],[ProbA]]*3+Table1[[#This Row],[ProbD]]*1)</f>
        <v>1.2201740911418331</v>
      </c>
      <c r="G15" s="58" t="s">
        <v>168</v>
      </c>
      <c r="H15" s="58" t="s">
        <v>169</v>
      </c>
      <c r="I15" s="73" t="s">
        <v>185</v>
      </c>
      <c r="J15" s="60">
        <v>3128</v>
      </c>
      <c r="K15" s="73"/>
      <c r="L15" s="73"/>
      <c r="M15" s="58" t="s">
        <v>63</v>
      </c>
      <c r="N15" s="58" t="s">
        <v>186</v>
      </c>
      <c r="O15" s="58">
        <v>1</v>
      </c>
      <c r="P15" s="58">
        <v>1</v>
      </c>
      <c r="Q15" s="58" t="s">
        <v>172</v>
      </c>
      <c r="R15" s="59">
        <v>0.31426011264720938</v>
      </c>
      <c r="S15" s="59">
        <v>0.27739375320020482</v>
      </c>
      <c r="T15" s="59">
        <v>0.40834613415258569</v>
      </c>
      <c r="V15">
        <v>13</v>
      </c>
      <c r="W15">
        <v>1</v>
      </c>
      <c r="X15">
        <v>2016</v>
      </c>
      <c r="Z15">
        <f t="shared" si="0"/>
        <v>4000</v>
      </c>
      <c r="AA15">
        <f t="shared" si="1"/>
        <v>100</v>
      </c>
      <c r="AB15">
        <f t="shared" si="2"/>
        <v>13</v>
      </c>
      <c r="AD15" s="11">
        <f t="shared" si="3"/>
        <v>4113</v>
      </c>
    </row>
    <row r="16" spans="1:30" x14ac:dyDescent="0.45">
      <c r="A16" s="58" t="s">
        <v>248</v>
      </c>
      <c r="B16" s="58">
        <f t="shared" si="4"/>
        <v>32</v>
      </c>
      <c r="C16" s="59">
        <f t="shared" si="5"/>
        <v>20.251247445049469</v>
      </c>
      <c r="D16" s="58" cm="1">
        <f t="array" ref="D16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16" s="59">
        <f>IF(Table1[[#This Row],[HomeTeam]]="Leicester",Table1[[#This Row],[ProbH]]*3+Table1[[#This Row],[ProbD]]*1,Table1[[#This Row],[ProbA]]*3+Table1[[#This Row],[ProbD]]*1)</f>
        <v>1.3475275632138379</v>
      </c>
      <c r="G16" s="58" t="s">
        <v>168</v>
      </c>
      <c r="H16" s="58" t="s">
        <v>169</v>
      </c>
      <c r="I16" s="73" t="s">
        <v>227</v>
      </c>
      <c r="J16" s="60">
        <v>3205</v>
      </c>
      <c r="K16" s="73"/>
      <c r="L16" s="73"/>
      <c r="M16" s="58" t="s">
        <v>192</v>
      </c>
      <c r="N16" s="58" t="s">
        <v>63</v>
      </c>
      <c r="O16" s="58">
        <v>0</v>
      </c>
      <c r="P16" s="58">
        <v>3</v>
      </c>
      <c r="Q16" s="58" t="s">
        <v>180</v>
      </c>
      <c r="R16" s="59">
        <v>0.36099557668185123</v>
      </c>
      <c r="S16" s="59">
        <v>0.28474285337030442</v>
      </c>
      <c r="T16" s="59">
        <v>0.35426156994784452</v>
      </c>
      <c r="V16">
        <v>13</v>
      </c>
      <c r="W16">
        <v>9</v>
      </c>
      <c r="X16">
        <v>2015</v>
      </c>
      <c r="Z16">
        <f t="shared" si="0"/>
        <v>2000</v>
      </c>
      <c r="AA16">
        <f t="shared" si="1"/>
        <v>900</v>
      </c>
      <c r="AB16">
        <f t="shared" si="2"/>
        <v>13</v>
      </c>
      <c r="AD16" s="11">
        <f t="shared" si="3"/>
        <v>2913</v>
      </c>
    </row>
    <row r="17" spans="1:30" x14ac:dyDescent="0.45">
      <c r="A17" s="58" t="s">
        <v>249</v>
      </c>
      <c r="B17" s="58">
        <f t="shared" si="4"/>
        <v>35</v>
      </c>
      <c r="C17" s="59">
        <f t="shared" si="5"/>
        <v>21.442800129953216</v>
      </c>
      <c r="D17" s="58" cm="1">
        <f t="array" ref="D17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17" s="59">
        <f>IF(Table1[[#This Row],[HomeTeam]]="Leicester",Table1[[#This Row],[ProbH]]*3+Table1[[#This Row],[ProbD]]*1,Table1[[#This Row],[ProbA]]*3+Table1[[#This Row],[ProbD]]*1)</f>
        <v>1.1915526849037483</v>
      </c>
      <c r="G17" s="58" t="s">
        <v>168</v>
      </c>
      <c r="H17" s="58" t="s">
        <v>169</v>
      </c>
      <c r="I17" s="73" t="s">
        <v>187</v>
      </c>
      <c r="J17" s="60">
        <v>3214</v>
      </c>
      <c r="K17" s="73"/>
      <c r="L17" s="73"/>
      <c r="M17" s="58" t="s">
        <v>63</v>
      </c>
      <c r="N17" s="58" t="s">
        <v>188</v>
      </c>
      <c r="O17" s="58">
        <v>2</v>
      </c>
      <c r="P17" s="58">
        <v>1</v>
      </c>
      <c r="Q17" s="58" t="s">
        <v>175</v>
      </c>
      <c r="R17" s="59">
        <v>0.30458459979736568</v>
      </c>
      <c r="S17" s="59">
        <v>0.27779888551165138</v>
      </c>
      <c r="T17" s="59">
        <v>0.41761651469098282</v>
      </c>
      <c r="V17">
        <v>14</v>
      </c>
      <c r="W17">
        <v>2</v>
      </c>
      <c r="X17">
        <v>2016</v>
      </c>
      <c r="Z17">
        <f t="shared" si="0"/>
        <v>4000</v>
      </c>
      <c r="AA17">
        <f t="shared" si="1"/>
        <v>200</v>
      </c>
      <c r="AB17">
        <f t="shared" si="2"/>
        <v>14</v>
      </c>
      <c r="AD17" s="11">
        <f t="shared" si="3"/>
        <v>4214</v>
      </c>
    </row>
    <row r="18" spans="1:30" x14ac:dyDescent="0.45">
      <c r="A18" s="58" t="s">
        <v>250</v>
      </c>
      <c r="B18" s="58">
        <f t="shared" si="4"/>
        <v>38</v>
      </c>
      <c r="C18" s="59">
        <f t="shared" si="5"/>
        <v>22.515286902439989</v>
      </c>
      <c r="D18" s="58" cm="1">
        <f t="array" ref="D18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18" s="59">
        <f>IF(Table1[[#This Row],[HomeTeam]]="Leicester",Table1[[#This Row],[ProbH]]*3+Table1[[#This Row],[ProbD]]*1,Table1[[#This Row],[ProbA]]*3+Table1[[#This Row],[ProbD]]*1)</f>
        <v>1.0724867724867724</v>
      </c>
      <c r="G18" s="58" t="s">
        <v>168</v>
      </c>
      <c r="H18" s="58" t="s">
        <v>169</v>
      </c>
      <c r="I18" s="73" t="s">
        <v>216</v>
      </c>
      <c r="J18" s="60">
        <v>3219</v>
      </c>
      <c r="K18" s="73"/>
      <c r="L18" s="73"/>
      <c r="M18" s="58" t="s">
        <v>205</v>
      </c>
      <c r="N18" s="58" t="s">
        <v>63</v>
      </c>
      <c r="O18" s="58">
        <v>2</v>
      </c>
      <c r="P18" s="58">
        <v>3</v>
      </c>
      <c r="Q18" s="58" t="s">
        <v>180</v>
      </c>
      <c r="R18" s="59">
        <v>0.46931216931216929</v>
      </c>
      <c r="S18" s="59">
        <v>0.25978835978835979</v>
      </c>
      <c r="T18" s="59">
        <v>0.27089947089947092</v>
      </c>
      <c r="V18">
        <v>14</v>
      </c>
      <c r="W18">
        <v>3</v>
      </c>
      <c r="X18">
        <v>2016</v>
      </c>
      <c r="Z18">
        <f t="shared" si="0"/>
        <v>4000</v>
      </c>
      <c r="AA18">
        <f t="shared" si="1"/>
        <v>300</v>
      </c>
      <c r="AB18">
        <f t="shared" si="2"/>
        <v>14</v>
      </c>
      <c r="AD18" s="11">
        <f t="shared" si="3"/>
        <v>4314</v>
      </c>
    </row>
    <row r="19" spans="1:30" x14ac:dyDescent="0.45">
      <c r="A19" s="58" t="s">
        <v>251</v>
      </c>
      <c r="B19" s="58">
        <f t="shared" si="4"/>
        <v>38</v>
      </c>
      <c r="C19" s="59">
        <f t="shared" si="5"/>
        <v>23.501417149523668</v>
      </c>
      <c r="D19" s="58" cm="1">
        <f t="array" ref="D19">IF(Table1[[#This Row],[HomeTeam]]="Leicester",_xlfn.IFS(Table1[[#This Row],[FTR]]="H",3,Table1[[#This Row],[FTR]]="D",1,Table1[[#This Row],[FTR]]="A",0),_xlfn.IFS(Table1[[#This Row],[FTR]]="A",3,Table1[[#This Row],[FTR]]="D",1,Table1[[#This Row],[FTR]]="H",0))</f>
        <v>0</v>
      </c>
      <c r="E19" s="59">
        <f>IF(Table1[[#This Row],[HomeTeam]]="Leicester",Table1[[#This Row],[ProbH]]*3+Table1[[#This Row],[ProbD]]*1,Table1[[#This Row],[ProbA]]*3+Table1[[#This Row],[ProbD]]*1)</f>
        <v>0.98613024708367802</v>
      </c>
      <c r="G19" s="58" t="s">
        <v>168</v>
      </c>
      <c r="H19" s="58" t="s">
        <v>169</v>
      </c>
      <c r="I19" s="73" t="s">
        <v>226</v>
      </c>
      <c r="J19" s="60">
        <v>3226</v>
      </c>
      <c r="K19" s="73"/>
      <c r="L19" s="73"/>
      <c r="M19" s="58" t="s">
        <v>57</v>
      </c>
      <c r="N19" s="58" t="s">
        <v>63</v>
      </c>
      <c r="O19" s="58">
        <v>1</v>
      </c>
      <c r="P19" s="58">
        <v>0</v>
      </c>
      <c r="Q19" s="58" t="s">
        <v>175</v>
      </c>
      <c r="R19" s="59">
        <v>0.50693487645816115</v>
      </c>
      <c r="S19" s="59">
        <v>0.24653256177091951</v>
      </c>
      <c r="T19" s="59">
        <v>0.24653256177091951</v>
      </c>
      <c r="V19">
        <v>14</v>
      </c>
      <c r="W19">
        <v>12</v>
      </c>
      <c r="X19">
        <v>2015</v>
      </c>
      <c r="Z19">
        <f t="shared" si="0"/>
        <v>2000</v>
      </c>
      <c r="AA19">
        <f t="shared" si="1"/>
        <v>1200</v>
      </c>
      <c r="AB19">
        <f t="shared" si="2"/>
        <v>14</v>
      </c>
      <c r="AD19" s="11">
        <f t="shared" si="3"/>
        <v>3214</v>
      </c>
    </row>
    <row r="20" spans="1:30" x14ac:dyDescent="0.45">
      <c r="A20" s="58" t="s">
        <v>252</v>
      </c>
      <c r="B20" s="58">
        <f t="shared" si="4"/>
        <v>39</v>
      </c>
      <c r="C20" s="59">
        <f t="shared" si="5"/>
        <v>24.415607899164765</v>
      </c>
      <c r="D20" s="58" cm="1">
        <f t="array" ref="D20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20" s="59">
        <f>IF(Table1[[#This Row],[HomeTeam]]="Leicester",Table1[[#This Row],[ProbH]]*3+Table1[[#This Row],[ProbD]]*1,Table1[[#This Row],[ProbA]]*3+Table1[[#This Row],[ProbD]]*1)</f>
        <v>0.91419074964109637</v>
      </c>
      <c r="G20" s="58" t="s">
        <v>168</v>
      </c>
      <c r="H20" s="58" t="s">
        <v>169</v>
      </c>
      <c r="I20" s="73" t="s">
        <v>170</v>
      </c>
      <c r="J20" s="60">
        <v>3229</v>
      </c>
      <c r="K20" s="73"/>
      <c r="L20" s="73"/>
      <c r="M20" s="58" t="s">
        <v>63</v>
      </c>
      <c r="N20" s="58" t="s">
        <v>171</v>
      </c>
      <c r="O20" s="58">
        <v>0</v>
      </c>
      <c r="P20" s="58">
        <v>0</v>
      </c>
      <c r="Q20" s="58" t="s">
        <v>172</v>
      </c>
      <c r="R20" s="59">
        <v>0.2237844079645466</v>
      </c>
      <c r="S20" s="59">
        <v>0.24283752574745651</v>
      </c>
      <c r="T20" s="59">
        <v>0.533378066287997</v>
      </c>
      <c r="V20">
        <v>15</v>
      </c>
      <c r="W20">
        <v>5</v>
      </c>
      <c r="X20">
        <v>2016</v>
      </c>
      <c r="Z20">
        <f t="shared" si="0"/>
        <v>4000</v>
      </c>
      <c r="AA20">
        <f t="shared" si="1"/>
        <v>500</v>
      </c>
      <c r="AB20">
        <f t="shared" si="2"/>
        <v>15</v>
      </c>
      <c r="AD20" s="11">
        <f t="shared" si="3"/>
        <v>4515</v>
      </c>
    </row>
    <row r="21" spans="1:30" x14ac:dyDescent="0.45">
      <c r="A21" s="58" t="s">
        <v>253</v>
      </c>
      <c r="B21" s="58">
        <f t="shared" si="4"/>
        <v>40</v>
      </c>
      <c r="C21" s="59">
        <f t="shared" si="5"/>
        <v>26.224723516359894</v>
      </c>
      <c r="D21" s="58" cm="1">
        <f t="array" ref="D21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21" s="59">
        <f>IF(Table1[[#This Row],[HomeTeam]]="Leicester",Table1[[#This Row],[ProbH]]*3+Table1[[#This Row],[ProbD]]*1,Table1[[#This Row],[ProbA]]*3+Table1[[#This Row],[ProbD]]*1)</f>
        <v>1.8091156171951304</v>
      </c>
      <c r="G21" s="58" t="s">
        <v>168</v>
      </c>
      <c r="H21" s="58" t="s">
        <v>169</v>
      </c>
      <c r="I21" s="73" t="s">
        <v>202</v>
      </c>
      <c r="J21" s="60">
        <v>4102</v>
      </c>
      <c r="K21" s="73"/>
      <c r="L21" s="73"/>
      <c r="M21" s="58" t="s">
        <v>63</v>
      </c>
      <c r="N21" s="58" t="s">
        <v>203</v>
      </c>
      <c r="O21" s="58">
        <v>0</v>
      </c>
      <c r="P21" s="58">
        <v>0</v>
      </c>
      <c r="Q21" s="58" t="s">
        <v>172</v>
      </c>
      <c r="R21" s="59">
        <v>0.51650228998813685</v>
      </c>
      <c r="S21" s="59">
        <v>0.25960874723071981</v>
      </c>
      <c r="T21" s="59">
        <v>0.2238889627811432</v>
      </c>
      <c r="V21">
        <v>15</v>
      </c>
      <c r="W21">
        <v>8</v>
      </c>
      <c r="X21">
        <v>2015</v>
      </c>
      <c r="Z21">
        <f t="shared" si="0"/>
        <v>2000</v>
      </c>
      <c r="AA21">
        <f t="shared" si="1"/>
        <v>800</v>
      </c>
      <c r="AB21">
        <f t="shared" si="2"/>
        <v>15</v>
      </c>
      <c r="AD21" s="11">
        <f t="shared" si="3"/>
        <v>2815</v>
      </c>
    </row>
    <row r="22" spans="1:30" x14ac:dyDescent="0.45">
      <c r="A22" s="58" t="s">
        <v>254</v>
      </c>
      <c r="B22" s="58">
        <f t="shared" si="4"/>
        <v>43</v>
      </c>
      <c r="C22" s="59">
        <f t="shared" si="5"/>
        <v>27.025893107003171</v>
      </c>
      <c r="D22" s="58" cm="1">
        <f t="array" ref="D22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22" s="59">
        <f>IF(Table1[[#This Row],[HomeTeam]]="Leicester",Table1[[#This Row],[ProbH]]*3+Table1[[#This Row],[ProbD]]*1,Table1[[#This Row],[ProbA]]*3+Table1[[#This Row],[ProbD]]*1)</f>
        <v>0.80116959064327486</v>
      </c>
      <c r="G22" s="58" t="s">
        <v>168</v>
      </c>
      <c r="H22" s="58" t="s">
        <v>169</v>
      </c>
      <c r="I22" s="73" t="s">
        <v>222</v>
      </c>
      <c r="J22" s="60">
        <v>4113</v>
      </c>
      <c r="K22" s="73"/>
      <c r="L22" s="73"/>
      <c r="M22" s="58" t="s">
        <v>207</v>
      </c>
      <c r="N22" s="58" t="s">
        <v>63</v>
      </c>
      <c r="O22" s="58">
        <v>0</v>
      </c>
      <c r="P22" s="58">
        <v>1</v>
      </c>
      <c r="Q22" s="58" t="s">
        <v>180</v>
      </c>
      <c r="R22" s="59">
        <v>0.56307435254803673</v>
      </c>
      <c r="S22" s="59">
        <v>0.25480367585630748</v>
      </c>
      <c r="T22" s="59">
        <v>0.1821219715956558</v>
      </c>
      <c r="V22">
        <v>16</v>
      </c>
      <c r="W22">
        <v>1</v>
      </c>
      <c r="X22">
        <v>2016</v>
      </c>
      <c r="Z22">
        <f t="shared" si="0"/>
        <v>4000</v>
      </c>
      <c r="AA22">
        <f t="shared" si="1"/>
        <v>100</v>
      </c>
      <c r="AB22">
        <f t="shared" si="2"/>
        <v>16</v>
      </c>
      <c r="AD22" s="11">
        <f t="shared" si="3"/>
        <v>4116</v>
      </c>
    </row>
    <row r="23" spans="1:30" x14ac:dyDescent="0.45">
      <c r="A23" s="58" t="s">
        <v>255</v>
      </c>
      <c r="B23" s="58">
        <f t="shared" si="4"/>
        <v>44</v>
      </c>
      <c r="C23" s="59">
        <f t="shared" si="5"/>
        <v>28.648392611855616</v>
      </c>
      <c r="D23" s="58" cm="1">
        <f t="array" ref="D23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23" s="59">
        <f>IF(Table1[[#This Row],[HomeTeam]]="Leicester",Table1[[#This Row],[ProbH]]*3+Table1[[#This Row],[ProbD]]*1,Table1[[#This Row],[ProbA]]*3+Table1[[#This Row],[ProbD]]*1)</f>
        <v>1.622499504852446</v>
      </c>
      <c r="G23" s="58" t="s">
        <v>168</v>
      </c>
      <c r="H23" s="58" t="s">
        <v>169</v>
      </c>
      <c r="I23" s="73" t="s">
        <v>218</v>
      </c>
      <c r="J23" s="60">
        <v>4116</v>
      </c>
      <c r="K23" s="73"/>
      <c r="L23" s="73"/>
      <c r="M23" s="58" t="s">
        <v>199</v>
      </c>
      <c r="N23" s="58" t="s">
        <v>63</v>
      </c>
      <c r="O23" s="58">
        <v>1</v>
      </c>
      <c r="P23" s="58">
        <v>1</v>
      </c>
      <c r="Q23" s="58" t="s">
        <v>172</v>
      </c>
      <c r="R23" s="59">
        <v>0.2689641513170925</v>
      </c>
      <c r="S23" s="59">
        <v>0.28530402059813831</v>
      </c>
      <c r="T23" s="59">
        <v>0.44573182808476919</v>
      </c>
      <c r="V23">
        <v>17</v>
      </c>
      <c r="W23">
        <v>4</v>
      </c>
      <c r="X23">
        <v>2016</v>
      </c>
      <c r="Z23">
        <f t="shared" si="0"/>
        <v>4000</v>
      </c>
      <c r="AA23">
        <f t="shared" si="1"/>
        <v>400</v>
      </c>
      <c r="AB23">
        <f t="shared" si="2"/>
        <v>17</v>
      </c>
      <c r="AD23" s="11">
        <f t="shared" si="3"/>
        <v>4417</v>
      </c>
    </row>
    <row r="24" spans="1:30" x14ac:dyDescent="0.45">
      <c r="A24" s="58" t="s">
        <v>256</v>
      </c>
      <c r="B24" s="58">
        <f t="shared" si="4"/>
        <v>47</v>
      </c>
      <c r="C24" s="59">
        <f t="shared" si="5"/>
        <v>30.329261450619192</v>
      </c>
      <c r="D24" s="58" cm="1">
        <f t="array" ref="D24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24" s="59">
        <f>IF(Table1[[#This Row],[HomeTeam]]="Leicester",Table1[[#This Row],[ProbH]]*3+Table1[[#This Row],[ProbD]]*1,Table1[[#This Row],[ProbA]]*3+Table1[[#This Row],[ProbD]]*1)</f>
        <v>1.680868838763576</v>
      </c>
      <c r="G24" s="58" t="s">
        <v>168</v>
      </c>
      <c r="H24" s="58" t="s">
        <v>169</v>
      </c>
      <c r="I24" s="73" t="s">
        <v>183</v>
      </c>
      <c r="J24" s="60">
        <v>4123</v>
      </c>
      <c r="K24" s="73"/>
      <c r="L24" s="73"/>
      <c r="M24" s="58" t="s">
        <v>63</v>
      </c>
      <c r="N24" s="58" t="s">
        <v>184</v>
      </c>
      <c r="O24" s="58">
        <v>3</v>
      </c>
      <c r="P24" s="58">
        <v>0</v>
      </c>
      <c r="Q24" s="58" t="s">
        <v>175</v>
      </c>
      <c r="R24" s="59">
        <v>0.46783625730994161</v>
      </c>
      <c r="S24" s="59">
        <v>0.27736006683375108</v>
      </c>
      <c r="T24" s="59">
        <v>0.25480367585630748</v>
      </c>
      <c r="V24">
        <v>17</v>
      </c>
      <c r="W24">
        <v>10</v>
      </c>
      <c r="X24">
        <v>2015</v>
      </c>
      <c r="Z24">
        <f t="shared" si="0"/>
        <v>2000</v>
      </c>
      <c r="AA24">
        <f t="shared" si="1"/>
        <v>1000</v>
      </c>
      <c r="AB24">
        <f t="shared" si="2"/>
        <v>17</v>
      </c>
      <c r="AD24" s="11">
        <f t="shared" si="3"/>
        <v>3017</v>
      </c>
    </row>
    <row r="25" spans="1:30" x14ac:dyDescent="0.45">
      <c r="A25" s="58" t="s">
        <v>257</v>
      </c>
      <c r="B25" s="58">
        <f t="shared" si="4"/>
        <v>50</v>
      </c>
      <c r="C25" s="59">
        <f t="shared" si="5"/>
        <v>31.735306166773505</v>
      </c>
      <c r="D25" s="58" cm="1">
        <f t="array" ref="D25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25" s="59">
        <f>IF(Table1[[#This Row],[HomeTeam]]="Leicester",Table1[[#This Row],[ProbH]]*3+Table1[[#This Row],[ProbD]]*1,Table1[[#This Row],[ProbA]]*3+Table1[[#This Row],[ProbD]]*1)</f>
        <v>1.4060447161543115</v>
      </c>
      <c r="G25" s="58" t="s">
        <v>168</v>
      </c>
      <c r="H25" s="58" t="s">
        <v>169</v>
      </c>
      <c r="I25" s="73" t="s">
        <v>208</v>
      </c>
      <c r="J25" s="60">
        <v>4202</v>
      </c>
      <c r="K25" s="73"/>
      <c r="L25" s="73"/>
      <c r="M25" s="58" t="s">
        <v>63</v>
      </c>
      <c r="N25" s="58" t="s">
        <v>57</v>
      </c>
      <c r="O25" s="58">
        <v>2</v>
      </c>
      <c r="P25" s="58">
        <v>0</v>
      </c>
      <c r="Q25" s="58" t="s">
        <v>175</v>
      </c>
      <c r="R25" s="59">
        <v>0.37303880149440433</v>
      </c>
      <c r="S25" s="59">
        <v>0.2869283116710985</v>
      </c>
      <c r="T25" s="59">
        <v>0.34003288683449723</v>
      </c>
      <c r="V25">
        <v>19</v>
      </c>
      <c r="W25">
        <v>3</v>
      </c>
      <c r="X25">
        <v>2016</v>
      </c>
      <c r="Z25">
        <f t="shared" si="0"/>
        <v>4000</v>
      </c>
      <c r="AA25">
        <f t="shared" si="1"/>
        <v>300</v>
      </c>
      <c r="AB25">
        <f t="shared" si="2"/>
        <v>19</v>
      </c>
      <c r="AD25" s="11">
        <f t="shared" si="3"/>
        <v>4319</v>
      </c>
    </row>
    <row r="26" spans="1:30" x14ac:dyDescent="0.45">
      <c r="A26" s="58" t="s">
        <v>258</v>
      </c>
      <c r="B26" s="58">
        <f t="shared" si="4"/>
        <v>53</v>
      </c>
      <c r="C26" s="59">
        <f t="shared" si="5"/>
        <v>32.444006931029826</v>
      </c>
      <c r="D26" s="58" cm="1">
        <f t="array" ref="D26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26" s="59">
        <f>IF(Table1[[#This Row],[HomeTeam]]="Leicester",Table1[[#This Row],[ProbH]]*3+Table1[[#This Row],[ProbD]]*1,Table1[[#This Row],[ProbA]]*3+Table1[[#This Row],[ProbD]]*1)</f>
        <v>0.70870076425631978</v>
      </c>
      <c r="G26" s="58" t="s">
        <v>168</v>
      </c>
      <c r="H26" s="58" t="s">
        <v>169</v>
      </c>
      <c r="I26" s="73" t="s">
        <v>220</v>
      </c>
      <c r="J26" s="60">
        <v>4206</v>
      </c>
      <c r="K26" s="73"/>
      <c r="L26" s="73"/>
      <c r="M26" s="58" t="s">
        <v>171</v>
      </c>
      <c r="N26" s="58" t="s">
        <v>63</v>
      </c>
      <c r="O26" s="58">
        <v>1</v>
      </c>
      <c r="P26" s="58">
        <v>3</v>
      </c>
      <c r="Q26" s="58" t="s">
        <v>180</v>
      </c>
      <c r="R26" s="59">
        <v>0.60993533215755436</v>
      </c>
      <c r="S26" s="59">
        <v>0.23074661963550849</v>
      </c>
      <c r="T26" s="59">
        <v>0.1593180482069371</v>
      </c>
      <c r="V26">
        <v>19</v>
      </c>
      <c r="W26">
        <v>9</v>
      </c>
      <c r="X26">
        <v>2015</v>
      </c>
      <c r="Z26">
        <f t="shared" si="0"/>
        <v>2000</v>
      </c>
      <c r="AA26">
        <f t="shared" si="1"/>
        <v>900</v>
      </c>
      <c r="AB26">
        <f t="shared" si="2"/>
        <v>19</v>
      </c>
      <c r="AD26" s="11">
        <f t="shared" si="3"/>
        <v>2919</v>
      </c>
    </row>
    <row r="27" spans="1:30" x14ac:dyDescent="0.45">
      <c r="A27" s="58" t="s">
        <v>259</v>
      </c>
      <c r="B27" s="58">
        <f t="shared" si="4"/>
        <v>53</v>
      </c>
      <c r="C27" s="59">
        <f t="shared" si="5"/>
        <v>33.265435502458395</v>
      </c>
      <c r="D27" s="58" cm="1">
        <f t="array" ref="D27">IF(Table1[[#This Row],[HomeTeam]]="Leicester",_xlfn.IFS(Table1[[#This Row],[FTR]]="H",3,Table1[[#This Row],[FTR]]="D",1,Table1[[#This Row],[FTR]]="A",0),_xlfn.IFS(Table1[[#This Row],[FTR]]="A",3,Table1[[#This Row],[FTR]]="D",1,Table1[[#This Row],[FTR]]="H",0))</f>
        <v>0</v>
      </c>
      <c r="E27" s="59">
        <f>IF(Table1[[#This Row],[HomeTeam]]="Leicester",Table1[[#This Row],[ProbH]]*3+Table1[[#This Row],[ProbD]]*1,Table1[[#This Row],[ProbA]]*3+Table1[[#This Row],[ProbD]]*1)</f>
        <v>0.82142857142857162</v>
      </c>
      <c r="G27" s="58" t="s">
        <v>168</v>
      </c>
      <c r="H27" s="58" t="s">
        <v>169</v>
      </c>
      <c r="I27" s="73" t="s">
        <v>223</v>
      </c>
      <c r="J27" s="60">
        <v>4214</v>
      </c>
      <c r="K27" s="73"/>
      <c r="L27" s="73"/>
      <c r="M27" s="58" t="s">
        <v>179</v>
      </c>
      <c r="N27" s="58" t="s">
        <v>63</v>
      </c>
      <c r="O27" s="58">
        <v>2</v>
      </c>
      <c r="P27" s="58">
        <v>1</v>
      </c>
      <c r="Q27" s="58" t="s">
        <v>175</v>
      </c>
      <c r="R27" s="59">
        <v>0.56428571428571428</v>
      </c>
      <c r="S27" s="59">
        <v>0.24285714285714291</v>
      </c>
      <c r="T27" s="59">
        <v>0.19285714285714289</v>
      </c>
      <c r="V27">
        <v>19</v>
      </c>
      <c r="W27">
        <v>12</v>
      </c>
      <c r="X27">
        <v>2015</v>
      </c>
      <c r="Z27">
        <f t="shared" si="0"/>
        <v>2000</v>
      </c>
      <c r="AA27">
        <f t="shared" si="1"/>
        <v>1200</v>
      </c>
      <c r="AB27">
        <f t="shared" si="2"/>
        <v>19</v>
      </c>
      <c r="AD27" s="11">
        <f t="shared" si="3"/>
        <v>3219</v>
      </c>
    </row>
    <row r="28" spans="1:30" x14ac:dyDescent="0.45">
      <c r="A28" s="58" t="s">
        <v>260</v>
      </c>
      <c r="B28" s="58">
        <f t="shared" si="4"/>
        <v>56</v>
      </c>
      <c r="C28" s="59">
        <f t="shared" si="5"/>
        <v>35.410675430608251</v>
      </c>
      <c r="D28" s="58" cm="1">
        <f t="array" ref="D28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28" s="59">
        <f>IF(Table1[[#This Row],[HomeTeam]]="Leicester",Table1[[#This Row],[ProbH]]*3+Table1[[#This Row],[ProbD]]*1,Table1[[#This Row],[ProbA]]*3+Table1[[#This Row],[ProbD]]*1)</f>
        <v>2.1452399281498589</v>
      </c>
      <c r="G28" s="58" t="s">
        <v>168</v>
      </c>
      <c r="H28" s="58" t="s">
        <v>169</v>
      </c>
      <c r="I28" s="73" t="s">
        <v>181</v>
      </c>
      <c r="J28" s="60">
        <v>4227</v>
      </c>
      <c r="K28" s="73"/>
      <c r="L28" s="73"/>
      <c r="M28" s="58" t="s">
        <v>63</v>
      </c>
      <c r="N28" s="58" t="s">
        <v>182</v>
      </c>
      <c r="O28" s="58">
        <v>1</v>
      </c>
      <c r="P28" s="58">
        <v>0</v>
      </c>
      <c r="Q28" s="58" t="s">
        <v>175</v>
      </c>
      <c r="R28" s="59">
        <v>0.64523992814985887</v>
      </c>
      <c r="S28" s="59">
        <v>0.2095201437002823</v>
      </c>
      <c r="T28" s="59">
        <v>0.14523992814985889</v>
      </c>
      <c r="V28">
        <v>21</v>
      </c>
      <c r="W28">
        <v>11</v>
      </c>
      <c r="X28">
        <v>2015</v>
      </c>
      <c r="Z28">
        <f t="shared" si="0"/>
        <v>2000</v>
      </c>
      <c r="AA28">
        <f t="shared" si="1"/>
        <v>1100</v>
      </c>
      <c r="AB28">
        <f t="shared" si="2"/>
        <v>21</v>
      </c>
      <c r="AD28" s="11">
        <f t="shared" si="3"/>
        <v>3121</v>
      </c>
    </row>
    <row r="29" spans="1:30" x14ac:dyDescent="0.45">
      <c r="A29" s="58" t="s">
        <v>261</v>
      </c>
      <c r="B29" s="58">
        <f t="shared" si="4"/>
        <v>57</v>
      </c>
      <c r="C29" s="59">
        <f t="shared" si="5"/>
        <v>37.377256360073268</v>
      </c>
      <c r="D29" s="58" cm="1">
        <f t="array" ref="D29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29" s="59">
        <f>IF(Table1[[#This Row],[HomeTeam]]="Leicester",Table1[[#This Row],[ProbH]]*3+Table1[[#This Row],[ProbD]]*1,Table1[[#This Row],[ProbA]]*3+Table1[[#This Row],[ProbD]]*1)</f>
        <v>1.9665809294650183</v>
      </c>
      <c r="G29" s="58" t="s">
        <v>168</v>
      </c>
      <c r="H29" s="58" t="s">
        <v>169</v>
      </c>
      <c r="I29" s="73" t="s">
        <v>189</v>
      </c>
      <c r="J29" s="60">
        <v>4301</v>
      </c>
      <c r="K29" s="73"/>
      <c r="L29" s="73"/>
      <c r="M29" s="58" t="s">
        <v>63</v>
      </c>
      <c r="N29" s="58" t="s">
        <v>190</v>
      </c>
      <c r="O29" s="58">
        <v>2</v>
      </c>
      <c r="P29" s="58">
        <v>2</v>
      </c>
      <c r="Q29" s="58" t="s">
        <v>172</v>
      </c>
      <c r="R29" s="59">
        <v>0.57036442920227526</v>
      </c>
      <c r="S29" s="59">
        <v>0.25548764185819239</v>
      </c>
      <c r="T29" s="59">
        <v>0.17414792893953221</v>
      </c>
      <c r="V29">
        <v>22</v>
      </c>
      <c r="W29">
        <v>8</v>
      </c>
      <c r="X29">
        <v>2015</v>
      </c>
      <c r="Z29">
        <f t="shared" si="0"/>
        <v>2000</v>
      </c>
      <c r="AA29">
        <f t="shared" si="1"/>
        <v>800</v>
      </c>
      <c r="AB29">
        <f t="shared" si="2"/>
        <v>22</v>
      </c>
      <c r="AD29" s="11">
        <f t="shared" si="3"/>
        <v>2822</v>
      </c>
    </row>
    <row r="30" spans="1:30" x14ac:dyDescent="0.45">
      <c r="A30" s="58" t="s">
        <v>262</v>
      </c>
      <c r="B30" s="58">
        <f t="shared" si="4"/>
        <v>60</v>
      </c>
      <c r="C30" s="59">
        <f t="shared" si="5"/>
        <v>38.821700804517711</v>
      </c>
      <c r="D30" s="58" cm="1">
        <f t="array" ref="D30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30" s="59">
        <f>IF(Table1[[#This Row],[HomeTeam]]="Leicester",Table1[[#This Row],[ProbH]]*3+Table1[[#This Row],[ProbD]]*1,Table1[[#This Row],[ProbA]]*3+Table1[[#This Row],[ProbD]]*1)</f>
        <v>1.4444444444444449</v>
      </c>
      <c r="G30" s="58" t="s">
        <v>168</v>
      </c>
      <c r="H30" s="58" t="s">
        <v>169</v>
      </c>
      <c r="I30" s="73" t="s">
        <v>212</v>
      </c>
      <c r="J30" s="60">
        <v>4305</v>
      </c>
      <c r="K30" s="73"/>
      <c r="L30" s="73"/>
      <c r="M30" s="58" t="s">
        <v>201</v>
      </c>
      <c r="N30" s="58" t="s">
        <v>63</v>
      </c>
      <c r="O30" s="58">
        <v>0</v>
      </c>
      <c r="P30" s="58">
        <v>1</v>
      </c>
      <c r="Q30" s="58" t="s">
        <v>180</v>
      </c>
      <c r="R30" s="59">
        <v>0.32679738562091498</v>
      </c>
      <c r="S30" s="59">
        <v>0.28758169934640532</v>
      </c>
      <c r="T30" s="59">
        <v>0.38562091503267981</v>
      </c>
      <c r="V30">
        <v>23</v>
      </c>
      <c r="W30">
        <v>1</v>
      </c>
      <c r="X30">
        <v>2016</v>
      </c>
      <c r="Z30">
        <f t="shared" si="0"/>
        <v>4000</v>
      </c>
      <c r="AA30">
        <f t="shared" si="1"/>
        <v>100</v>
      </c>
      <c r="AB30">
        <f t="shared" si="2"/>
        <v>23</v>
      </c>
      <c r="AD30" s="11">
        <f t="shared" si="3"/>
        <v>4123</v>
      </c>
    </row>
    <row r="31" spans="1:30" x14ac:dyDescent="0.45">
      <c r="A31" s="58" t="s">
        <v>263</v>
      </c>
      <c r="B31" s="58">
        <f t="shared" si="4"/>
        <v>63</v>
      </c>
      <c r="C31" s="59">
        <f t="shared" si="5"/>
        <v>40.926289635710738</v>
      </c>
      <c r="D31" s="58" cm="1">
        <f t="array" ref="D31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31" s="59">
        <f>IF(Table1[[#This Row],[HomeTeam]]="Leicester",Table1[[#This Row],[ProbH]]*3+Table1[[#This Row],[ProbD]]*1,Table1[[#This Row],[ProbA]]*3+Table1[[#This Row],[ProbD]]*1)</f>
        <v>2.1045888311930296</v>
      </c>
      <c r="G31" s="58" t="s">
        <v>168</v>
      </c>
      <c r="H31" s="58" t="s">
        <v>169</v>
      </c>
      <c r="I31" s="73" t="s">
        <v>193</v>
      </c>
      <c r="J31" s="60">
        <v>4314</v>
      </c>
      <c r="K31" s="73"/>
      <c r="L31" s="73"/>
      <c r="M31" s="58" t="s">
        <v>63</v>
      </c>
      <c r="N31" s="58" t="s">
        <v>60</v>
      </c>
      <c r="O31" s="58">
        <v>1</v>
      </c>
      <c r="P31" s="58">
        <v>0</v>
      </c>
      <c r="Q31" s="58" t="s">
        <v>175</v>
      </c>
      <c r="R31" s="59">
        <v>0.62764615603379381</v>
      </c>
      <c r="S31" s="59">
        <v>0.22165036309164821</v>
      </c>
      <c r="T31" s="59">
        <v>0.15070348087455809</v>
      </c>
      <c r="V31">
        <v>24</v>
      </c>
      <c r="W31">
        <v>4</v>
      </c>
      <c r="X31">
        <v>2016</v>
      </c>
      <c r="Z31">
        <f t="shared" si="0"/>
        <v>4000</v>
      </c>
      <c r="AA31">
        <f t="shared" si="1"/>
        <v>400</v>
      </c>
      <c r="AB31">
        <f t="shared" si="2"/>
        <v>24</v>
      </c>
      <c r="AD31" s="11">
        <f t="shared" si="3"/>
        <v>4424</v>
      </c>
    </row>
    <row r="32" spans="1:30" x14ac:dyDescent="0.45">
      <c r="A32" s="58" t="s">
        <v>264</v>
      </c>
      <c r="B32" s="58">
        <f t="shared" si="4"/>
        <v>66</v>
      </c>
      <c r="C32" s="59">
        <f t="shared" si="5"/>
        <v>42.383805975580017</v>
      </c>
      <c r="D32" s="58" cm="1">
        <f t="array" ref="D32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32" s="59">
        <f>IF(Table1[[#This Row],[HomeTeam]]="Leicester",Table1[[#This Row],[ProbH]]*3+Table1[[#This Row],[ProbD]]*1,Table1[[#This Row],[ProbA]]*3+Table1[[#This Row],[ProbD]]*1)</f>
        <v>1.4575163398692812</v>
      </c>
      <c r="G32" s="58" t="s">
        <v>168</v>
      </c>
      <c r="H32" s="58" t="s">
        <v>169</v>
      </c>
      <c r="I32" s="73" t="s">
        <v>213</v>
      </c>
      <c r="J32" s="60">
        <v>4319</v>
      </c>
      <c r="K32" s="73"/>
      <c r="L32" s="73"/>
      <c r="M32" s="58" t="s">
        <v>174</v>
      </c>
      <c r="N32" s="58" t="s">
        <v>63</v>
      </c>
      <c r="O32" s="58">
        <v>0</v>
      </c>
      <c r="P32" s="58">
        <v>1</v>
      </c>
      <c r="Q32" s="58" t="s">
        <v>180</v>
      </c>
      <c r="R32" s="59">
        <v>0.32418300653594773</v>
      </c>
      <c r="S32" s="59">
        <v>0.28496732026143801</v>
      </c>
      <c r="T32" s="59">
        <v>0.39084967320261438</v>
      </c>
      <c r="V32">
        <v>24</v>
      </c>
      <c r="W32">
        <v>10</v>
      </c>
      <c r="X32">
        <v>2015</v>
      </c>
      <c r="Z32">
        <f t="shared" si="0"/>
        <v>2000</v>
      </c>
      <c r="AA32">
        <f t="shared" si="1"/>
        <v>1000</v>
      </c>
      <c r="AB32">
        <f t="shared" si="2"/>
        <v>24</v>
      </c>
      <c r="AD32" s="11">
        <f t="shared" si="3"/>
        <v>3024</v>
      </c>
    </row>
    <row r="33" spans="1:30" x14ac:dyDescent="0.45">
      <c r="A33" s="58" t="s">
        <v>265</v>
      </c>
      <c r="B33" s="58">
        <f t="shared" si="4"/>
        <v>69</v>
      </c>
      <c r="C33" s="59">
        <f t="shared" si="5"/>
        <v>43.978888453015436</v>
      </c>
      <c r="D33" s="58" cm="1">
        <f t="array" ref="D33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33" s="59">
        <f>IF(Table1[[#This Row],[HomeTeam]]="Leicester",Table1[[#This Row],[ProbH]]*3+Table1[[#This Row],[ProbD]]*1,Table1[[#This Row],[ProbA]]*3+Table1[[#This Row],[ProbD]]*1)</f>
        <v>1.5950824774354189</v>
      </c>
      <c r="G33" s="58" t="s">
        <v>168</v>
      </c>
      <c r="H33" s="58" t="s">
        <v>169</v>
      </c>
      <c r="I33" s="73" t="s">
        <v>176</v>
      </c>
      <c r="J33" s="60">
        <v>4403</v>
      </c>
      <c r="K33" s="73"/>
      <c r="L33" s="73"/>
      <c r="M33" s="58" t="s">
        <v>63</v>
      </c>
      <c r="N33" s="58" t="s">
        <v>177</v>
      </c>
      <c r="O33" s="58">
        <v>1</v>
      </c>
      <c r="P33" s="58">
        <v>0</v>
      </c>
      <c r="Q33" s="58" t="s">
        <v>175</v>
      </c>
      <c r="R33" s="59">
        <v>0.43635231870525992</v>
      </c>
      <c r="S33" s="59">
        <v>0.28602552131963899</v>
      </c>
      <c r="T33" s="59">
        <v>0.27762215997510109</v>
      </c>
      <c r="V33">
        <v>26</v>
      </c>
      <c r="W33">
        <v>9</v>
      </c>
      <c r="X33">
        <v>2015</v>
      </c>
      <c r="Z33">
        <f t="shared" si="0"/>
        <v>2000</v>
      </c>
      <c r="AA33">
        <f t="shared" si="1"/>
        <v>900</v>
      </c>
      <c r="AB33">
        <f t="shared" si="2"/>
        <v>26</v>
      </c>
      <c r="AD33" s="11">
        <f t="shared" si="3"/>
        <v>2926</v>
      </c>
    </row>
    <row r="34" spans="1:30" x14ac:dyDescent="0.45">
      <c r="A34" s="58" t="s">
        <v>266</v>
      </c>
      <c r="B34" s="58">
        <f t="shared" si="4"/>
        <v>72</v>
      </c>
      <c r="C34" s="59">
        <f t="shared" si="5"/>
        <v>45.615676501568188</v>
      </c>
      <c r="D34" s="58" cm="1">
        <f t="array" ref="D34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34" s="59">
        <f>IF(Table1[[#This Row],[HomeTeam]]="Leicester",Table1[[#This Row],[ProbH]]*3+Table1[[#This Row],[ProbD]]*1,Table1[[#This Row],[ProbA]]*3+Table1[[#This Row],[ProbD]]*1)</f>
        <v>1.6367880485527544</v>
      </c>
      <c r="G34" s="58" t="s">
        <v>168</v>
      </c>
      <c r="H34" s="58" t="s">
        <v>169</v>
      </c>
      <c r="I34" s="73" t="s">
        <v>219</v>
      </c>
      <c r="J34" s="60">
        <v>4410</v>
      </c>
      <c r="K34" s="73"/>
      <c r="L34" s="73"/>
      <c r="M34" s="58" t="s">
        <v>195</v>
      </c>
      <c r="N34" s="58" t="s">
        <v>63</v>
      </c>
      <c r="O34" s="58">
        <v>0</v>
      </c>
      <c r="P34" s="58">
        <v>2</v>
      </c>
      <c r="Q34" s="58" t="s">
        <v>180</v>
      </c>
      <c r="R34" s="59">
        <v>0.27264239028944909</v>
      </c>
      <c r="S34" s="59">
        <v>0.27264239028944909</v>
      </c>
      <c r="T34" s="59">
        <v>0.45471521942110182</v>
      </c>
      <c r="V34">
        <v>26</v>
      </c>
      <c r="W34">
        <v>12</v>
      </c>
      <c r="X34">
        <v>2015</v>
      </c>
      <c r="Z34">
        <f t="shared" si="0"/>
        <v>2000</v>
      </c>
      <c r="AA34">
        <f t="shared" si="1"/>
        <v>1200</v>
      </c>
      <c r="AB34">
        <f t="shared" si="2"/>
        <v>26</v>
      </c>
      <c r="AD34" s="11">
        <f t="shared" si="3"/>
        <v>3226</v>
      </c>
    </row>
    <row r="35" spans="1:30" x14ac:dyDescent="0.45">
      <c r="A35" s="58" t="s">
        <v>267</v>
      </c>
      <c r="B35" s="58">
        <f t="shared" si="4"/>
        <v>73</v>
      </c>
      <c r="C35" s="59">
        <f t="shared" si="5"/>
        <v>47.393657779549464</v>
      </c>
      <c r="D35" s="58" cm="1">
        <f t="array" ref="D35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35" s="59">
        <f>IF(Table1[[#This Row],[HomeTeam]]="Leicester",Table1[[#This Row],[ProbH]]*3+Table1[[#This Row],[ProbD]]*1,Table1[[#This Row],[ProbA]]*3+Table1[[#This Row],[ProbD]]*1)</f>
        <v>1.777981277981278</v>
      </c>
      <c r="G35" s="58" t="s">
        <v>168</v>
      </c>
      <c r="H35" s="58" t="s">
        <v>169</v>
      </c>
      <c r="I35" s="73" t="s">
        <v>196</v>
      </c>
      <c r="J35" s="60">
        <v>4417</v>
      </c>
      <c r="K35" s="73"/>
      <c r="L35" s="73"/>
      <c r="M35" s="58" t="s">
        <v>63</v>
      </c>
      <c r="N35" s="58" t="s">
        <v>197</v>
      </c>
      <c r="O35" s="58">
        <v>2</v>
      </c>
      <c r="P35" s="58">
        <v>2</v>
      </c>
      <c r="Q35" s="58" t="s">
        <v>172</v>
      </c>
      <c r="R35" s="59">
        <v>0.50325600325600328</v>
      </c>
      <c r="S35" s="59">
        <v>0.26821326821326819</v>
      </c>
      <c r="T35" s="59">
        <v>0.22853072853072851</v>
      </c>
      <c r="V35">
        <v>27</v>
      </c>
      <c r="W35">
        <v>2</v>
      </c>
      <c r="X35">
        <v>2016</v>
      </c>
      <c r="Z35">
        <f t="shared" si="0"/>
        <v>4000</v>
      </c>
      <c r="AA35">
        <f t="shared" si="1"/>
        <v>200</v>
      </c>
      <c r="AB35">
        <f t="shared" si="2"/>
        <v>27</v>
      </c>
      <c r="AD35" s="11">
        <f t="shared" si="3"/>
        <v>4227</v>
      </c>
    </row>
    <row r="36" spans="1:30" x14ac:dyDescent="0.45">
      <c r="A36" s="58" t="s">
        <v>268</v>
      </c>
      <c r="B36" s="58">
        <f t="shared" si="4"/>
        <v>76</v>
      </c>
      <c r="C36" s="59">
        <f t="shared" si="5"/>
        <v>49.34685773274942</v>
      </c>
      <c r="D36" s="58" cm="1">
        <f t="array" ref="D36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36" s="59">
        <f>IF(Table1[[#This Row],[HomeTeam]]="Leicester",Table1[[#This Row],[ProbH]]*3+Table1[[#This Row],[ProbD]]*1,Table1[[#This Row],[ProbA]]*3+Table1[[#This Row],[ProbD]]*1)</f>
        <v>1.9531999531999531</v>
      </c>
      <c r="G36" s="58" t="s">
        <v>168</v>
      </c>
      <c r="H36" s="58" t="s">
        <v>169</v>
      </c>
      <c r="I36" s="73" t="s">
        <v>191</v>
      </c>
      <c r="J36" s="60">
        <v>4424</v>
      </c>
      <c r="K36" s="73"/>
      <c r="L36" s="73"/>
      <c r="M36" s="58" t="s">
        <v>63</v>
      </c>
      <c r="N36" s="58" t="s">
        <v>192</v>
      </c>
      <c r="O36" s="58">
        <v>4</v>
      </c>
      <c r="P36" s="58">
        <v>0</v>
      </c>
      <c r="Q36" s="58" t="s">
        <v>175</v>
      </c>
      <c r="R36" s="59">
        <v>0.56358956358956358</v>
      </c>
      <c r="S36" s="59">
        <v>0.26243126243126241</v>
      </c>
      <c r="T36" s="59">
        <v>0.17397917397917401</v>
      </c>
      <c r="V36">
        <v>28</v>
      </c>
      <c r="W36">
        <v>11</v>
      </c>
      <c r="X36">
        <v>2015</v>
      </c>
      <c r="Z36">
        <f t="shared" si="0"/>
        <v>2000</v>
      </c>
      <c r="AA36">
        <f t="shared" si="1"/>
        <v>1100</v>
      </c>
      <c r="AB36">
        <f t="shared" si="2"/>
        <v>28</v>
      </c>
      <c r="AD36" s="11">
        <f t="shared" si="3"/>
        <v>3128</v>
      </c>
    </row>
    <row r="37" spans="1:30" x14ac:dyDescent="0.45">
      <c r="A37" s="58" t="s">
        <v>269</v>
      </c>
      <c r="B37" s="58">
        <f t="shared" si="4"/>
        <v>77</v>
      </c>
      <c r="C37" s="59">
        <f t="shared" si="5"/>
        <v>50.374581642826271</v>
      </c>
      <c r="D37" s="58" cm="1">
        <f t="array" ref="D37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37" s="59">
        <f>IF(Table1[[#This Row],[HomeTeam]]="Leicester",Table1[[#This Row],[ProbH]]*3+Table1[[#This Row],[ProbD]]*1,Table1[[#This Row],[ProbA]]*3+Table1[[#This Row],[ProbD]]*1)</f>
        <v>1.0277239100768516</v>
      </c>
      <c r="G37" s="58" t="s">
        <v>168</v>
      </c>
      <c r="H37" s="58" t="s">
        <v>169</v>
      </c>
      <c r="I37" s="73" t="s">
        <v>217</v>
      </c>
      <c r="J37" s="60">
        <v>4501</v>
      </c>
      <c r="K37" s="73"/>
      <c r="L37" s="73"/>
      <c r="M37" s="58" t="s">
        <v>186</v>
      </c>
      <c r="N37" s="58" t="s">
        <v>63</v>
      </c>
      <c r="O37" s="58">
        <v>1</v>
      </c>
      <c r="P37" s="58">
        <v>1</v>
      </c>
      <c r="Q37" s="58" t="s">
        <v>172</v>
      </c>
      <c r="R37" s="59">
        <v>0.46728434963729082</v>
      </c>
      <c r="S37" s="59">
        <v>0.28521152050563819</v>
      </c>
      <c r="T37" s="59">
        <v>0.2475041298570711</v>
      </c>
      <c r="V37">
        <v>29</v>
      </c>
      <c r="W37">
        <v>8</v>
      </c>
      <c r="X37">
        <v>2015</v>
      </c>
      <c r="Z37">
        <f t="shared" si="0"/>
        <v>2000</v>
      </c>
      <c r="AA37">
        <f t="shared" si="1"/>
        <v>800</v>
      </c>
      <c r="AB37">
        <f t="shared" si="2"/>
        <v>29</v>
      </c>
      <c r="AD37" s="11">
        <f t="shared" si="3"/>
        <v>2829</v>
      </c>
    </row>
    <row r="38" spans="1:30" x14ac:dyDescent="0.45">
      <c r="A38" s="58" t="s">
        <v>270</v>
      </c>
      <c r="B38" s="58">
        <f t="shared" si="4"/>
        <v>80</v>
      </c>
      <c r="C38" s="59">
        <f t="shared" si="5"/>
        <v>52.163848658533077</v>
      </c>
      <c r="D38" s="58" cm="1">
        <f t="array" ref="D38">IF(Table1[[#This Row],[HomeTeam]]="Leicester",_xlfn.IFS(Table1[[#This Row],[FTR]]="H",3,Table1[[#This Row],[FTR]]="D",1,Table1[[#This Row],[FTR]]="A",0),_xlfn.IFS(Table1[[#This Row],[FTR]]="A",3,Table1[[#This Row],[FTR]]="D",1,Table1[[#This Row],[FTR]]="H",0))</f>
        <v>3</v>
      </c>
      <c r="E38" s="59">
        <f>IF(Table1[[#This Row],[HomeTeam]]="Leicester",Table1[[#This Row],[ProbH]]*3+Table1[[#This Row],[ProbD]]*1,Table1[[#This Row],[ProbA]]*3+Table1[[#This Row],[ProbD]]*1)</f>
        <v>1.7892670157068065</v>
      </c>
      <c r="G38" s="58" t="s">
        <v>168</v>
      </c>
      <c r="H38" s="58" t="s">
        <v>169</v>
      </c>
      <c r="I38" s="73" t="s">
        <v>204</v>
      </c>
      <c r="J38" s="60">
        <v>4507</v>
      </c>
      <c r="K38" s="73"/>
      <c r="L38" s="73"/>
      <c r="M38" s="58" t="s">
        <v>63</v>
      </c>
      <c r="N38" s="58" t="s">
        <v>205</v>
      </c>
      <c r="O38" s="58">
        <v>3</v>
      </c>
      <c r="P38" s="58">
        <v>1</v>
      </c>
      <c r="Q38" s="58" t="s">
        <v>175</v>
      </c>
      <c r="R38" s="59">
        <v>0.51570680628272259</v>
      </c>
      <c r="S38" s="59">
        <v>0.24214659685863879</v>
      </c>
      <c r="T38" s="59">
        <v>0.24214659685863879</v>
      </c>
      <c r="V38">
        <v>29</v>
      </c>
      <c r="W38">
        <v>12</v>
      </c>
      <c r="X38">
        <v>2015</v>
      </c>
      <c r="Z38">
        <f t="shared" si="0"/>
        <v>2000</v>
      </c>
      <c r="AA38">
        <f t="shared" si="1"/>
        <v>1200</v>
      </c>
      <c r="AB38">
        <f t="shared" si="2"/>
        <v>29</v>
      </c>
      <c r="AD38" s="11">
        <f t="shared" si="3"/>
        <v>3229</v>
      </c>
    </row>
    <row r="39" spans="1:30" x14ac:dyDescent="0.45">
      <c r="A39" s="58" t="s">
        <v>271</v>
      </c>
      <c r="B39" s="58">
        <f t="shared" si="4"/>
        <v>81</v>
      </c>
      <c r="C39" s="59">
        <f t="shared" si="5"/>
        <v>53.366217366652137</v>
      </c>
      <c r="D39" s="58" cm="1">
        <f t="array" ref="D39">IF(Table1[[#This Row],[HomeTeam]]="Leicester",_xlfn.IFS(Table1[[#This Row],[FTR]]="H",3,Table1[[#This Row],[FTR]]="D",1,Table1[[#This Row],[FTR]]="A",0),_xlfn.IFS(Table1[[#This Row],[FTR]]="A",3,Table1[[#This Row],[FTR]]="D",1,Table1[[#This Row],[FTR]]="H",0))</f>
        <v>1</v>
      </c>
      <c r="E39" s="59">
        <f>IF(Table1[[#This Row],[HomeTeam]]="Leicester",Table1[[#This Row],[ProbH]]*3+Table1[[#This Row],[ProbD]]*1,Table1[[#This Row],[ProbA]]*3+Table1[[#This Row],[ProbD]]*1)</f>
        <v>1.2023687081190588</v>
      </c>
      <c r="G39" s="58" t="s">
        <v>168</v>
      </c>
      <c r="H39" s="58" t="s">
        <v>169</v>
      </c>
      <c r="I39" s="73" t="s">
        <v>215</v>
      </c>
      <c r="J39" s="60">
        <v>4515</v>
      </c>
      <c r="K39" s="73"/>
      <c r="L39" s="73"/>
      <c r="M39" s="58" t="s">
        <v>188</v>
      </c>
      <c r="N39" s="58" t="s">
        <v>63</v>
      </c>
      <c r="O39" s="58">
        <v>1</v>
      </c>
      <c r="P39" s="58">
        <v>1</v>
      </c>
      <c r="Q39" s="58" t="s">
        <v>172</v>
      </c>
      <c r="R39" s="59">
        <v>0.42677263518778252</v>
      </c>
      <c r="S39" s="59">
        <v>0.25865669315879691</v>
      </c>
      <c r="T39" s="59">
        <v>0.31457067165342062</v>
      </c>
      <c r="V39">
        <v>31</v>
      </c>
      <c r="W39">
        <v>10</v>
      </c>
      <c r="X39">
        <v>2015</v>
      </c>
      <c r="Z39">
        <f t="shared" si="0"/>
        <v>2000</v>
      </c>
      <c r="AA39">
        <f t="shared" si="1"/>
        <v>1000</v>
      </c>
      <c r="AB39">
        <f t="shared" si="2"/>
        <v>31</v>
      </c>
      <c r="AD39" s="11">
        <f t="shared" si="3"/>
        <v>3031</v>
      </c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0370D-6CD2-4F52-8112-6FBCF42505C2}">
  <dimension ref="A1:BY105"/>
  <sheetViews>
    <sheetView topLeftCell="AV1" zoomScale="40" zoomScaleNormal="40" workbookViewId="0">
      <selection activeCell="BL1" sqref="BL1"/>
    </sheetView>
  </sheetViews>
  <sheetFormatPr defaultRowHeight="14.25" x14ac:dyDescent="0.45"/>
  <cols>
    <col min="2" max="2" width="14.73046875" bestFit="1" customWidth="1"/>
    <col min="3" max="3" width="14.59765625" bestFit="1" customWidth="1"/>
    <col min="4" max="4" width="14.59765625" customWidth="1"/>
    <col min="10" max="10" width="0" hidden="1" customWidth="1"/>
  </cols>
  <sheetData>
    <row r="1" spans="1:64" x14ac:dyDescent="0.45">
      <c r="A1" s="58"/>
      <c r="B1" s="58" t="s">
        <v>158</v>
      </c>
      <c r="C1" s="58" t="s">
        <v>159</v>
      </c>
      <c r="D1" s="58"/>
      <c r="F1" s="58"/>
      <c r="G1" s="58" t="s">
        <v>158</v>
      </c>
      <c r="H1" s="58" t="s">
        <v>159</v>
      </c>
      <c r="I1" t="s">
        <v>274</v>
      </c>
      <c r="AH1" s="58"/>
      <c r="AI1" s="58" t="s">
        <v>158</v>
      </c>
      <c r="AJ1" s="58" t="s">
        <v>159</v>
      </c>
      <c r="AK1" t="s">
        <v>274</v>
      </c>
      <c r="BI1" s="58"/>
      <c r="BJ1" s="58" t="s">
        <v>158</v>
      </c>
      <c r="BK1" s="58" t="s">
        <v>159</v>
      </c>
      <c r="BL1" t="s">
        <v>274</v>
      </c>
    </row>
    <row r="2" spans="1:64" x14ac:dyDescent="0.45">
      <c r="A2" s="58" t="s">
        <v>157</v>
      </c>
      <c r="B2" s="58">
        <v>3</v>
      </c>
      <c r="C2" s="59">
        <v>1.7848669165066395</v>
      </c>
      <c r="D2" s="59"/>
      <c r="F2" s="58" t="s">
        <v>157</v>
      </c>
      <c r="G2" s="58">
        <v>3</v>
      </c>
      <c r="H2" s="52">
        <v>1.7848669165066395</v>
      </c>
      <c r="I2">
        <f>G2/H2</f>
        <v>1.6807975834252291</v>
      </c>
      <c r="AH2" s="58" t="s">
        <v>285</v>
      </c>
      <c r="AI2" s="58">
        <v>28</v>
      </c>
      <c r="AJ2" s="52">
        <v>17.683545790693799</v>
      </c>
      <c r="AK2">
        <f>AI2/AJ2</f>
        <v>1.5833928518303932</v>
      </c>
      <c r="BI2" s="58" t="s">
        <v>296</v>
      </c>
      <c r="BJ2" s="58">
        <v>53</v>
      </c>
      <c r="BK2" s="52">
        <v>32.444006931029826</v>
      </c>
      <c r="BL2">
        <f>BJ2/BK2</f>
        <v>1.6335836727155357</v>
      </c>
    </row>
    <row r="3" spans="1:64" x14ac:dyDescent="0.45">
      <c r="A3" s="58" t="s">
        <v>235</v>
      </c>
      <c r="B3" s="58">
        <v>6</v>
      </c>
      <c r="C3" s="59">
        <v>2.9205656404406577</v>
      </c>
      <c r="D3" s="59"/>
    </row>
    <row r="4" spans="1:64" x14ac:dyDescent="0.45">
      <c r="A4" s="58" t="s">
        <v>236</v>
      </c>
      <c r="B4" s="58">
        <v>7</v>
      </c>
      <c r="C4" s="59">
        <v>4.3101714578031292</v>
      </c>
      <c r="D4" s="59"/>
      <c r="F4" s="58"/>
      <c r="G4" s="58" t="s">
        <v>158</v>
      </c>
      <c r="H4" s="58" t="s">
        <v>159</v>
      </c>
      <c r="I4" t="s">
        <v>274</v>
      </c>
      <c r="AH4" s="58"/>
      <c r="AI4" s="58" t="s">
        <v>158</v>
      </c>
      <c r="AJ4" s="58" t="s">
        <v>159</v>
      </c>
      <c r="AK4" t="s">
        <v>274</v>
      </c>
      <c r="BI4" s="58"/>
      <c r="BJ4" s="58" t="s">
        <v>158</v>
      </c>
      <c r="BK4" s="58" t="s">
        <v>159</v>
      </c>
      <c r="BL4" t="s">
        <v>274</v>
      </c>
    </row>
    <row r="5" spans="1:64" x14ac:dyDescent="0.45">
      <c r="A5" s="58" t="s">
        <v>237</v>
      </c>
      <c r="B5" s="58">
        <v>8</v>
      </c>
      <c r="C5" s="59">
        <v>5.4350476709146367</v>
      </c>
      <c r="D5" s="59"/>
      <c r="F5" s="58" t="s">
        <v>273</v>
      </c>
      <c r="G5" s="58">
        <v>6</v>
      </c>
      <c r="H5" s="52">
        <v>2.9205656404406577</v>
      </c>
      <c r="I5">
        <f>G5/H5</f>
        <v>2.0543965582963972</v>
      </c>
      <c r="AH5" s="58" t="s">
        <v>286</v>
      </c>
      <c r="AI5" s="58">
        <v>29</v>
      </c>
      <c r="AJ5" s="52">
        <v>18.903719881835631</v>
      </c>
      <c r="AK5">
        <f>AI5/AJ5</f>
        <v>1.5340895961892542</v>
      </c>
      <c r="BI5" s="58" t="s">
        <v>297</v>
      </c>
      <c r="BJ5" s="58">
        <v>53</v>
      </c>
      <c r="BK5" s="52">
        <v>33.265435502458395</v>
      </c>
      <c r="BL5">
        <f>BJ5/BK5</f>
        <v>1.5932453370731663</v>
      </c>
    </row>
    <row r="6" spans="1:64" x14ac:dyDescent="0.45">
      <c r="A6" s="58" t="s">
        <v>238</v>
      </c>
      <c r="B6" s="58">
        <v>11</v>
      </c>
      <c r="C6" s="59">
        <v>7.2441632881097675</v>
      </c>
      <c r="D6" s="59"/>
    </row>
    <row r="7" spans="1:64" x14ac:dyDescent="0.45">
      <c r="A7" s="58" t="s">
        <v>239</v>
      </c>
      <c r="B7" s="58">
        <v>12</v>
      </c>
      <c r="C7" s="59">
        <v>8.5016796279790494</v>
      </c>
      <c r="D7" s="59"/>
      <c r="F7" s="58"/>
      <c r="G7" s="58" t="s">
        <v>158</v>
      </c>
      <c r="H7" s="58" t="s">
        <v>159</v>
      </c>
      <c r="I7" t="s">
        <v>274</v>
      </c>
      <c r="AH7" s="58"/>
      <c r="AI7" s="58" t="s">
        <v>158</v>
      </c>
      <c r="AJ7" s="58" t="s">
        <v>159</v>
      </c>
      <c r="AK7" t="s">
        <v>274</v>
      </c>
      <c r="BI7" s="58"/>
      <c r="BJ7" s="58" t="s">
        <v>158</v>
      </c>
      <c r="BK7" s="58" t="s">
        <v>159</v>
      </c>
      <c r="BL7" t="s">
        <v>274</v>
      </c>
    </row>
    <row r="8" spans="1:64" x14ac:dyDescent="0.45">
      <c r="A8" s="58" t="s">
        <v>240</v>
      </c>
      <c r="B8" s="58">
        <v>12</v>
      </c>
      <c r="C8" s="59">
        <v>9.3813092576086792</v>
      </c>
      <c r="D8" s="59"/>
      <c r="F8" s="58" t="s">
        <v>275</v>
      </c>
      <c r="G8" s="58">
        <v>7</v>
      </c>
      <c r="H8" s="52">
        <v>4.3101714578031292</v>
      </c>
      <c r="I8">
        <f>G8/H8</f>
        <v>1.6240653228138311</v>
      </c>
      <c r="AH8" s="58" t="s">
        <v>287</v>
      </c>
      <c r="AI8" s="58">
        <v>32</v>
      </c>
      <c r="AJ8" s="52">
        <v>20.251247445049469</v>
      </c>
      <c r="AK8">
        <f>AI8/AJ8</f>
        <v>1.5801495728512556</v>
      </c>
      <c r="BI8" s="58" t="s">
        <v>298</v>
      </c>
      <c r="BJ8" s="58">
        <v>56</v>
      </c>
      <c r="BK8" s="52">
        <v>35.410675430608251</v>
      </c>
      <c r="BL8">
        <f>BJ8/BK8</f>
        <v>1.5814439944739027</v>
      </c>
    </row>
    <row r="9" spans="1:64" x14ac:dyDescent="0.45">
      <c r="A9" s="58" t="s">
        <v>241</v>
      </c>
      <c r="B9" s="58">
        <v>15</v>
      </c>
      <c r="C9" s="59">
        <v>10.544744855826886</v>
      </c>
      <c r="D9" s="59"/>
    </row>
    <row r="10" spans="1:64" x14ac:dyDescent="0.45">
      <c r="A10" s="58" t="s">
        <v>242</v>
      </c>
      <c r="B10" s="58">
        <v>16</v>
      </c>
      <c r="C10" s="59">
        <v>11.366173427255458</v>
      </c>
      <c r="D10" s="59"/>
      <c r="F10" s="58"/>
      <c r="G10" s="58" t="s">
        <v>158</v>
      </c>
      <c r="H10" s="58" t="s">
        <v>159</v>
      </c>
      <c r="I10" t="s">
        <v>274</v>
      </c>
      <c r="AH10" s="58"/>
      <c r="AI10" s="58" t="s">
        <v>158</v>
      </c>
      <c r="AJ10" s="58" t="s">
        <v>159</v>
      </c>
      <c r="AK10" t="s">
        <v>274</v>
      </c>
      <c r="BI10" s="58"/>
      <c r="BJ10" s="58" t="s">
        <v>158</v>
      </c>
      <c r="BK10" s="58" t="s">
        <v>159</v>
      </c>
      <c r="BL10" t="s">
        <v>274</v>
      </c>
    </row>
    <row r="11" spans="1:64" x14ac:dyDescent="0.45">
      <c r="A11" s="58" t="s">
        <v>243</v>
      </c>
      <c r="B11" s="58">
        <v>19</v>
      </c>
      <c r="C11" s="59">
        <v>12.972333062826857</v>
      </c>
      <c r="D11" s="59"/>
      <c r="F11" s="58" t="s">
        <v>276</v>
      </c>
      <c r="G11" s="58">
        <v>8</v>
      </c>
      <c r="H11" s="52">
        <v>5.4350476709146367</v>
      </c>
      <c r="I11">
        <f>G11/H11</f>
        <v>1.4719282119293207</v>
      </c>
      <c r="AH11" s="58" t="s">
        <v>310</v>
      </c>
      <c r="AI11" s="58">
        <v>35</v>
      </c>
      <c r="AJ11" s="52">
        <v>21.442800129953216</v>
      </c>
      <c r="AK11">
        <f>AI11/AJ11</f>
        <v>1.6322495097601026</v>
      </c>
      <c r="BI11" s="58" t="s">
        <v>299</v>
      </c>
      <c r="BJ11" s="58">
        <v>57</v>
      </c>
      <c r="BK11" s="52">
        <v>37.377256360073268</v>
      </c>
      <c r="BL11">
        <f>BJ11/BK11</f>
        <v>1.524991547022374</v>
      </c>
    </row>
    <row r="12" spans="1:64" x14ac:dyDescent="0.45">
      <c r="A12" s="58" t="s">
        <v>244</v>
      </c>
      <c r="B12" s="58">
        <v>22</v>
      </c>
      <c r="C12" s="59">
        <v>14.388882706557029</v>
      </c>
      <c r="D12" s="59"/>
    </row>
    <row r="13" spans="1:64" x14ac:dyDescent="0.45">
      <c r="A13" s="58" t="s">
        <v>245</v>
      </c>
      <c r="B13" s="58">
        <v>25</v>
      </c>
      <c r="C13" s="59">
        <v>16.239101346249353</v>
      </c>
      <c r="D13" s="59"/>
      <c r="F13" s="58"/>
      <c r="G13" s="58" t="s">
        <v>158</v>
      </c>
      <c r="H13" s="58" t="s">
        <v>159</v>
      </c>
      <c r="I13" t="s">
        <v>274</v>
      </c>
      <c r="AH13" s="58"/>
      <c r="AI13" s="58" t="s">
        <v>158</v>
      </c>
      <c r="AJ13" s="58" t="s">
        <v>159</v>
      </c>
      <c r="AK13" t="s">
        <v>274</v>
      </c>
      <c r="BI13" s="58"/>
      <c r="BJ13" s="58" t="s">
        <v>158</v>
      </c>
      <c r="BK13" s="58" t="s">
        <v>159</v>
      </c>
      <c r="BL13" t="s">
        <v>274</v>
      </c>
    </row>
    <row r="14" spans="1:64" x14ac:dyDescent="0.45">
      <c r="A14" s="58" t="s">
        <v>246</v>
      </c>
      <c r="B14" s="58">
        <v>28</v>
      </c>
      <c r="C14" s="59">
        <v>17.683545790693799</v>
      </c>
      <c r="D14" s="59"/>
      <c r="F14" s="58" t="s">
        <v>277</v>
      </c>
      <c r="G14" s="58">
        <v>11</v>
      </c>
      <c r="H14" s="52">
        <v>7.2441632881097675</v>
      </c>
      <c r="I14">
        <f>G14/H14</f>
        <v>1.5184638394409038</v>
      </c>
      <c r="AH14" s="58" t="s">
        <v>288</v>
      </c>
      <c r="AI14" s="58">
        <v>38</v>
      </c>
      <c r="AJ14" s="52">
        <v>22.515286902439989</v>
      </c>
      <c r="AK14">
        <f>AI14/AJ14</f>
        <v>1.6877422066463621</v>
      </c>
      <c r="BI14" s="58" t="s">
        <v>300</v>
      </c>
      <c r="BJ14" s="58">
        <v>60</v>
      </c>
      <c r="BK14" s="52">
        <v>38.821700804517711</v>
      </c>
      <c r="BL14">
        <f>BJ14/BK14</f>
        <v>1.5455273405491228</v>
      </c>
    </row>
    <row r="15" spans="1:64" x14ac:dyDescent="0.45">
      <c r="A15" s="58" t="s">
        <v>247</v>
      </c>
      <c r="B15" s="58">
        <v>29</v>
      </c>
      <c r="C15" s="59">
        <v>18.903719881835631</v>
      </c>
      <c r="D15" s="59"/>
    </row>
    <row r="16" spans="1:64" x14ac:dyDescent="0.45">
      <c r="A16" s="58" t="s">
        <v>248</v>
      </c>
      <c r="B16" s="58">
        <v>32</v>
      </c>
      <c r="C16" s="59">
        <v>20.251247445049469</v>
      </c>
      <c r="D16" s="59"/>
      <c r="F16" s="58"/>
      <c r="G16" s="58" t="s">
        <v>158</v>
      </c>
      <c r="H16" s="58" t="s">
        <v>159</v>
      </c>
      <c r="I16" t="s">
        <v>274</v>
      </c>
      <c r="AH16" s="58"/>
      <c r="AI16" s="58" t="s">
        <v>158</v>
      </c>
      <c r="AJ16" s="58" t="s">
        <v>159</v>
      </c>
      <c r="AK16" t="s">
        <v>274</v>
      </c>
      <c r="BI16" s="58"/>
      <c r="BJ16" s="58" t="s">
        <v>158</v>
      </c>
      <c r="BK16" s="58" t="s">
        <v>159</v>
      </c>
      <c r="BL16" t="s">
        <v>274</v>
      </c>
    </row>
    <row r="17" spans="1:64" x14ac:dyDescent="0.45">
      <c r="A17" s="58" t="s">
        <v>249</v>
      </c>
      <c r="B17" s="58">
        <v>35</v>
      </c>
      <c r="C17" s="59">
        <v>21.442800129953216</v>
      </c>
      <c r="D17" s="59"/>
      <c r="F17" s="58" t="s">
        <v>278</v>
      </c>
      <c r="G17" s="58">
        <v>12</v>
      </c>
      <c r="H17" s="52">
        <v>8.5016796279790494</v>
      </c>
      <c r="I17">
        <f>G17/H17</f>
        <v>1.4114857916438028</v>
      </c>
      <c r="AH17" s="58" t="s">
        <v>289</v>
      </c>
      <c r="AI17" s="58">
        <v>38</v>
      </c>
      <c r="AJ17" s="52">
        <v>23.501417149523668</v>
      </c>
      <c r="AK17">
        <f>AI17/AJ17</f>
        <v>1.6169237692447067</v>
      </c>
      <c r="BI17" s="58" t="s">
        <v>301</v>
      </c>
      <c r="BJ17" s="58">
        <v>63</v>
      </c>
      <c r="BK17" s="52">
        <v>40.926289635710738</v>
      </c>
      <c r="BL17">
        <f>BJ17/BK17</f>
        <v>1.5393528355677906</v>
      </c>
    </row>
    <row r="18" spans="1:64" x14ac:dyDescent="0.45">
      <c r="A18" s="58" t="s">
        <v>250</v>
      </c>
      <c r="B18" s="58">
        <v>38</v>
      </c>
      <c r="C18" s="59">
        <v>22.515286902439989</v>
      </c>
      <c r="D18" s="59"/>
    </row>
    <row r="19" spans="1:64" x14ac:dyDescent="0.45">
      <c r="A19" s="58" t="s">
        <v>251</v>
      </c>
      <c r="B19" s="58">
        <v>38</v>
      </c>
      <c r="C19" s="59">
        <v>23.501417149523668</v>
      </c>
      <c r="D19" s="59"/>
      <c r="F19" s="58"/>
      <c r="G19" s="58" t="s">
        <v>158</v>
      </c>
      <c r="H19" s="58" t="s">
        <v>159</v>
      </c>
      <c r="I19" t="s">
        <v>274</v>
      </c>
      <c r="AH19" s="58"/>
      <c r="AI19" s="58" t="s">
        <v>158</v>
      </c>
      <c r="AJ19" s="58" t="s">
        <v>159</v>
      </c>
      <c r="AK19" t="s">
        <v>274</v>
      </c>
    </row>
    <row r="20" spans="1:64" x14ac:dyDescent="0.45">
      <c r="A20" s="58" t="s">
        <v>252</v>
      </c>
      <c r="B20" s="58">
        <v>39</v>
      </c>
      <c r="C20" s="59">
        <v>24.415607899164765</v>
      </c>
      <c r="D20" s="59"/>
      <c r="F20" s="58" t="s">
        <v>279</v>
      </c>
      <c r="G20" s="58">
        <v>12</v>
      </c>
      <c r="H20" s="52">
        <v>9.3813092576086792</v>
      </c>
      <c r="I20">
        <f>G20/H20</f>
        <v>1.2791391553654881</v>
      </c>
      <c r="AH20" s="58" t="s">
        <v>290</v>
      </c>
      <c r="AI20" s="58">
        <v>39</v>
      </c>
      <c r="AJ20" s="52">
        <v>24.415607899164765</v>
      </c>
      <c r="AK20">
        <f>AI20/AJ20</f>
        <v>1.5973388891674556</v>
      </c>
    </row>
    <row r="21" spans="1:64" x14ac:dyDescent="0.45">
      <c r="A21" s="58" t="s">
        <v>253</v>
      </c>
      <c r="B21" s="58">
        <v>40</v>
      </c>
      <c r="C21" s="59">
        <v>26.224723516359894</v>
      </c>
      <c r="D21" s="59"/>
    </row>
    <row r="22" spans="1:64" x14ac:dyDescent="0.45">
      <c r="A22" s="58" t="s">
        <v>254</v>
      </c>
      <c r="B22" s="58">
        <v>43</v>
      </c>
      <c r="C22" s="59">
        <v>27.025893107003171</v>
      </c>
      <c r="D22" s="59"/>
      <c r="F22" s="58"/>
      <c r="G22" s="58" t="s">
        <v>158</v>
      </c>
      <c r="H22" s="58" t="s">
        <v>159</v>
      </c>
      <c r="I22" t="s">
        <v>274</v>
      </c>
      <c r="AH22" s="58"/>
      <c r="AI22" s="58" t="s">
        <v>158</v>
      </c>
      <c r="AJ22" s="58" t="s">
        <v>159</v>
      </c>
      <c r="AK22" t="s">
        <v>274</v>
      </c>
    </row>
    <row r="23" spans="1:64" x14ac:dyDescent="0.45">
      <c r="A23" s="58" t="s">
        <v>255</v>
      </c>
      <c r="B23" s="58">
        <v>44</v>
      </c>
      <c r="C23" s="59">
        <v>28.648392611855616</v>
      </c>
      <c r="D23" s="59"/>
      <c r="F23" s="58" t="s">
        <v>280</v>
      </c>
      <c r="G23" s="58">
        <v>15</v>
      </c>
      <c r="H23" s="52">
        <v>10.544744855826886</v>
      </c>
      <c r="I23">
        <f>G23/H23</f>
        <v>1.4225095253690465</v>
      </c>
      <c r="AH23" s="58" t="s">
        <v>291</v>
      </c>
      <c r="AI23" s="58">
        <v>40</v>
      </c>
      <c r="AJ23" s="52">
        <v>26.224723516359894</v>
      </c>
      <c r="AK23">
        <f>AI23/AJ23</f>
        <v>1.5252782350611478</v>
      </c>
    </row>
    <row r="24" spans="1:64" x14ac:dyDescent="0.45">
      <c r="A24" s="58" t="s">
        <v>256</v>
      </c>
      <c r="B24" s="58">
        <v>47</v>
      </c>
      <c r="C24" s="59">
        <v>30.329261450619192</v>
      </c>
      <c r="D24" s="59"/>
    </row>
    <row r="25" spans="1:64" x14ac:dyDescent="0.45">
      <c r="A25" s="58" t="s">
        <v>257</v>
      </c>
      <c r="B25" s="58">
        <v>50</v>
      </c>
      <c r="C25" s="59">
        <v>31.735306166773505</v>
      </c>
      <c r="D25" s="59"/>
      <c r="F25" s="58"/>
      <c r="G25" s="58" t="s">
        <v>158</v>
      </c>
      <c r="H25" s="58" t="s">
        <v>159</v>
      </c>
      <c r="I25" t="s">
        <v>274</v>
      </c>
      <c r="AH25" s="58"/>
      <c r="AI25" s="58" t="s">
        <v>158</v>
      </c>
      <c r="AJ25" s="58" t="s">
        <v>159</v>
      </c>
      <c r="AK25" t="s">
        <v>274</v>
      </c>
    </row>
    <row r="26" spans="1:64" x14ac:dyDescent="0.45">
      <c r="A26" s="58" t="s">
        <v>258</v>
      </c>
      <c r="B26" s="58">
        <v>53</v>
      </c>
      <c r="C26" s="59">
        <v>32.444006931029826</v>
      </c>
      <c r="D26" s="59"/>
      <c r="F26" s="58" t="s">
        <v>281</v>
      </c>
      <c r="G26" s="58">
        <v>16</v>
      </c>
      <c r="H26" s="52">
        <v>11.366173427255458</v>
      </c>
      <c r="I26">
        <f>G26/H26</f>
        <v>1.4076857178364779</v>
      </c>
      <c r="AH26" s="58" t="s">
        <v>292</v>
      </c>
      <c r="AI26" s="58">
        <v>43</v>
      </c>
      <c r="AJ26" s="52">
        <v>27.025893107003171</v>
      </c>
      <c r="AK26">
        <f>AI26/AJ26</f>
        <v>1.5910667532706806</v>
      </c>
    </row>
    <row r="27" spans="1:64" x14ac:dyDescent="0.45">
      <c r="A27" s="58" t="s">
        <v>259</v>
      </c>
      <c r="B27" s="58">
        <v>53</v>
      </c>
      <c r="C27" s="59">
        <v>33.265435502458395</v>
      </c>
      <c r="D27" s="59"/>
    </row>
    <row r="28" spans="1:64" x14ac:dyDescent="0.45">
      <c r="A28" s="58" t="s">
        <v>260</v>
      </c>
      <c r="B28" s="58">
        <v>56</v>
      </c>
      <c r="C28" s="59">
        <v>35.410675430608251</v>
      </c>
      <c r="D28" s="59"/>
      <c r="F28" s="58"/>
      <c r="G28" s="58" t="s">
        <v>158</v>
      </c>
      <c r="H28" s="58" t="s">
        <v>159</v>
      </c>
      <c r="I28" t="s">
        <v>274</v>
      </c>
      <c r="AH28" s="58"/>
      <c r="AI28" s="58" t="s">
        <v>158</v>
      </c>
      <c r="AJ28" s="58" t="s">
        <v>159</v>
      </c>
      <c r="AK28" t="s">
        <v>274</v>
      </c>
    </row>
    <row r="29" spans="1:64" x14ac:dyDescent="0.45">
      <c r="A29" s="58" t="s">
        <v>261</v>
      </c>
      <c r="B29" s="58">
        <v>57</v>
      </c>
      <c r="C29" s="59">
        <v>37.377256360073268</v>
      </c>
      <c r="D29" s="59"/>
      <c r="F29" s="58" t="s">
        <v>282</v>
      </c>
      <c r="G29" s="58">
        <v>19</v>
      </c>
      <c r="H29" s="52">
        <v>12.972333062826857</v>
      </c>
      <c r="I29">
        <f>G29/H29</f>
        <v>1.4646555795307052</v>
      </c>
      <c r="AH29" s="58" t="s">
        <v>293</v>
      </c>
      <c r="AI29" s="58">
        <v>44</v>
      </c>
      <c r="AJ29" s="52">
        <v>28.648392611855616</v>
      </c>
      <c r="AK29">
        <f>AI29/AJ29</f>
        <v>1.5358627828142581</v>
      </c>
    </row>
    <row r="30" spans="1:64" x14ac:dyDescent="0.45">
      <c r="A30" s="58" t="s">
        <v>262</v>
      </c>
      <c r="B30" s="58">
        <v>60</v>
      </c>
      <c r="C30" s="59">
        <v>38.821700804517711</v>
      </c>
      <c r="D30" s="59"/>
    </row>
    <row r="31" spans="1:64" x14ac:dyDescent="0.45">
      <c r="A31" s="58" t="s">
        <v>263</v>
      </c>
      <c r="B31" s="58">
        <v>63</v>
      </c>
      <c r="C31" s="59">
        <v>40.926289635710738</v>
      </c>
      <c r="D31" s="59"/>
      <c r="F31" s="58"/>
      <c r="G31" s="58" t="s">
        <v>158</v>
      </c>
      <c r="H31" s="58" t="s">
        <v>159</v>
      </c>
      <c r="I31" t="s">
        <v>274</v>
      </c>
      <c r="AH31" s="58"/>
      <c r="AI31" s="58" t="s">
        <v>158</v>
      </c>
      <c r="AJ31" s="58" t="s">
        <v>159</v>
      </c>
      <c r="AK31" t="s">
        <v>274</v>
      </c>
    </row>
    <row r="32" spans="1:64" x14ac:dyDescent="0.45">
      <c r="A32" s="58" t="s">
        <v>264</v>
      </c>
      <c r="B32" s="58">
        <v>66</v>
      </c>
      <c r="C32" s="59">
        <v>42.383805975580017</v>
      </c>
      <c r="D32" s="59"/>
      <c r="F32" s="58" t="s">
        <v>283</v>
      </c>
      <c r="G32" s="58">
        <v>22</v>
      </c>
      <c r="H32" s="52">
        <v>14.388882706557029</v>
      </c>
      <c r="I32">
        <f>G32/H32</f>
        <v>1.5289581858899008</v>
      </c>
      <c r="AH32" s="58" t="s">
        <v>294</v>
      </c>
      <c r="AI32" s="58">
        <v>47</v>
      </c>
      <c r="AJ32" s="52">
        <v>30.329261450619192</v>
      </c>
      <c r="AK32">
        <f>AI32/AJ32</f>
        <v>1.5496585723501177</v>
      </c>
    </row>
    <row r="33" spans="1:64" x14ac:dyDescent="0.45">
      <c r="A33" s="58" t="s">
        <v>265</v>
      </c>
      <c r="B33" s="58">
        <v>69</v>
      </c>
      <c r="C33" s="59">
        <v>43.978888453015436</v>
      </c>
      <c r="D33" s="59"/>
    </row>
    <row r="34" spans="1:64" x14ac:dyDescent="0.45">
      <c r="A34" s="58" t="s">
        <v>266</v>
      </c>
      <c r="B34" s="58">
        <v>72</v>
      </c>
      <c r="C34" s="59">
        <v>45.615676501568188</v>
      </c>
      <c r="D34" s="59"/>
      <c r="F34" s="58"/>
      <c r="G34" s="58" t="s">
        <v>158</v>
      </c>
      <c r="H34" s="58" t="s">
        <v>159</v>
      </c>
      <c r="I34" t="s">
        <v>274</v>
      </c>
      <c r="AH34" s="58"/>
      <c r="AI34" s="58" t="s">
        <v>158</v>
      </c>
      <c r="AJ34" s="58" t="s">
        <v>159</v>
      </c>
      <c r="AK34" t="s">
        <v>274</v>
      </c>
    </row>
    <row r="35" spans="1:64" x14ac:dyDescent="0.45">
      <c r="A35" s="58" t="s">
        <v>267</v>
      </c>
      <c r="B35" s="58">
        <v>73</v>
      </c>
      <c r="C35" s="59">
        <v>47.393657779549464</v>
      </c>
      <c r="D35" s="59"/>
      <c r="F35" s="58" t="s">
        <v>284</v>
      </c>
      <c r="G35" s="58">
        <v>25</v>
      </c>
      <c r="H35" s="52">
        <v>16.239101346249353</v>
      </c>
      <c r="I35">
        <f>G35/H35</f>
        <v>1.5394940561642654</v>
      </c>
      <c r="AH35" s="58" t="s">
        <v>295</v>
      </c>
      <c r="AI35" s="58">
        <v>50</v>
      </c>
      <c r="AJ35" s="52">
        <v>31.735306166773505</v>
      </c>
      <c r="AK35">
        <f>AI35/AJ35</f>
        <v>1.5755323026424561</v>
      </c>
    </row>
    <row r="36" spans="1:64" x14ac:dyDescent="0.45">
      <c r="A36" s="58" t="s">
        <v>268</v>
      </c>
      <c r="B36" s="58">
        <v>76</v>
      </c>
      <c r="C36" s="59">
        <v>49.34685773274942</v>
      </c>
      <c r="D36" s="59"/>
    </row>
    <row r="37" spans="1:64" x14ac:dyDescent="0.45">
      <c r="A37" s="58" t="s">
        <v>269</v>
      </c>
      <c r="B37" s="58">
        <v>77</v>
      </c>
      <c r="C37" s="59">
        <v>50.374581642826271</v>
      </c>
      <c r="D37" s="59"/>
    </row>
    <row r="38" spans="1:64" x14ac:dyDescent="0.45">
      <c r="A38" s="58" t="s">
        <v>270</v>
      </c>
      <c r="B38" s="58">
        <v>80</v>
      </c>
      <c r="C38" s="59">
        <v>52.163848658533077</v>
      </c>
      <c r="D38" s="59"/>
    </row>
    <row r="39" spans="1:64" x14ac:dyDescent="0.45">
      <c r="A39" s="58" t="s">
        <v>271</v>
      </c>
      <c r="B39" s="58">
        <v>81</v>
      </c>
      <c r="C39" s="59">
        <v>53.366217366652137</v>
      </c>
      <c r="D39" s="59"/>
    </row>
    <row r="44" spans="1:64" x14ac:dyDescent="0.45">
      <c r="BI44" s="58"/>
      <c r="BJ44" s="58" t="s">
        <v>158</v>
      </c>
      <c r="BK44" s="58" t="s">
        <v>159</v>
      </c>
      <c r="BL44" t="s">
        <v>274</v>
      </c>
    </row>
    <row r="45" spans="1:64" x14ac:dyDescent="0.45">
      <c r="BI45" s="58" t="s">
        <v>309</v>
      </c>
      <c r="BJ45" s="58">
        <v>66</v>
      </c>
      <c r="BK45" s="52">
        <v>42.383805975580017</v>
      </c>
      <c r="BL45">
        <f>BJ45/BK45</f>
        <v>1.5571985214831052</v>
      </c>
    </row>
    <row r="47" spans="1:64" x14ac:dyDescent="0.45">
      <c r="BI47" s="58"/>
      <c r="BJ47" s="58" t="s">
        <v>158</v>
      </c>
      <c r="BK47" s="58" t="s">
        <v>159</v>
      </c>
      <c r="BL47" t="s">
        <v>274</v>
      </c>
    </row>
    <row r="48" spans="1:64" x14ac:dyDescent="0.45">
      <c r="BI48" s="58" t="s">
        <v>302</v>
      </c>
      <c r="BJ48" s="58">
        <v>69</v>
      </c>
      <c r="BK48" s="52">
        <v>43.978888453015436</v>
      </c>
      <c r="BL48">
        <f>BJ48/BK48</f>
        <v>1.568934605378117</v>
      </c>
    </row>
    <row r="50" spans="61:64" x14ac:dyDescent="0.45">
      <c r="BI50" s="58"/>
      <c r="BJ50" s="58" t="s">
        <v>158</v>
      </c>
      <c r="BK50" s="58" t="s">
        <v>159</v>
      </c>
      <c r="BL50" t="s">
        <v>274</v>
      </c>
    </row>
    <row r="51" spans="61:64" x14ac:dyDescent="0.45">
      <c r="BI51" s="58" t="s">
        <v>303</v>
      </c>
      <c r="BJ51" s="58">
        <v>72</v>
      </c>
      <c r="BK51" s="52">
        <v>45.615676501568188</v>
      </c>
      <c r="BL51">
        <f>BJ51/BK51</f>
        <v>1.5784047398162508</v>
      </c>
    </row>
    <row r="53" spans="61:64" x14ac:dyDescent="0.45">
      <c r="BI53" s="58"/>
      <c r="BJ53" s="58" t="s">
        <v>158</v>
      </c>
      <c r="BK53" s="58" t="s">
        <v>159</v>
      </c>
      <c r="BL53" t="s">
        <v>274</v>
      </c>
    </row>
    <row r="54" spans="61:64" x14ac:dyDescent="0.45">
      <c r="BI54" s="58" t="s">
        <v>304</v>
      </c>
      <c r="BJ54" s="58">
        <v>73</v>
      </c>
      <c r="BK54" s="52">
        <v>47.393657779549464</v>
      </c>
      <c r="BL54">
        <f>BJ54/BK54</f>
        <v>1.5402904823163863</v>
      </c>
    </row>
    <row r="56" spans="61:64" x14ac:dyDescent="0.45">
      <c r="BI56" s="58"/>
      <c r="BJ56" s="58" t="s">
        <v>158</v>
      </c>
      <c r="BK56" s="58" t="s">
        <v>159</v>
      </c>
      <c r="BL56" t="s">
        <v>274</v>
      </c>
    </row>
    <row r="57" spans="61:64" x14ac:dyDescent="0.45">
      <c r="BI57" s="58" t="s">
        <v>305</v>
      </c>
      <c r="BJ57" s="58">
        <v>76</v>
      </c>
      <c r="BK57" s="52">
        <v>49.34685773274942</v>
      </c>
      <c r="BL57">
        <f>BJ57/BK57</f>
        <v>1.5401183275254833</v>
      </c>
    </row>
    <row r="59" spans="61:64" x14ac:dyDescent="0.45">
      <c r="BI59" s="58"/>
      <c r="BJ59" s="58" t="s">
        <v>158</v>
      </c>
      <c r="BK59" s="58" t="s">
        <v>159</v>
      </c>
      <c r="BL59" t="s">
        <v>274</v>
      </c>
    </row>
    <row r="60" spans="61:64" x14ac:dyDescent="0.45">
      <c r="BI60" s="58" t="s">
        <v>306</v>
      </c>
      <c r="BJ60" s="58">
        <v>77</v>
      </c>
      <c r="BK60" s="52">
        <v>50.374581642826271</v>
      </c>
      <c r="BL60">
        <f>BJ60/BK60</f>
        <v>1.5285486745271142</v>
      </c>
    </row>
    <row r="84" spans="61:64" x14ac:dyDescent="0.45">
      <c r="BI84" s="58"/>
      <c r="BJ84" s="58" t="s">
        <v>158</v>
      </c>
      <c r="BK84" s="58" t="s">
        <v>159</v>
      </c>
      <c r="BL84" t="s">
        <v>274</v>
      </c>
    </row>
    <row r="85" spans="61:64" x14ac:dyDescent="0.45">
      <c r="BI85" s="58" t="s">
        <v>307</v>
      </c>
      <c r="BJ85" s="58">
        <v>80</v>
      </c>
      <c r="BK85" s="52">
        <v>52.163848658533077</v>
      </c>
      <c r="BL85">
        <f>BJ85/BK85</f>
        <v>1.5336291714916135</v>
      </c>
    </row>
    <row r="87" spans="61:64" x14ac:dyDescent="0.45">
      <c r="BI87" s="58"/>
      <c r="BJ87" s="58" t="s">
        <v>158</v>
      </c>
      <c r="BK87" s="58" t="s">
        <v>159</v>
      </c>
      <c r="BL87" t="s">
        <v>274</v>
      </c>
    </row>
    <row r="88" spans="61:64" x14ac:dyDescent="0.45">
      <c r="BI88" s="58" t="s">
        <v>308</v>
      </c>
      <c r="BJ88" s="58">
        <v>81</v>
      </c>
      <c r="BK88" s="52">
        <v>53.366217366652137</v>
      </c>
      <c r="BL88">
        <f>BJ88/BK88</f>
        <v>1.5178141527905229</v>
      </c>
    </row>
    <row r="105" spans="77:77" x14ac:dyDescent="0.45">
      <c r="BY105">
        <f>81/53.4</f>
        <v>1.5168539325842696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69944-18AA-4768-AA4B-48F1A703BF1D}">
  <dimension ref="A1:T39"/>
  <sheetViews>
    <sheetView topLeftCell="A4" workbookViewId="0">
      <selection activeCell="B2" sqref="B2:C39"/>
    </sheetView>
  </sheetViews>
  <sheetFormatPr defaultRowHeight="14.25" x14ac:dyDescent="0.45"/>
  <cols>
    <col min="2" max="2" width="14.73046875" bestFit="1" customWidth="1"/>
    <col min="3" max="3" width="14.59765625" bestFit="1" customWidth="1"/>
    <col min="4" max="4" width="15.19921875" bestFit="1" customWidth="1"/>
    <col min="5" max="5" width="13.33203125" bestFit="1" customWidth="1"/>
    <col min="10" max="10" width="9.9296875" bestFit="1" customWidth="1"/>
    <col min="11" max="11" width="11.59765625" customWidth="1"/>
    <col min="12" max="12" width="11.265625" customWidth="1"/>
    <col min="20" max="20" width="10.19921875" bestFit="1" customWidth="1"/>
  </cols>
  <sheetData>
    <row r="1" spans="1:20" x14ac:dyDescent="0.45">
      <c r="B1" t="s">
        <v>158</v>
      </c>
      <c r="C1" t="s">
        <v>159</v>
      </c>
      <c r="D1" t="s">
        <v>234</v>
      </c>
      <c r="E1" t="s">
        <v>272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132</v>
      </c>
      <c r="Q1" t="s">
        <v>133</v>
      </c>
      <c r="R1" t="s">
        <v>134</v>
      </c>
    </row>
    <row r="2" spans="1:20" x14ac:dyDescent="0.45">
      <c r="A2" s="58" t="s">
        <v>157</v>
      </c>
      <c r="B2">
        <f>D2</f>
        <v>3</v>
      </c>
      <c r="C2" s="74">
        <f>E2</f>
        <v>2.1833333333333331</v>
      </c>
      <c r="D2" cm="1">
        <f t="array" ref="D2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2" s="74">
        <f>IF(Table2[[#This Row],[HomeTeam]]="Ath Madrid",Table2[[#This Row],[ProbH]]*3+Table2[[#This Row],[ProbD]]*1,Table2[[#This Row],[ProbA]]*3+Table2[[#This Row],[ProbD]]*1)</f>
        <v>2.1833333333333331</v>
      </c>
      <c r="H2" t="s">
        <v>311</v>
      </c>
      <c r="I2" t="s">
        <v>312</v>
      </c>
      <c r="J2" s="76">
        <v>44101</v>
      </c>
      <c r="K2" t="s">
        <v>313</v>
      </c>
      <c r="L2" t="s">
        <v>71</v>
      </c>
      <c r="M2">
        <v>6</v>
      </c>
      <c r="N2">
        <v>1</v>
      </c>
      <c r="O2" t="s">
        <v>175</v>
      </c>
      <c r="P2">
        <v>0.64999999999999991</v>
      </c>
      <c r="Q2">
        <v>0.23333333333333331</v>
      </c>
      <c r="R2">
        <v>0.1166666666666667</v>
      </c>
      <c r="T2" s="75">
        <v>44107</v>
      </c>
    </row>
    <row r="3" spans="1:20" x14ac:dyDescent="0.45">
      <c r="A3" s="58" t="s">
        <v>235</v>
      </c>
      <c r="B3">
        <f>B2+D3</f>
        <v>4</v>
      </c>
      <c r="C3" s="74">
        <f>C2+E3</f>
        <v>4.4089490968801313</v>
      </c>
      <c r="D3" cm="1">
        <f t="array" ref="D3">IF(Table2[[#This Row],[HomeTeam]]="Ath Madrid",_xlfn.IFS(Table2[[#This Row],[FTR]]="H",3,Table2[[#This Row],[FTR]]="D",1,Table2[[#This Row],[FTR]]="A",0),_xlfn.IFS(Table2[[#This Row],[FTR]]="A",3,Table2[[#This Row],[FTR]]="D",1,Table2[[#This Row],[FTR]]="H",0))</f>
        <v>1</v>
      </c>
      <c r="E3" s="74">
        <f>IF(Table2[[#This Row],[HomeTeam]]="Ath Madrid",Table2[[#This Row],[ProbH]]*3+Table2[[#This Row],[ProbD]]*1,Table2[[#This Row],[ProbA]]*3+Table2[[#This Row],[ProbD]]*1)</f>
        <v>2.2256157635467981</v>
      </c>
      <c r="H3" t="s">
        <v>311</v>
      </c>
      <c r="I3" t="s">
        <v>312</v>
      </c>
      <c r="J3" s="76">
        <v>44104</v>
      </c>
      <c r="K3" t="s">
        <v>320</v>
      </c>
      <c r="L3" t="s">
        <v>313</v>
      </c>
      <c r="M3">
        <v>0</v>
      </c>
      <c r="N3">
        <v>0</v>
      </c>
      <c r="O3" t="s">
        <v>172</v>
      </c>
      <c r="P3">
        <v>0.1129720853858785</v>
      </c>
      <c r="Q3">
        <v>0.21773399014778319</v>
      </c>
      <c r="R3">
        <v>0.66929392446633829</v>
      </c>
      <c r="T3" s="75">
        <v>44235</v>
      </c>
    </row>
    <row r="4" spans="1:20" x14ac:dyDescent="0.45">
      <c r="A4" s="58" t="s">
        <v>236</v>
      </c>
      <c r="B4">
        <f t="shared" ref="B4:B39" si="0">B3+D4</f>
        <v>5</v>
      </c>
      <c r="C4" s="74">
        <f t="shared" ref="C4:C39" si="1">C3+E4</f>
        <v>6.4495847896897374</v>
      </c>
      <c r="D4" cm="1">
        <f t="array" ref="D4">IF(Table2[[#This Row],[HomeTeam]]="Ath Madrid",_xlfn.IFS(Table2[[#This Row],[FTR]]="H",3,Table2[[#This Row],[FTR]]="D",1,Table2[[#This Row],[FTR]]="A",0),_xlfn.IFS(Table2[[#This Row],[FTR]]="A",3,Table2[[#This Row],[FTR]]="D",1,Table2[[#This Row],[FTR]]="H",0))</f>
        <v>1</v>
      </c>
      <c r="E4" s="74">
        <f>IF(Table2[[#This Row],[HomeTeam]]="Ath Madrid",Table2[[#This Row],[ProbH]]*3+Table2[[#This Row],[ProbD]]*1,Table2[[#This Row],[ProbA]]*3+Table2[[#This Row],[ProbD]]*1)</f>
        <v>2.0406356928096057</v>
      </c>
      <c r="H4" t="s">
        <v>311</v>
      </c>
      <c r="I4" t="s">
        <v>312</v>
      </c>
      <c r="J4" s="76">
        <v>44107</v>
      </c>
      <c r="K4" t="s">
        <v>313</v>
      </c>
      <c r="L4" t="s">
        <v>314</v>
      </c>
      <c r="M4">
        <v>0</v>
      </c>
      <c r="N4">
        <v>0</v>
      </c>
      <c r="O4" t="s">
        <v>172</v>
      </c>
      <c r="P4">
        <v>0.60133586220542734</v>
      </c>
      <c r="Q4">
        <v>0.23662810619332361</v>
      </c>
      <c r="R4">
        <v>0.16203603160124899</v>
      </c>
      <c r="T4" s="75">
        <v>44328</v>
      </c>
    </row>
    <row r="5" spans="1:20" x14ac:dyDescent="0.45">
      <c r="A5" s="58" t="s">
        <v>237</v>
      </c>
      <c r="B5">
        <f t="shared" si="0"/>
        <v>8</v>
      </c>
      <c r="C5" s="74">
        <f t="shared" si="1"/>
        <v>8.3918647319696795</v>
      </c>
      <c r="D5" cm="1">
        <f t="array" ref="D5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5" s="74">
        <f>IF(Table2[[#This Row],[HomeTeam]]="Ath Madrid",Table2[[#This Row],[ProbH]]*3+Table2[[#This Row],[ProbD]]*1,Table2[[#This Row],[ProbA]]*3+Table2[[#This Row],[ProbD]]*1)</f>
        <v>1.9422799422799422</v>
      </c>
      <c r="H5" t="s">
        <v>311</v>
      </c>
      <c r="I5" t="s">
        <v>312</v>
      </c>
      <c r="J5" s="76">
        <v>44121</v>
      </c>
      <c r="K5" t="s">
        <v>315</v>
      </c>
      <c r="L5" t="s">
        <v>313</v>
      </c>
      <c r="M5">
        <v>0</v>
      </c>
      <c r="N5">
        <v>2</v>
      </c>
      <c r="O5" t="s">
        <v>180</v>
      </c>
      <c r="P5">
        <v>0.1630591630591631</v>
      </c>
      <c r="Q5">
        <v>0.28427128427128429</v>
      </c>
      <c r="R5">
        <v>0.55266955266955264</v>
      </c>
      <c r="T5" s="75">
        <v>44208</v>
      </c>
    </row>
    <row r="6" spans="1:20" x14ac:dyDescent="0.45">
      <c r="A6" s="58" t="s">
        <v>238</v>
      </c>
      <c r="B6">
        <f t="shared" si="0"/>
        <v>11</v>
      </c>
      <c r="C6" s="74">
        <f t="shared" si="1"/>
        <v>10.507619379133494</v>
      </c>
      <c r="D6" cm="1">
        <f t="array" ref="D6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6" s="74">
        <f>IF(Table2[[#This Row],[HomeTeam]]="Ath Madrid",Table2[[#This Row],[ProbH]]*3+Table2[[#This Row],[ProbD]]*1,Table2[[#This Row],[ProbA]]*3+Table2[[#This Row],[ProbD]]*1)</f>
        <v>2.1157546471638149</v>
      </c>
      <c r="H6" t="s">
        <v>311</v>
      </c>
      <c r="I6" t="s">
        <v>312</v>
      </c>
      <c r="J6" s="76">
        <v>44128</v>
      </c>
      <c r="K6" t="s">
        <v>313</v>
      </c>
      <c r="L6" t="s">
        <v>68</v>
      </c>
      <c r="M6">
        <v>2</v>
      </c>
      <c r="N6">
        <v>0</v>
      </c>
      <c r="O6" t="s">
        <v>175</v>
      </c>
      <c r="P6">
        <v>0.62443951068738834</v>
      </c>
      <c r="Q6">
        <v>0.24243611510164981</v>
      </c>
      <c r="R6">
        <v>0.1331243742109616</v>
      </c>
      <c r="T6" s="75">
        <v>44332</v>
      </c>
    </row>
    <row r="7" spans="1:20" x14ac:dyDescent="0.45">
      <c r="A7" s="58" t="s">
        <v>239</v>
      </c>
      <c r="B7">
        <f t="shared" si="0"/>
        <v>14</v>
      </c>
      <c r="C7" s="74">
        <f t="shared" si="1"/>
        <v>12.449899321413437</v>
      </c>
      <c r="D7" cm="1">
        <f t="array" ref="D7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7" s="74">
        <f>IF(Table2[[#This Row],[HomeTeam]]="Ath Madrid",Table2[[#This Row],[ProbH]]*3+Table2[[#This Row],[ProbD]]*1,Table2[[#This Row],[ProbA]]*3+Table2[[#This Row],[ProbD]]*1)</f>
        <v>1.9422799422799422</v>
      </c>
      <c r="H7" t="s">
        <v>311</v>
      </c>
      <c r="I7" t="s">
        <v>312</v>
      </c>
      <c r="J7" s="76">
        <v>44135</v>
      </c>
      <c r="K7" t="s">
        <v>318</v>
      </c>
      <c r="L7" t="s">
        <v>313</v>
      </c>
      <c r="M7">
        <v>1</v>
      </c>
      <c r="N7">
        <v>3</v>
      </c>
      <c r="O7" t="s">
        <v>180</v>
      </c>
      <c r="P7">
        <v>0.1630591630591631</v>
      </c>
      <c r="Q7">
        <v>0.28427128427128429</v>
      </c>
      <c r="R7">
        <v>0.55266955266955264</v>
      </c>
      <c r="T7" s="75">
        <v>44276</v>
      </c>
    </row>
    <row r="8" spans="1:20" x14ac:dyDescent="0.45">
      <c r="A8" s="58" t="s">
        <v>240</v>
      </c>
      <c r="B8">
        <f t="shared" si="0"/>
        <v>17</v>
      </c>
      <c r="C8" s="74">
        <f t="shared" si="1"/>
        <v>14.761010432524547</v>
      </c>
      <c r="D8" cm="1">
        <f t="array" ref="D8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8" s="74">
        <f>IF(Table2[[#This Row],[HomeTeam]]="Ath Madrid",Table2[[#This Row],[ProbH]]*3+Table2[[#This Row],[ProbD]]*1,Table2[[#This Row],[ProbA]]*3+Table2[[#This Row],[ProbD]]*1)</f>
        <v>2.3111111111111109</v>
      </c>
      <c r="H8" t="s">
        <v>311</v>
      </c>
      <c r="I8" t="s">
        <v>312</v>
      </c>
      <c r="J8" s="76">
        <v>44142</v>
      </c>
      <c r="K8" t="s">
        <v>313</v>
      </c>
      <c r="L8" t="s">
        <v>321</v>
      </c>
      <c r="M8">
        <v>4</v>
      </c>
      <c r="N8">
        <v>0</v>
      </c>
      <c r="O8" t="s">
        <v>175</v>
      </c>
      <c r="P8">
        <v>0.69682539682539679</v>
      </c>
      <c r="Q8">
        <v>0.2206349206349206</v>
      </c>
      <c r="R8">
        <v>8.2539682539682538E-2</v>
      </c>
      <c r="T8" s="75">
        <v>44308</v>
      </c>
    </row>
    <row r="9" spans="1:20" x14ac:dyDescent="0.45">
      <c r="A9" s="58" t="s">
        <v>241</v>
      </c>
      <c r="B9">
        <f t="shared" si="0"/>
        <v>20</v>
      </c>
      <c r="C9" s="74">
        <f t="shared" si="1"/>
        <v>16.011230409937891</v>
      </c>
      <c r="D9" cm="1">
        <f t="array" ref="D9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9" s="74">
        <f>IF(Table2[[#This Row],[HomeTeam]]="Ath Madrid",Table2[[#This Row],[ProbH]]*3+Table2[[#This Row],[ProbD]]*1,Table2[[#This Row],[ProbA]]*3+Table2[[#This Row],[ProbD]]*1)</f>
        <v>1.2502199774133431</v>
      </c>
      <c r="H9" t="s">
        <v>311</v>
      </c>
      <c r="I9" t="s">
        <v>312</v>
      </c>
      <c r="J9" s="76">
        <v>44156</v>
      </c>
      <c r="K9" t="s">
        <v>313</v>
      </c>
      <c r="L9" t="s">
        <v>147</v>
      </c>
      <c r="M9">
        <v>1</v>
      </c>
      <c r="N9">
        <v>0</v>
      </c>
      <c r="O9" t="s">
        <v>175</v>
      </c>
      <c r="P9">
        <v>0.32733331947648853</v>
      </c>
      <c r="Q9">
        <v>0.26822001898387759</v>
      </c>
      <c r="R9">
        <v>0.40444666153963399</v>
      </c>
      <c r="T9" s="75">
        <v>44262</v>
      </c>
    </row>
    <row r="10" spans="1:20" x14ac:dyDescent="0.45">
      <c r="A10" s="58" t="s">
        <v>242</v>
      </c>
      <c r="B10">
        <f t="shared" si="0"/>
        <v>23</v>
      </c>
      <c r="C10" s="74">
        <f t="shared" si="1"/>
        <v>17.94513493870166</v>
      </c>
      <c r="D10" cm="1">
        <f t="array" ref="D10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10" s="74">
        <f>IF(Table2[[#This Row],[HomeTeam]]="Ath Madrid",Table2[[#This Row],[ProbH]]*3+Table2[[#This Row],[ProbD]]*1,Table2[[#This Row],[ProbA]]*3+Table2[[#This Row],[ProbD]]*1)</f>
        <v>1.9339045287637699</v>
      </c>
      <c r="H10" t="s">
        <v>311</v>
      </c>
      <c r="I10" t="s">
        <v>312</v>
      </c>
      <c r="J10" s="76">
        <v>44163</v>
      </c>
      <c r="K10" t="s">
        <v>323</v>
      </c>
      <c r="L10" t="s">
        <v>313</v>
      </c>
      <c r="M10">
        <v>0</v>
      </c>
      <c r="N10">
        <v>1</v>
      </c>
      <c r="O10" t="s">
        <v>180</v>
      </c>
      <c r="P10">
        <v>0.19216646266829859</v>
      </c>
      <c r="Q10">
        <v>0.24479804161566701</v>
      </c>
      <c r="R10">
        <v>0.56303549571603428</v>
      </c>
      <c r="T10" s="75">
        <v>44142</v>
      </c>
    </row>
    <row r="11" spans="1:20" x14ac:dyDescent="0.45">
      <c r="A11" s="58" t="s">
        <v>243</v>
      </c>
      <c r="B11">
        <f t="shared" si="0"/>
        <v>26</v>
      </c>
      <c r="C11" s="74">
        <f t="shared" si="1"/>
        <v>20.251611291245837</v>
      </c>
      <c r="D11" cm="1">
        <f t="array" ref="D11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11" s="74">
        <f>IF(Table2[[#This Row],[HomeTeam]]="Ath Madrid",Table2[[#This Row],[ProbH]]*3+Table2[[#This Row],[ProbD]]*1,Table2[[#This Row],[ProbA]]*3+Table2[[#This Row],[ProbD]]*1)</f>
        <v>2.3064763525441783</v>
      </c>
      <c r="H11" t="s">
        <v>311</v>
      </c>
      <c r="I11" t="s">
        <v>312</v>
      </c>
      <c r="J11" s="76">
        <v>44170</v>
      </c>
      <c r="K11" t="s">
        <v>313</v>
      </c>
      <c r="L11" t="s">
        <v>322</v>
      </c>
      <c r="M11">
        <v>2</v>
      </c>
      <c r="N11">
        <v>0</v>
      </c>
      <c r="O11" t="s">
        <v>175</v>
      </c>
      <c r="P11">
        <v>0.69745379615320058</v>
      </c>
      <c r="Q11">
        <v>0.21411496408457639</v>
      </c>
      <c r="R11">
        <v>8.8431239762223154E-2</v>
      </c>
      <c r="T11" s="75">
        <v>44170</v>
      </c>
    </row>
    <row r="12" spans="1:20" x14ac:dyDescent="0.45">
      <c r="A12" s="58" t="s">
        <v>244</v>
      </c>
      <c r="B12">
        <f t="shared" si="0"/>
        <v>26</v>
      </c>
      <c r="C12" s="74">
        <f t="shared" si="1"/>
        <v>21.441858787243682</v>
      </c>
      <c r="D12" cm="1">
        <f t="array" ref="D12">IF(Table2[[#This Row],[HomeTeam]]="Ath Madrid",_xlfn.IFS(Table2[[#This Row],[FTR]]="H",3,Table2[[#This Row],[FTR]]="D",1,Table2[[#This Row],[FTR]]="A",0),_xlfn.IFS(Table2[[#This Row],[FTR]]="A",3,Table2[[#This Row],[FTR]]="D",1,Table2[[#This Row],[FTR]]="H",0))</f>
        <v>0</v>
      </c>
      <c r="E12" s="74">
        <f>IF(Table2[[#This Row],[HomeTeam]]="Ath Madrid",Table2[[#This Row],[ProbH]]*3+Table2[[#This Row],[ProbD]]*1,Table2[[#This Row],[ProbA]]*3+Table2[[#This Row],[ProbD]]*1)</f>
        <v>1.1902474959978466</v>
      </c>
      <c r="H12" t="s">
        <v>311</v>
      </c>
      <c r="I12" t="s">
        <v>312</v>
      </c>
      <c r="J12" s="76">
        <v>44177</v>
      </c>
      <c r="K12" t="s">
        <v>74</v>
      </c>
      <c r="L12" t="s">
        <v>313</v>
      </c>
      <c r="M12">
        <v>2</v>
      </c>
      <c r="N12">
        <v>0</v>
      </c>
      <c r="O12" t="s">
        <v>175</v>
      </c>
      <c r="P12">
        <v>0.41465142306657038</v>
      </c>
      <c r="Q12">
        <v>0.2828991174012212</v>
      </c>
      <c r="R12">
        <v>0.30244945953220848</v>
      </c>
      <c r="T12" s="75">
        <v>44220</v>
      </c>
    </row>
    <row r="13" spans="1:20" x14ac:dyDescent="0.45">
      <c r="A13" s="58" t="s">
        <v>245</v>
      </c>
      <c r="B13">
        <f t="shared" si="0"/>
        <v>29</v>
      </c>
      <c r="C13" s="74">
        <f t="shared" si="1"/>
        <v>24.038350015313856</v>
      </c>
      <c r="D13" cm="1">
        <f t="array" ref="D13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13" s="74">
        <f>IF(Table2[[#This Row],[HomeTeam]]="Ath Madrid",Table2[[#This Row],[ProbH]]*3+Table2[[#This Row],[ProbD]]*1,Table2[[#This Row],[ProbA]]*3+Table2[[#This Row],[ProbD]]*1)</f>
        <v>2.596491228070176</v>
      </c>
      <c r="H13" t="s">
        <v>311</v>
      </c>
      <c r="I13" t="s">
        <v>312</v>
      </c>
      <c r="J13" s="76">
        <v>44184</v>
      </c>
      <c r="K13" t="s">
        <v>313</v>
      </c>
      <c r="L13" t="s">
        <v>326</v>
      </c>
      <c r="M13">
        <v>3</v>
      </c>
      <c r="N13">
        <v>1</v>
      </c>
      <c r="O13" t="s">
        <v>175</v>
      </c>
      <c r="P13">
        <v>0.81578947368421062</v>
      </c>
      <c r="Q13">
        <v>0.14912280701754391</v>
      </c>
      <c r="R13">
        <v>3.5087719298245633E-2</v>
      </c>
      <c r="T13" s="75">
        <v>44304</v>
      </c>
    </row>
    <row r="14" spans="1:20" x14ac:dyDescent="0.45">
      <c r="A14" s="58" t="s">
        <v>246</v>
      </c>
      <c r="B14">
        <f t="shared" si="0"/>
        <v>32</v>
      </c>
      <c r="C14" s="74">
        <f t="shared" si="1"/>
        <v>25.60421701868086</v>
      </c>
      <c r="D14" cm="1">
        <f t="array" ref="D14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14" s="74">
        <f>IF(Table2[[#This Row],[HomeTeam]]="Ath Madrid",Table2[[#This Row],[ProbH]]*3+Table2[[#This Row],[ProbD]]*1,Table2[[#This Row],[ProbA]]*3+Table2[[#This Row],[ProbD]]*1)</f>
        <v>1.5658670033670037</v>
      </c>
      <c r="H14" t="s">
        <v>311</v>
      </c>
      <c r="I14" t="s">
        <v>312</v>
      </c>
      <c r="J14" s="76">
        <v>44187</v>
      </c>
      <c r="K14" t="s">
        <v>316</v>
      </c>
      <c r="L14" t="s">
        <v>313</v>
      </c>
      <c r="M14">
        <v>0</v>
      </c>
      <c r="N14">
        <v>2</v>
      </c>
      <c r="O14" t="s">
        <v>180</v>
      </c>
      <c r="P14">
        <v>0.28303872053872059</v>
      </c>
      <c r="Q14">
        <v>0.29250841750841761</v>
      </c>
      <c r="R14">
        <v>0.42445286195286203</v>
      </c>
      <c r="T14" s="75">
        <v>44128</v>
      </c>
    </row>
    <row r="15" spans="1:20" x14ac:dyDescent="0.45">
      <c r="A15" s="58" t="s">
        <v>247</v>
      </c>
      <c r="B15">
        <f t="shared" si="0"/>
        <v>35</v>
      </c>
      <c r="C15" s="74">
        <f t="shared" si="1"/>
        <v>27.858729934958482</v>
      </c>
      <c r="D15" cm="1">
        <f t="array" ref="D15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15" s="74">
        <f>IF(Table2[[#This Row],[HomeTeam]]="Ath Madrid",Table2[[#This Row],[ProbH]]*3+Table2[[#This Row],[ProbD]]*1,Table2[[#This Row],[ProbA]]*3+Table2[[#This Row],[ProbD]]*1)</f>
        <v>2.2545129162776218</v>
      </c>
      <c r="H15" t="s">
        <v>311</v>
      </c>
      <c r="I15" t="s">
        <v>312</v>
      </c>
      <c r="J15" s="76">
        <v>44195</v>
      </c>
      <c r="K15" t="s">
        <v>313</v>
      </c>
      <c r="L15" t="s">
        <v>69</v>
      </c>
      <c r="M15">
        <v>1</v>
      </c>
      <c r="N15">
        <v>0</v>
      </c>
      <c r="O15" t="s">
        <v>175</v>
      </c>
      <c r="P15">
        <v>0.67771553065670709</v>
      </c>
      <c r="Q15">
        <v>0.22136632430750081</v>
      </c>
      <c r="R15">
        <v>0.10091814503579211</v>
      </c>
      <c r="T15" s="75">
        <v>44156</v>
      </c>
    </row>
    <row r="16" spans="1:20" x14ac:dyDescent="0.45">
      <c r="A16" s="58" t="s">
        <v>248</v>
      </c>
      <c r="B16">
        <f t="shared" si="0"/>
        <v>38</v>
      </c>
      <c r="C16" s="74">
        <f t="shared" si="1"/>
        <v>30.002022807663121</v>
      </c>
      <c r="D16" cm="1">
        <f t="array" ref="D16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16" s="74">
        <f>IF(Table2[[#This Row],[HomeTeam]]="Ath Madrid",Table2[[#This Row],[ProbH]]*3+Table2[[#This Row],[ProbD]]*1,Table2[[#This Row],[ProbA]]*3+Table2[[#This Row],[ProbD]]*1)</f>
        <v>2.1432928727046376</v>
      </c>
      <c r="H16" t="s">
        <v>311</v>
      </c>
      <c r="I16" t="s">
        <v>312</v>
      </c>
      <c r="J16" s="76">
        <v>44199</v>
      </c>
      <c r="K16" t="s">
        <v>319</v>
      </c>
      <c r="L16" t="s">
        <v>313</v>
      </c>
      <c r="M16">
        <v>1</v>
      </c>
      <c r="N16">
        <v>2</v>
      </c>
      <c r="O16" t="s">
        <v>180</v>
      </c>
      <c r="P16">
        <v>0.121817615935263</v>
      </c>
      <c r="Q16">
        <v>0.24562713974478681</v>
      </c>
      <c r="R16">
        <v>0.63255524431995025</v>
      </c>
      <c r="T16" s="75">
        <v>44195</v>
      </c>
    </row>
    <row r="17" spans="1:20" x14ac:dyDescent="0.45">
      <c r="A17" s="58" t="s">
        <v>249</v>
      </c>
      <c r="B17">
        <f t="shared" si="0"/>
        <v>41</v>
      </c>
      <c r="C17" s="74">
        <f t="shared" si="1"/>
        <v>31.812086160489631</v>
      </c>
      <c r="D17" cm="1">
        <f t="array" ref="D17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17" s="74">
        <f>IF(Table2[[#This Row],[HomeTeam]]="Ath Madrid",Table2[[#This Row],[ProbH]]*3+Table2[[#This Row],[ProbD]]*1,Table2[[#This Row],[ProbA]]*3+Table2[[#This Row],[ProbD]]*1)</f>
        <v>1.8100633528265107</v>
      </c>
      <c r="H17" t="s">
        <v>311</v>
      </c>
      <c r="I17" t="s">
        <v>312</v>
      </c>
      <c r="J17" s="76">
        <v>44208</v>
      </c>
      <c r="K17" t="s">
        <v>313</v>
      </c>
      <c r="L17" t="s">
        <v>317</v>
      </c>
      <c r="M17">
        <v>2</v>
      </c>
      <c r="N17">
        <v>0</v>
      </c>
      <c r="O17" t="s">
        <v>175</v>
      </c>
      <c r="P17">
        <v>0.50596978557504868</v>
      </c>
      <c r="Q17">
        <v>0.29215399610136461</v>
      </c>
      <c r="R17">
        <v>0.20187621832358671</v>
      </c>
      <c r="T17" s="75">
        <v>44101</v>
      </c>
    </row>
    <row r="18" spans="1:20" x14ac:dyDescent="0.45">
      <c r="A18" s="58" t="s">
        <v>250</v>
      </c>
      <c r="B18">
        <f t="shared" si="0"/>
        <v>44</v>
      </c>
      <c r="C18" s="74">
        <f t="shared" si="1"/>
        <v>33.846268137265511</v>
      </c>
      <c r="D18" cm="1">
        <f t="array" ref="D18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18" s="74">
        <f>IF(Table2[[#This Row],[HomeTeam]]="Ath Madrid",Table2[[#This Row],[ProbH]]*3+Table2[[#This Row],[ProbD]]*1,Table2[[#This Row],[ProbA]]*3+Table2[[#This Row],[ProbD]]*1)</f>
        <v>2.0341819767758818</v>
      </c>
      <c r="H18" t="s">
        <v>311</v>
      </c>
      <c r="I18" t="s">
        <v>312</v>
      </c>
      <c r="J18" s="76">
        <v>44217</v>
      </c>
      <c r="K18" t="s">
        <v>324</v>
      </c>
      <c r="L18" t="s">
        <v>313</v>
      </c>
      <c r="M18">
        <v>1</v>
      </c>
      <c r="N18">
        <v>2</v>
      </c>
      <c r="O18" t="s">
        <v>180</v>
      </c>
      <c r="P18">
        <v>0.1370550073597557</v>
      </c>
      <c r="Q18">
        <v>0.27732650057242542</v>
      </c>
      <c r="R18">
        <v>0.5856184920678188</v>
      </c>
      <c r="T18" s="75">
        <v>44247</v>
      </c>
    </row>
    <row r="19" spans="1:20" x14ac:dyDescent="0.45">
      <c r="A19" s="58" t="s">
        <v>251</v>
      </c>
      <c r="B19">
        <f t="shared" si="0"/>
        <v>47</v>
      </c>
      <c r="C19" s="74">
        <f t="shared" si="1"/>
        <v>36.133235555811879</v>
      </c>
      <c r="D19" cm="1">
        <f t="array" ref="D19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19" s="74">
        <f>IF(Table2[[#This Row],[HomeTeam]]="Ath Madrid",Table2[[#This Row],[ProbH]]*3+Table2[[#This Row],[ProbD]]*1,Table2[[#This Row],[ProbA]]*3+Table2[[#This Row],[ProbD]]*1)</f>
        <v>2.2869674185463662</v>
      </c>
      <c r="H19" t="s">
        <v>311</v>
      </c>
      <c r="I19" t="s">
        <v>312</v>
      </c>
      <c r="J19" s="76">
        <v>44220</v>
      </c>
      <c r="K19" t="s">
        <v>313</v>
      </c>
      <c r="L19" t="s">
        <v>323</v>
      </c>
      <c r="M19">
        <v>3</v>
      </c>
      <c r="N19">
        <v>1</v>
      </c>
      <c r="O19" t="s">
        <v>175</v>
      </c>
      <c r="P19">
        <v>0.69768170426065168</v>
      </c>
      <c r="Q19">
        <v>0.19392230576441111</v>
      </c>
      <c r="R19">
        <v>0.10839598997493741</v>
      </c>
      <c r="T19" s="75">
        <v>44184</v>
      </c>
    </row>
    <row r="20" spans="1:20" x14ac:dyDescent="0.45">
      <c r="A20" s="58" t="s">
        <v>252</v>
      </c>
      <c r="B20">
        <f t="shared" si="0"/>
        <v>50</v>
      </c>
      <c r="C20" s="74">
        <f t="shared" si="1"/>
        <v>38.392494815071139</v>
      </c>
      <c r="D20" cm="1">
        <f t="array" ref="D20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20" s="74">
        <f>IF(Table2[[#This Row],[HomeTeam]]="Ath Madrid",Table2[[#This Row],[ProbH]]*3+Table2[[#This Row],[ProbD]]*1,Table2[[#This Row],[ProbA]]*3+Table2[[#This Row],[ProbD]]*1)</f>
        <v>2.2592592592592591</v>
      </c>
      <c r="H20" t="s">
        <v>311</v>
      </c>
      <c r="I20" t="s">
        <v>312</v>
      </c>
      <c r="J20" s="76">
        <v>44227</v>
      </c>
      <c r="K20" t="s">
        <v>321</v>
      </c>
      <c r="L20" t="s">
        <v>313</v>
      </c>
      <c r="M20">
        <v>2</v>
      </c>
      <c r="N20">
        <v>4</v>
      </c>
      <c r="O20" t="s">
        <v>180</v>
      </c>
      <c r="P20">
        <v>9.2592592592592574E-2</v>
      </c>
      <c r="Q20">
        <v>0.23148148148148151</v>
      </c>
      <c r="R20">
        <v>0.67592592592592593</v>
      </c>
      <c r="T20" s="75">
        <v>44265</v>
      </c>
    </row>
    <row r="21" spans="1:20" x14ac:dyDescent="0.45">
      <c r="A21" s="58" t="s">
        <v>253</v>
      </c>
      <c r="B21">
        <f t="shared" si="0"/>
        <v>51</v>
      </c>
      <c r="C21" s="74">
        <f t="shared" si="1"/>
        <v>40.469774017350339</v>
      </c>
      <c r="D21" cm="1">
        <f t="array" ref="D21">IF(Table2[[#This Row],[HomeTeam]]="Ath Madrid",_xlfn.IFS(Table2[[#This Row],[FTR]]="H",3,Table2[[#This Row],[FTR]]="D",1,Table2[[#This Row],[FTR]]="A",0),_xlfn.IFS(Table2[[#This Row],[FTR]]="A",3,Table2[[#This Row],[FTR]]="D",1,Table2[[#This Row],[FTR]]="H",0))</f>
        <v>1</v>
      </c>
      <c r="E21" s="74">
        <f>IF(Table2[[#This Row],[HomeTeam]]="Ath Madrid",Table2[[#This Row],[ProbH]]*3+Table2[[#This Row],[ProbD]]*1,Table2[[#This Row],[ProbA]]*3+Table2[[#This Row],[ProbD]]*1)</f>
        <v>2.0772792022792022</v>
      </c>
      <c r="H21" t="s">
        <v>311</v>
      </c>
      <c r="I21" t="s">
        <v>312</v>
      </c>
      <c r="J21" s="76">
        <v>44235</v>
      </c>
      <c r="K21" t="s">
        <v>313</v>
      </c>
      <c r="L21" t="s">
        <v>315</v>
      </c>
      <c r="M21">
        <v>2</v>
      </c>
      <c r="N21">
        <v>2</v>
      </c>
      <c r="O21" t="s">
        <v>172</v>
      </c>
      <c r="P21">
        <v>0.60612535612535612</v>
      </c>
      <c r="Q21">
        <v>0.25890313390313391</v>
      </c>
      <c r="R21">
        <v>0.13497150997151</v>
      </c>
      <c r="T21" s="75">
        <v>44187</v>
      </c>
    </row>
    <row r="22" spans="1:20" x14ac:dyDescent="0.45">
      <c r="A22" s="58" t="s">
        <v>254</v>
      </c>
      <c r="B22">
        <f t="shared" si="0"/>
        <v>54</v>
      </c>
      <c r="C22" s="74">
        <f t="shared" si="1"/>
        <v>42.361356508932829</v>
      </c>
      <c r="D22" cm="1">
        <f t="array" ref="D22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22" s="74">
        <f>IF(Table2[[#This Row],[HomeTeam]]="Ath Madrid",Table2[[#This Row],[ProbH]]*3+Table2[[#This Row],[ProbD]]*1,Table2[[#This Row],[ProbA]]*3+Table2[[#This Row],[ProbD]]*1)</f>
        <v>1.8915824915824913</v>
      </c>
      <c r="H22" t="s">
        <v>311</v>
      </c>
      <c r="I22" t="s">
        <v>312</v>
      </c>
      <c r="J22" s="76">
        <v>44240</v>
      </c>
      <c r="K22" t="s">
        <v>71</v>
      </c>
      <c r="L22" t="s">
        <v>313</v>
      </c>
      <c r="M22">
        <v>1</v>
      </c>
      <c r="N22">
        <v>2</v>
      </c>
      <c r="O22" t="s">
        <v>180</v>
      </c>
      <c r="P22">
        <v>0.18047138047138039</v>
      </c>
      <c r="Q22">
        <v>0.28350168350168348</v>
      </c>
      <c r="R22">
        <v>0.53602693602693596</v>
      </c>
      <c r="T22" s="75">
        <v>44297</v>
      </c>
    </row>
    <row r="23" spans="1:20" x14ac:dyDescent="0.45">
      <c r="A23" s="58" t="s">
        <v>255</v>
      </c>
      <c r="B23">
        <f t="shared" si="0"/>
        <v>55</v>
      </c>
      <c r="C23" s="74">
        <f t="shared" si="1"/>
        <v>44.241874798119852</v>
      </c>
      <c r="D23" cm="1">
        <f t="array" ref="D23">IF(Table2[[#This Row],[HomeTeam]]="Ath Madrid",_xlfn.IFS(Table2[[#This Row],[FTR]]="H",3,Table2[[#This Row],[FTR]]="D",1,Table2[[#This Row],[FTR]]="A",0),_xlfn.IFS(Table2[[#This Row],[FTR]]="A",3,Table2[[#This Row],[FTR]]="D",1,Table2[[#This Row],[FTR]]="H",0))</f>
        <v>1</v>
      </c>
      <c r="E23" s="74">
        <f>IF(Table2[[#This Row],[HomeTeam]]="Ath Madrid",Table2[[#This Row],[ProbH]]*3+Table2[[#This Row],[ProbD]]*1,Table2[[#This Row],[ProbA]]*3+Table2[[#This Row],[ProbD]]*1)</f>
        <v>1.8805182891870198</v>
      </c>
      <c r="H23" t="s">
        <v>311</v>
      </c>
      <c r="I23" t="s">
        <v>312</v>
      </c>
      <c r="J23" s="76">
        <v>44244</v>
      </c>
      <c r="K23" t="s">
        <v>325</v>
      </c>
      <c r="L23" t="s">
        <v>313</v>
      </c>
      <c r="M23">
        <v>1</v>
      </c>
      <c r="N23">
        <v>1</v>
      </c>
      <c r="O23" t="s">
        <v>172</v>
      </c>
      <c r="P23">
        <v>0.19045980965485609</v>
      </c>
      <c r="Q23">
        <v>0.2740511409242059</v>
      </c>
      <c r="R23">
        <v>0.535489049420938</v>
      </c>
      <c r="T23" s="75">
        <v>44227</v>
      </c>
    </row>
    <row r="24" spans="1:20" x14ac:dyDescent="0.45">
      <c r="A24" s="58" t="s">
        <v>256</v>
      </c>
      <c r="B24">
        <f t="shared" si="0"/>
        <v>55</v>
      </c>
      <c r="C24" s="74">
        <f t="shared" si="1"/>
        <v>46.390723226380047</v>
      </c>
      <c r="D24" cm="1">
        <f t="array" ref="D24">IF(Table2[[#This Row],[HomeTeam]]="Ath Madrid",_xlfn.IFS(Table2[[#This Row],[FTR]]="H",3,Table2[[#This Row],[FTR]]="D",1,Table2[[#This Row],[FTR]]="A",0),_xlfn.IFS(Table2[[#This Row],[FTR]]="A",3,Table2[[#This Row],[FTR]]="D",1,Table2[[#This Row],[FTR]]="H",0))</f>
        <v>0</v>
      </c>
      <c r="E24" s="74">
        <f>IF(Table2[[#This Row],[HomeTeam]]="Ath Madrid",Table2[[#This Row],[ProbH]]*3+Table2[[#This Row],[ProbD]]*1,Table2[[#This Row],[ProbA]]*3+Table2[[#This Row],[ProbD]]*1)</f>
        <v>2.1488484282601932</v>
      </c>
      <c r="H24" t="s">
        <v>311</v>
      </c>
      <c r="I24" t="s">
        <v>312</v>
      </c>
      <c r="J24" s="76">
        <v>44247</v>
      </c>
      <c r="K24" t="s">
        <v>313</v>
      </c>
      <c r="L24" t="s">
        <v>325</v>
      </c>
      <c r="M24">
        <v>0</v>
      </c>
      <c r="N24">
        <v>2</v>
      </c>
      <c r="O24" t="s">
        <v>180</v>
      </c>
      <c r="P24">
        <v>0.63811079987550579</v>
      </c>
      <c r="Q24">
        <v>0.23451602863367571</v>
      </c>
      <c r="R24">
        <v>0.1273731714908185</v>
      </c>
      <c r="T24" s="75">
        <v>44317</v>
      </c>
    </row>
    <row r="25" spans="1:20" x14ac:dyDescent="0.45">
      <c r="A25" s="58" t="s">
        <v>257</v>
      </c>
      <c r="B25">
        <f t="shared" si="0"/>
        <v>58</v>
      </c>
      <c r="C25" s="74">
        <f t="shared" si="1"/>
        <v>47.880135120169818</v>
      </c>
      <c r="D25" cm="1">
        <f t="array" ref="D25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25" s="74">
        <f>IF(Table2[[#This Row],[HomeTeam]]="Ath Madrid",Table2[[#This Row],[ProbH]]*3+Table2[[#This Row],[ProbD]]*1,Table2[[#This Row],[ProbA]]*3+Table2[[#This Row],[ProbD]]*1)</f>
        <v>1.4894118937897738</v>
      </c>
      <c r="H25" t="s">
        <v>311</v>
      </c>
      <c r="I25" t="s">
        <v>312</v>
      </c>
      <c r="J25" s="76">
        <v>44255</v>
      </c>
      <c r="K25" t="s">
        <v>314</v>
      </c>
      <c r="L25" t="s">
        <v>313</v>
      </c>
      <c r="M25">
        <v>0</v>
      </c>
      <c r="N25">
        <v>2</v>
      </c>
      <c r="O25" t="s">
        <v>180</v>
      </c>
      <c r="P25">
        <v>0.29808536317752909</v>
      </c>
      <c r="Q25">
        <v>0.30816600833881941</v>
      </c>
      <c r="R25">
        <v>0.3937486284836515</v>
      </c>
      <c r="T25" s="75">
        <v>44338</v>
      </c>
    </row>
    <row r="26" spans="1:20" x14ac:dyDescent="0.45">
      <c r="A26" s="58" t="s">
        <v>258</v>
      </c>
      <c r="B26">
        <f t="shared" si="0"/>
        <v>59</v>
      </c>
      <c r="C26" s="74">
        <f t="shared" si="1"/>
        <v>49.288308645990405</v>
      </c>
      <c r="D26" cm="1">
        <f t="array" ref="D26">IF(Table2[[#This Row],[HomeTeam]]="Ath Madrid",_xlfn.IFS(Table2[[#This Row],[FTR]]="H",3,Table2[[#This Row],[FTR]]="D",1,Table2[[#This Row],[FTR]]="A",0),_xlfn.IFS(Table2[[#This Row],[FTR]]="A",3,Table2[[#This Row],[FTR]]="D",1,Table2[[#This Row],[FTR]]="H",0))</f>
        <v>1</v>
      </c>
      <c r="E26" s="74">
        <f>IF(Table2[[#This Row],[HomeTeam]]="Ath Madrid",Table2[[#This Row],[ProbH]]*3+Table2[[#This Row],[ProbD]]*1,Table2[[#This Row],[ProbA]]*3+Table2[[#This Row],[ProbD]]*1)</f>
        <v>1.408173525820585</v>
      </c>
      <c r="H26" t="s">
        <v>311</v>
      </c>
      <c r="I26" t="s">
        <v>312</v>
      </c>
      <c r="J26" s="76">
        <v>44262</v>
      </c>
      <c r="K26" t="s">
        <v>313</v>
      </c>
      <c r="L26" t="s">
        <v>74</v>
      </c>
      <c r="M26">
        <v>1</v>
      </c>
      <c r="N26">
        <v>1</v>
      </c>
      <c r="O26" t="s">
        <v>172</v>
      </c>
      <c r="P26">
        <v>0.37315952021834381</v>
      </c>
      <c r="Q26">
        <v>0.28869496516555337</v>
      </c>
      <c r="R26">
        <v>0.33814551461610293</v>
      </c>
      <c r="T26" s="75">
        <v>44255</v>
      </c>
    </row>
    <row r="27" spans="1:20" x14ac:dyDescent="0.45">
      <c r="A27" s="58" t="s">
        <v>259</v>
      </c>
      <c r="B27">
        <f t="shared" si="0"/>
        <v>62</v>
      </c>
      <c r="C27" s="74">
        <f t="shared" si="1"/>
        <v>51.192589550271308</v>
      </c>
      <c r="D27" cm="1">
        <f t="array" ref="D27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27" s="74">
        <f>IF(Table2[[#This Row],[HomeTeam]]="Ath Madrid",Table2[[#This Row],[ProbH]]*3+Table2[[#This Row],[ProbD]]*1,Table2[[#This Row],[ProbA]]*3+Table2[[#This Row],[ProbD]]*1)</f>
        <v>1.9042809042809044</v>
      </c>
      <c r="H27" t="s">
        <v>311</v>
      </c>
      <c r="I27" t="s">
        <v>312</v>
      </c>
      <c r="J27" s="76">
        <v>44265</v>
      </c>
      <c r="K27" t="s">
        <v>313</v>
      </c>
      <c r="L27" t="s">
        <v>327</v>
      </c>
      <c r="M27">
        <v>2</v>
      </c>
      <c r="N27">
        <v>1</v>
      </c>
      <c r="O27" t="s">
        <v>175</v>
      </c>
      <c r="P27">
        <v>0.53920153920153924</v>
      </c>
      <c r="Q27">
        <v>0.2866762866762867</v>
      </c>
      <c r="R27">
        <v>0.17412217412217409</v>
      </c>
      <c r="T27" s="75">
        <v>44163</v>
      </c>
    </row>
    <row r="28" spans="1:20" x14ac:dyDescent="0.45">
      <c r="A28" s="58" t="s">
        <v>260</v>
      </c>
      <c r="B28">
        <f t="shared" si="0"/>
        <v>63</v>
      </c>
      <c r="C28" s="74">
        <f t="shared" si="1"/>
        <v>53.01488722995439</v>
      </c>
      <c r="D28" cm="1">
        <f t="array" ref="D28">IF(Table2[[#This Row],[HomeTeam]]="Ath Madrid",_xlfn.IFS(Table2[[#This Row],[FTR]]="H",3,Table2[[#This Row],[FTR]]="D",1,Table2[[#This Row],[FTR]]="A",0),_xlfn.IFS(Table2[[#This Row],[FTR]]="A",3,Table2[[#This Row],[FTR]]="D",1,Table2[[#This Row],[FTR]]="H",0))</f>
        <v>1</v>
      </c>
      <c r="E28" s="74">
        <f>IF(Table2[[#This Row],[HomeTeam]]="Ath Madrid",Table2[[#This Row],[ProbH]]*3+Table2[[#This Row],[ProbD]]*1,Table2[[#This Row],[ProbA]]*3+Table2[[#This Row],[ProbD]]*1)</f>
        <v>1.8222976796830788</v>
      </c>
      <c r="H28" t="s">
        <v>311</v>
      </c>
      <c r="I28" t="s">
        <v>312</v>
      </c>
      <c r="J28" s="76">
        <v>44268</v>
      </c>
      <c r="K28" t="s">
        <v>69</v>
      </c>
      <c r="L28" t="s">
        <v>313</v>
      </c>
      <c r="M28">
        <v>0</v>
      </c>
      <c r="N28">
        <v>0</v>
      </c>
      <c r="O28" t="s">
        <v>172</v>
      </c>
      <c r="P28">
        <v>0.19071873231465769</v>
      </c>
      <c r="Q28">
        <v>0.30277306168647428</v>
      </c>
      <c r="R28">
        <v>0.50650820599886814</v>
      </c>
      <c r="T28" s="75">
        <v>44240</v>
      </c>
    </row>
    <row r="29" spans="1:20" x14ac:dyDescent="0.45">
      <c r="A29" s="58" t="s">
        <v>261</v>
      </c>
      <c r="B29">
        <f t="shared" si="0"/>
        <v>66</v>
      </c>
      <c r="C29" s="74">
        <f t="shared" si="1"/>
        <v>55.366303351958749</v>
      </c>
      <c r="D29" cm="1">
        <f t="array" ref="D29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29" s="74">
        <f>IF(Table2[[#This Row],[HomeTeam]]="Ath Madrid",Table2[[#This Row],[ProbH]]*3+Table2[[#This Row],[ProbD]]*1,Table2[[#This Row],[ProbA]]*3+Table2[[#This Row],[ProbD]]*1)</f>
        <v>2.3514161220043572</v>
      </c>
      <c r="H29" t="s">
        <v>311</v>
      </c>
      <c r="I29" t="s">
        <v>312</v>
      </c>
      <c r="J29" s="76">
        <v>44276</v>
      </c>
      <c r="K29" t="s">
        <v>313</v>
      </c>
      <c r="L29" t="s">
        <v>319</v>
      </c>
      <c r="M29">
        <v>1</v>
      </c>
      <c r="N29">
        <v>0</v>
      </c>
      <c r="O29" t="s">
        <v>175</v>
      </c>
      <c r="P29">
        <v>0.71612200435729845</v>
      </c>
      <c r="Q29">
        <v>0.20305010893246189</v>
      </c>
      <c r="R29">
        <v>8.0827886710239646E-2</v>
      </c>
      <c r="T29" s="75">
        <v>44244</v>
      </c>
    </row>
    <row r="30" spans="1:20" x14ac:dyDescent="0.45">
      <c r="A30" s="58" t="s">
        <v>262</v>
      </c>
      <c r="B30">
        <f t="shared" si="0"/>
        <v>66</v>
      </c>
      <c r="C30" s="74">
        <f t="shared" si="1"/>
        <v>56.746039409855726</v>
      </c>
      <c r="D30" cm="1">
        <f t="array" ref="D30">IF(Table2[[#This Row],[HomeTeam]]="Ath Madrid",_xlfn.IFS(Table2[[#This Row],[FTR]]="H",3,Table2[[#This Row],[FTR]]="D",1,Table2[[#This Row],[FTR]]="A",0),_xlfn.IFS(Table2[[#This Row],[FTR]]="A",3,Table2[[#This Row],[FTR]]="D",1,Table2[[#This Row],[FTR]]="H",0))</f>
        <v>0</v>
      </c>
      <c r="E30" s="74">
        <f>IF(Table2[[#This Row],[HomeTeam]]="Ath Madrid",Table2[[#This Row],[ProbH]]*3+Table2[[#This Row],[ProbD]]*1,Table2[[#This Row],[ProbA]]*3+Table2[[#This Row],[ProbD]]*1)</f>
        <v>1.3797360578969777</v>
      </c>
      <c r="H30" t="s">
        <v>311</v>
      </c>
      <c r="I30" t="s">
        <v>312</v>
      </c>
      <c r="J30" s="76">
        <v>44290</v>
      </c>
      <c r="K30" t="s">
        <v>317</v>
      </c>
      <c r="L30" t="s">
        <v>313</v>
      </c>
      <c r="M30">
        <v>1</v>
      </c>
      <c r="N30">
        <v>0</v>
      </c>
      <c r="O30" t="s">
        <v>175</v>
      </c>
      <c r="P30">
        <v>0.3286504895700299</v>
      </c>
      <c r="Q30">
        <v>0.31715623669646659</v>
      </c>
      <c r="R30">
        <v>0.35419327373350368</v>
      </c>
      <c r="T30" s="75">
        <v>44268</v>
      </c>
    </row>
    <row r="31" spans="1:20" x14ac:dyDescent="0.45">
      <c r="A31" s="58" t="s">
        <v>263</v>
      </c>
      <c r="B31">
        <f t="shared" si="0"/>
        <v>67</v>
      </c>
      <c r="C31" s="74">
        <f t="shared" si="1"/>
        <v>58.289587347425403</v>
      </c>
      <c r="D31" cm="1">
        <f t="array" ref="D31">IF(Table2[[#This Row],[HomeTeam]]="Ath Madrid",_xlfn.IFS(Table2[[#This Row],[FTR]]="H",3,Table2[[#This Row],[FTR]]="D",1,Table2[[#This Row],[FTR]]="A",0),_xlfn.IFS(Table2[[#This Row],[FTR]]="A",3,Table2[[#This Row],[FTR]]="D",1,Table2[[#This Row],[FTR]]="H",0))</f>
        <v>1</v>
      </c>
      <c r="E31" s="74">
        <f>IF(Table2[[#This Row],[HomeTeam]]="Ath Madrid",Table2[[#This Row],[ProbH]]*3+Table2[[#This Row],[ProbD]]*1,Table2[[#This Row],[ProbA]]*3+Table2[[#This Row],[ProbD]]*1)</f>
        <v>1.5435479375696768</v>
      </c>
      <c r="H31" t="s">
        <v>311</v>
      </c>
      <c r="I31" t="s">
        <v>312</v>
      </c>
      <c r="J31" s="76">
        <v>44297</v>
      </c>
      <c r="K31" t="s">
        <v>68</v>
      </c>
      <c r="L31" t="s">
        <v>313</v>
      </c>
      <c r="M31">
        <v>1</v>
      </c>
      <c r="N31">
        <v>1</v>
      </c>
      <c r="O31" t="s">
        <v>172</v>
      </c>
      <c r="P31">
        <v>0.28936733556298783</v>
      </c>
      <c r="Q31">
        <v>0.29417502787068012</v>
      </c>
      <c r="R31">
        <v>0.41645763656633228</v>
      </c>
      <c r="T31" s="75">
        <v>44177</v>
      </c>
    </row>
    <row r="32" spans="1:20" x14ac:dyDescent="0.45">
      <c r="A32" s="58" t="s">
        <v>264</v>
      </c>
      <c r="B32">
        <f t="shared" si="0"/>
        <v>70</v>
      </c>
      <c r="C32" s="74">
        <f t="shared" si="1"/>
        <v>60.588266429014418</v>
      </c>
      <c r="D32" cm="1">
        <f t="array" ref="D32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32" s="74">
        <f>IF(Table2[[#This Row],[HomeTeam]]="Ath Madrid",Table2[[#This Row],[ProbH]]*3+Table2[[#This Row],[ProbD]]*1,Table2[[#This Row],[ProbA]]*3+Table2[[#This Row],[ProbD]]*1)</f>
        <v>2.2986790815890124</v>
      </c>
      <c r="H32" t="s">
        <v>311</v>
      </c>
      <c r="I32" t="s">
        <v>312</v>
      </c>
      <c r="J32" s="76">
        <v>44304</v>
      </c>
      <c r="K32" t="s">
        <v>313</v>
      </c>
      <c r="L32" t="s">
        <v>324</v>
      </c>
      <c r="M32">
        <v>5</v>
      </c>
      <c r="N32">
        <v>0</v>
      </c>
      <c r="O32" t="s">
        <v>175</v>
      </c>
      <c r="P32">
        <v>0.6955044784144091</v>
      </c>
      <c r="Q32">
        <v>0.21216564634578489</v>
      </c>
      <c r="R32">
        <v>9.2329875239805945E-2</v>
      </c>
      <c r="T32" s="75">
        <v>44217</v>
      </c>
    </row>
    <row r="33" spans="1:20" x14ac:dyDescent="0.45">
      <c r="A33" s="58" t="s">
        <v>265</v>
      </c>
      <c r="B33">
        <f t="shared" si="0"/>
        <v>73</v>
      </c>
      <c r="C33" s="74">
        <f t="shared" si="1"/>
        <v>62.92876637168154</v>
      </c>
      <c r="D33" cm="1">
        <f t="array" ref="D33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33" s="74">
        <f>IF(Table2[[#This Row],[HomeTeam]]="Ath Madrid",Table2[[#This Row],[ProbH]]*3+Table2[[#This Row],[ProbD]]*1,Table2[[#This Row],[ProbA]]*3+Table2[[#This Row],[ProbD]]*1)</f>
        <v>2.3404999426671251</v>
      </c>
      <c r="H33" t="s">
        <v>311</v>
      </c>
      <c r="I33" t="s">
        <v>312</v>
      </c>
      <c r="J33" s="76">
        <v>44308</v>
      </c>
      <c r="K33" t="s">
        <v>313</v>
      </c>
      <c r="L33" t="s">
        <v>320</v>
      </c>
      <c r="M33">
        <v>2</v>
      </c>
      <c r="N33">
        <v>0</v>
      </c>
      <c r="O33" t="s">
        <v>175</v>
      </c>
      <c r="P33">
        <v>0.71631693613117764</v>
      </c>
      <c r="Q33">
        <v>0.19154913427359249</v>
      </c>
      <c r="R33">
        <v>9.2133929595229938E-2</v>
      </c>
      <c r="T33" s="75">
        <v>44290</v>
      </c>
    </row>
    <row r="34" spans="1:20" x14ac:dyDescent="0.45">
      <c r="A34" s="58" t="s">
        <v>266</v>
      </c>
      <c r="B34">
        <f t="shared" si="0"/>
        <v>73</v>
      </c>
      <c r="C34" s="74">
        <f t="shared" si="1"/>
        <v>64.734429177344339</v>
      </c>
      <c r="D34" cm="1">
        <f t="array" ref="D34">IF(Table2[[#This Row],[HomeTeam]]="Ath Madrid",_xlfn.IFS(Table2[[#This Row],[FTR]]="H",3,Table2[[#This Row],[FTR]]="D",1,Table2[[#This Row],[FTR]]="A",0),_xlfn.IFS(Table2[[#This Row],[FTR]]="A",3,Table2[[#This Row],[FTR]]="D",1,Table2[[#This Row],[FTR]]="H",0))</f>
        <v>0</v>
      </c>
      <c r="E34" s="74">
        <f>IF(Table2[[#This Row],[HomeTeam]]="Ath Madrid",Table2[[#This Row],[ProbH]]*3+Table2[[#This Row],[ProbD]]*1,Table2[[#This Row],[ProbA]]*3+Table2[[#This Row],[ProbD]]*1)</f>
        <v>1.8056628056628057</v>
      </c>
      <c r="H34" t="s">
        <v>311</v>
      </c>
      <c r="I34" t="s">
        <v>312</v>
      </c>
      <c r="J34" s="76">
        <v>44311</v>
      </c>
      <c r="K34" t="s">
        <v>327</v>
      </c>
      <c r="L34" t="s">
        <v>313</v>
      </c>
      <c r="M34">
        <v>2</v>
      </c>
      <c r="N34">
        <v>1</v>
      </c>
      <c r="O34" t="s">
        <v>175</v>
      </c>
      <c r="P34">
        <v>0.2245817245817246</v>
      </c>
      <c r="Q34">
        <v>0.26029601029601029</v>
      </c>
      <c r="R34">
        <v>0.51512226512226511</v>
      </c>
      <c r="T34" s="75">
        <v>44104</v>
      </c>
    </row>
    <row r="35" spans="1:20" x14ac:dyDescent="0.45">
      <c r="A35" s="58" t="s">
        <v>267</v>
      </c>
      <c r="B35">
        <f t="shared" si="0"/>
        <v>76</v>
      </c>
      <c r="C35" s="74">
        <f t="shared" si="1"/>
        <v>67.033108258933353</v>
      </c>
      <c r="D35" cm="1">
        <f t="array" ref="D35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35" s="74">
        <f>IF(Table2[[#This Row],[HomeTeam]]="Ath Madrid",Table2[[#This Row],[ProbH]]*3+Table2[[#This Row],[ProbD]]*1,Table2[[#This Row],[ProbA]]*3+Table2[[#This Row],[ProbD]]*1)</f>
        <v>2.2986790815890124</v>
      </c>
      <c r="H35" t="s">
        <v>311</v>
      </c>
      <c r="I35" t="s">
        <v>312</v>
      </c>
      <c r="J35" s="76">
        <v>44317</v>
      </c>
      <c r="K35" t="s">
        <v>326</v>
      </c>
      <c r="L35" t="s">
        <v>313</v>
      </c>
      <c r="M35">
        <v>0</v>
      </c>
      <c r="N35">
        <v>1</v>
      </c>
      <c r="O35" t="s">
        <v>180</v>
      </c>
      <c r="P35">
        <v>9.2329875239805945E-2</v>
      </c>
      <c r="Q35">
        <v>0.21216564634578489</v>
      </c>
      <c r="R35">
        <v>0.6955044784144091</v>
      </c>
      <c r="T35" s="75">
        <v>44324</v>
      </c>
    </row>
    <row r="36" spans="1:20" x14ac:dyDescent="0.45">
      <c r="A36" s="58" t="s">
        <v>268</v>
      </c>
      <c r="B36">
        <f t="shared" si="0"/>
        <v>77</v>
      </c>
      <c r="C36" s="74">
        <f t="shared" si="1"/>
        <v>67.887187902486687</v>
      </c>
      <c r="D36" cm="1">
        <f t="array" ref="D36">IF(Table2[[#This Row],[HomeTeam]]="Ath Madrid",_xlfn.IFS(Table2[[#This Row],[FTR]]="H",3,Table2[[#This Row],[FTR]]="D",1,Table2[[#This Row],[FTR]]="A",0),_xlfn.IFS(Table2[[#This Row],[FTR]]="A",3,Table2[[#This Row],[FTR]]="D",1,Table2[[#This Row],[FTR]]="H",0))</f>
        <v>1</v>
      </c>
      <c r="E36" s="74">
        <f>IF(Table2[[#This Row],[HomeTeam]]="Ath Madrid",Table2[[#This Row],[ProbH]]*3+Table2[[#This Row],[ProbD]]*1,Table2[[#This Row],[ProbA]]*3+Table2[[#This Row],[ProbD]]*1)</f>
        <v>0.85407964355332788</v>
      </c>
      <c r="H36" t="s">
        <v>311</v>
      </c>
      <c r="I36" t="s">
        <v>312</v>
      </c>
      <c r="J36" s="76">
        <v>44324</v>
      </c>
      <c r="K36" t="s">
        <v>147</v>
      </c>
      <c r="L36" t="s">
        <v>313</v>
      </c>
      <c r="M36">
        <v>0</v>
      </c>
      <c r="N36">
        <v>0</v>
      </c>
      <c r="O36" t="s">
        <v>172</v>
      </c>
      <c r="P36">
        <v>0.55249234196602626</v>
      </c>
      <c r="Q36">
        <v>0.2442216652742969</v>
      </c>
      <c r="R36">
        <v>0.20328599275967699</v>
      </c>
      <c r="T36" s="75">
        <v>44121</v>
      </c>
    </row>
    <row r="37" spans="1:20" x14ac:dyDescent="0.45">
      <c r="A37" s="58" t="s">
        <v>269</v>
      </c>
      <c r="B37">
        <f t="shared" si="0"/>
        <v>80</v>
      </c>
      <c r="C37" s="74">
        <f t="shared" si="1"/>
        <v>69.936430326729109</v>
      </c>
      <c r="D37" cm="1">
        <f t="array" ref="D37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37" s="74">
        <f>IF(Table2[[#This Row],[HomeTeam]]="Ath Madrid",Table2[[#This Row],[ProbH]]*3+Table2[[#This Row],[ProbD]]*1,Table2[[#This Row],[ProbA]]*3+Table2[[#This Row],[ProbD]]*1)</f>
        <v>2.0492424242424243</v>
      </c>
      <c r="H37" t="s">
        <v>311</v>
      </c>
      <c r="I37" t="s">
        <v>312</v>
      </c>
      <c r="J37" s="76">
        <v>44328</v>
      </c>
      <c r="K37" t="s">
        <v>313</v>
      </c>
      <c r="L37" t="s">
        <v>316</v>
      </c>
      <c r="M37">
        <v>2</v>
      </c>
      <c r="N37">
        <v>1</v>
      </c>
      <c r="O37" t="s">
        <v>175</v>
      </c>
      <c r="P37">
        <v>0.60606060606060608</v>
      </c>
      <c r="Q37">
        <v>0.23106060606060599</v>
      </c>
      <c r="R37">
        <v>0.1628787878787879</v>
      </c>
      <c r="T37" s="75">
        <v>44135</v>
      </c>
    </row>
    <row r="38" spans="1:20" x14ac:dyDescent="0.45">
      <c r="A38" s="58" t="s">
        <v>270</v>
      </c>
      <c r="B38">
        <f t="shared" si="0"/>
        <v>83</v>
      </c>
      <c r="C38" s="74">
        <f t="shared" si="1"/>
        <v>72.489023975260039</v>
      </c>
      <c r="D38" cm="1">
        <f t="array" ref="D38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38" s="74">
        <f>IF(Table2[[#This Row],[HomeTeam]]="Ath Madrid",Table2[[#This Row],[ProbH]]*3+Table2[[#This Row],[ProbD]]*1,Table2[[#This Row],[ProbA]]*3+Table2[[#This Row],[ProbD]]*1)</f>
        <v>2.5525936485309257</v>
      </c>
      <c r="H38" t="s">
        <v>311</v>
      </c>
      <c r="I38" t="s">
        <v>312</v>
      </c>
      <c r="J38" s="76">
        <v>44332</v>
      </c>
      <c r="K38" t="s">
        <v>313</v>
      </c>
      <c r="L38" t="s">
        <v>318</v>
      </c>
      <c r="M38">
        <v>2</v>
      </c>
      <c r="N38">
        <v>1</v>
      </c>
      <c r="O38" t="s">
        <v>175</v>
      </c>
      <c r="P38">
        <v>0.7995881840500515</v>
      </c>
      <c r="Q38">
        <v>0.1538290963807713</v>
      </c>
      <c r="R38">
        <v>4.6582719569177117E-2</v>
      </c>
      <c r="T38" s="75">
        <v>44199</v>
      </c>
    </row>
    <row r="39" spans="1:20" x14ac:dyDescent="0.45">
      <c r="A39" s="58" t="s">
        <v>271</v>
      </c>
      <c r="B39">
        <f t="shared" si="0"/>
        <v>86</v>
      </c>
      <c r="C39" s="74">
        <f t="shared" si="1"/>
        <v>74.863849929033364</v>
      </c>
      <c r="D39" cm="1">
        <f t="array" ref="D39">IF(Table2[[#This Row],[HomeTeam]]="Ath Madrid",_xlfn.IFS(Table2[[#This Row],[FTR]]="H",3,Table2[[#This Row],[FTR]]="D",1,Table2[[#This Row],[FTR]]="A",0),_xlfn.IFS(Table2[[#This Row],[FTR]]="A",3,Table2[[#This Row],[FTR]]="D",1,Table2[[#This Row],[FTR]]="H",0))</f>
        <v>3</v>
      </c>
      <c r="E39" s="74">
        <f>IF(Table2[[#This Row],[HomeTeam]]="Ath Madrid",Table2[[#This Row],[ProbH]]*3+Table2[[#This Row],[ProbD]]*1,Table2[[#This Row],[ProbA]]*3+Table2[[#This Row],[ProbD]]*1)</f>
        <v>2.3748259537733221</v>
      </c>
      <c r="H39" t="s">
        <v>311</v>
      </c>
      <c r="I39" t="s">
        <v>312</v>
      </c>
      <c r="J39" s="76">
        <v>44338</v>
      </c>
      <c r="K39" t="s">
        <v>322</v>
      </c>
      <c r="L39" t="s">
        <v>313</v>
      </c>
      <c r="M39">
        <v>1</v>
      </c>
      <c r="N39">
        <v>2</v>
      </c>
      <c r="O39" t="s">
        <v>180</v>
      </c>
      <c r="P39">
        <v>9.328877749930381E-2</v>
      </c>
      <c r="Q39">
        <v>0.1726538568643832</v>
      </c>
      <c r="R39">
        <v>0.73405736563631296</v>
      </c>
      <c r="T39" s="75">
        <v>44311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69E93-A82B-4F82-8503-91F0F1E95957}">
  <dimension ref="A1:BK88"/>
  <sheetViews>
    <sheetView topLeftCell="BF66" zoomScale="80" zoomScaleNormal="80" workbookViewId="0">
      <selection activeCell="CA89" sqref="CA89"/>
    </sheetView>
  </sheetViews>
  <sheetFormatPr defaultRowHeight="14.25" x14ac:dyDescent="0.45"/>
  <cols>
    <col min="2" max="2" width="14.73046875" bestFit="1" customWidth="1"/>
    <col min="3" max="3" width="14.59765625" bestFit="1" customWidth="1"/>
    <col min="9" max="9" width="0" hidden="1" customWidth="1"/>
  </cols>
  <sheetData>
    <row r="1" spans="1:62" x14ac:dyDescent="0.45">
      <c r="A1" s="58"/>
      <c r="B1" s="58" t="s">
        <v>158</v>
      </c>
      <c r="C1" s="58" t="s">
        <v>159</v>
      </c>
      <c r="E1" s="58"/>
      <c r="F1" s="58" t="s">
        <v>158</v>
      </c>
      <c r="G1" s="58" t="s">
        <v>159</v>
      </c>
      <c r="H1" s="58" t="s">
        <v>334</v>
      </c>
      <c r="AG1" s="58"/>
      <c r="AH1" s="58"/>
      <c r="AI1" s="58"/>
      <c r="AU1" s="58" t="s">
        <v>158</v>
      </c>
      <c r="AV1" s="58" t="s">
        <v>159</v>
      </c>
      <c r="BH1" s="58"/>
      <c r="BI1" s="58"/>
      <c r="BJ1" s="58"/>
    </row>
    <row r="2" spans="1:62" x14ac:dyDescent="0.45">
      <c r="A2" s="58" t="s">
        <v>157</v>
      </c>
      <c r="B2" s="58">
        <v>3</v>
      </c>
      <c r="C2" s="52">
        <v>2.1833333333333331</v>
      </c>
      <c r="E2" s="58" t="s">
        <v>157</v>
      </c>
      <c r="F2" s="58">
        <v>3</v>
      </c>
      <c r="G2" s="52">
        <v>2.1833333333333331</v>
      </c>
      <c r="H2" s="81">
        <f>F2/G2</f>
        <v>1.3740458015267176</v>
      </c>
      <c r="AG2" s="58"/>
      <c r="AH2" s="58"/>
      <c r="AI2" s="52"/>
      <c r="BH2" s="58"/>
      <c r="BI2" s="58"/>
      <c r="BJ2" s="52"/>
    </row>
    <row r="3" spans="1:62" x14ac:dyDescent="0.45">
      <c r="A3" s="58" t="s">
        <v>235</v>
      </c>
      <c r="B3" s="58">
        <v>4</v>
      </c>
      <c r="C3" s="52">
        <v>4.4089490968801313</v>
      </c>
      <c r="AT3" s="58" t="s">
        <v>254</v>
      </c>
      <c r="AU3" s="58">
        <v>54</v>
      </c>
      <c r="AV3" s="52">
        <v>42.361356508932829</v>
      </c>
    </row>
    <row r="4" spans="1:62" x14ac:dyDescent="0.45">
      <c r="A4" s="58" t="s">
        <v>236</v>
      </c>
      <c r="B4" s="58">
        <v>5</v>
      </c>
      <c r="C4" s="52">
        <v>6.4495847896897374</v>
      </c>
      <c r="E4" s="58"/>
      <c r="F4" s="58" t="s">
        <v>158</v>
      </c>
      <c r="G4" s="58" t="s">
        <v>159</v>
      </c>
      <c r="AG4" s="58"/>
      <c r="AH4" s="58"/>
      <c r="AI4" s="58"/>
      <c r="AT4" s="58" t="s">
        <v>255</v>
      </c>
      <c r="AU4" s="58">
        <v>55</v>
      </c>
      <c r="AV4" s="52">
        <v>44.241874798119852</v>
      </c>
      <c r="BH4" s="58"/>
      <c r="BI4" s="58"/>
      <c r="BJ4" s="58"/>
    </row>
    <row r="5" spans="1:62" x14ac:dyDescent="0.45">
      <c r="A5" s="58" t="s">
        <v>237</v>
      </c>
      <c r="B5" s="58">
        <v>8</v>
      </c>
      <c r="C5" s="52">
        <v>8.3918647319696795</v>
      </c>
      <c r="E5" s="58" t="s">
        <v>235</v>
      </c>
      <c r="F5" s="58">
        <v>4</v>
      </c>
      <c r="G5" s="52">
        <v>4.4089490968801313</v>
      </c>
      <c r="H5">
        <f>F5/G5</f>
        <v>0.90724567512709264</v>
      </c>
      <c r="AG5" s="58"/>
      <c r="AH5" s="58"/>
      <c r="AI5" s="52"/>
      <c r="AT5" s="58" t="s">
        <v>256</v>
      </c>
      <c r="AU5" s="58">
        <v>55</v>
      </c>
      <c r="AV5" s="52">
        <v>46.390723226380047</v>
      </c>
      <c r="BH5" s="58"/>
      <c r="BI5" s="58"/>
      <c r="BJ5" s="52"/>
    </row>
    <row r="6" spans="1:62" x14ac:dyDescent="0.45">
      <c r="A6" s="58" t="s">
        <v>238</v>
      </c>
      <c r="B6" s="58">
        <v>11</v>
      </c>
      <c r="C6" s="52">
        <v>10.507619379133494</v>
      </c>
      <c r="AT6" s="58" t="s">
        <v>257</v>
      </c>
      <c r="AU6" s="58">
        <v>58</v>
      </c>
      <c r="AV6" s="52">
        <v>47.880135120169818</v>
      </c>
    </row>
    <row r="7" spans="1:62" x14ac:dyDescent="0.45">
      <c r="A7" s="58" t="s">
        <v>239</v>
      </c>
      <c r="B7" s="58">
        <v>14</v>
      </c>
      <c r="C7" s="52">
        <v>12.449899321413437</v>
      </c>
      <c r="E7" s="58" t="s">
        <v>236</v>
      </c>
      <c r="F7" s="58">
        <v>5</v>
      </c>
      <c r="G7" s="52">
        <v>6.4495847896897374</v>
      </c>
      <c r="H7">
        <f>F7/G7</f>
        <v>0.77524370374864537</v>
      </c>
      <c r="AG7" s="58"/>
      <c r="AH7" s="58"/>
      <c r="AI7" s="58"/>
      <c r="AT7" s="58" t="s">
        <v>258</v>
      </c>
      <c r="AU7" s="58">
        <v>59</v>
      </c>
      <c r="AV7" s="52">
        <v>49.288308645990405</v>
      </c>
      <c r="BH7" s="58"/>
      <c r="BI7" s="58"/>
      <c r="BJ7" s="58"/>
    </row>
    <row r="8" spans="1:62" x14ac:dyDescent="0.45">
      <c r="A8" s="58" t="s">
        <v>240</v>
      </c>
      <c r="B8" s="58">
        <v>17</v>
      </c>
      <c r="C8" s="52">
        <v>14.761010432524547</v>
      </c>
      <c r="E8" s="58" t="s">
        <v>237</v>
      </c>
      <c r="F8" s="58">
        <v>8</v>
      </c>
      <c r="G8" s="52">
        <v>8.3918647319696795</v>
      </c>
      <c r="H8">
        <f t="shared" ref="H8:H23" si="0">F8/G8</f>
        <v>0.95330421253373754</v>
      </c>
      <c r="AG8" s="58"/>
      <c r="AH8" s="58"/>
      <c r="AI8" s="52"/>
      <c r="AT8" s="58" t="s">
        <v>259</v>
      </c>
      <c r="AU8" s="58">
        <v>62</v>
      </c>
      <c r="AV8" s="52">
        <v>51.192589550271308</v>
      </c>
      <c r="BH8" s="58"/>
      <c r="BI8" s="58"/>
      <c r="BJ8" s="52"/>
    </row>
    <row r="9" spans="1:62" x14ac:dyDescent="0.45">
      <c r="A9" s="58" t="s">
        <v>241</v>
      </c>
      <c r="B9" s="58">
        <v>20</v>
      </c>
      <c r="C9" s="52">
        <v>16.011230409937891</v>
      </c>
      <c r="E9" s="58" t="s">
        <v>238</v>
      </c>
      <c r="F9" s="58">
        <v>11</v>
      </c>
      <c r="G9" s="52">
        <v>10.507619379133494</v>
      </c>
      <c r="H9">
        <f t="shared" si="0"/>
        <v>1.046859388706475</v>
      </c>
      <c r="AT9" s="58" t="s">
        <v>260</v>
      </c>
      <c r="AU9" s="58">
        <v>63</v>
      </c>
      <c r="AV9" s="52">
        <v>53.01488722995439</v>
      </c>
    </row>
    <row r="10" spans="1:62" x14ac:dyDescent="0.45">
      <c r="A10" s="58" t="s">
        <v>242</v>
      </c>
      <c r="B10" s="58">
        <v>23</v>
      </c>
      <c r="C10" s="52">
        <v>17.94513493870166</v>
      </c>
      <c r="E10" s="58" t="s">
        <v>239</v>
      </c>
      <c r="F10" s="58">
        <v>14</v>
      </c>
      <c r="G10" s="52">
        <v>12.449899321413437</v>
      </c>
      <c r="H10">
        <f t="shared" si="0"/>
        <v>1.1245070854444934</v>
      </c>
      <c r="AG10" s="58"/>
      <c r="AH10" s="58"/>
      <c r="AI10" s="58"/>
      <c r="AT10" s="58" t="s">
        <v>261</v>
      </c>
      <c r="AU10" s="58">
        <v>66</v>
      </c>
      <c r="AV10" s="52">
        <v>55.366303351958749</v>
      </c>
      <c r="BH10" s="58"/>
      <c r="BI10" s="58"/>
      <c r="BJ10" s="58"/>
    </row>
    <row r="11" spans="1:62" x14ac:dyDescent="0.45">
      <c r="A11" s="58" t="s">
        <v>243</v>
      </c>
      <c r="B11" s="58">
        <v>26</v>
      </c>
      <c r="C11" s="52">
        <v>20.251611291245837</v>
      </c>
      <c r="E11" s="58" t="s">
        <v>240</v>
      </c>
      <c r="F11" s="58">
        <v>17</v>
      </c>
      <c r="G11" s="52">
        <v>14.761010432524547</v>
      </c>
      <c r="H11">
        <f t="shared" si="0"/>
        <v>1.1516826763120527</v>
      </c>
      <c r="AG11" s="58"/>
      <c r="AH11" s="58"/>
      <c r="AI11" s="52"/>
      <c r="AT11" s="58" t="s">
        <v>262</v>
      </c>
      <c r="AU11" s="58">
        <v>66</v>
      </c>
      <c r="AV11" s="52">
        <v>56.746039409855726</v>
      </c>
      <c r="BH11" s="58"/>
      <c r="BI11" s="58"/>
      <c r="BJ11" s="52"/>
    </row>
    <row r="12" spans="1:62" x14ac:dyDescent="0.45">
      <c r="A12" s="58" t="s">
        <v>244</v>
      </c>
      <c r="B12" s="58">
        <v>26</v>
      </c>
      <c r="C12" s="52">
        <v>21.441858787243682</v>
      </c>
      <c r="E12" s="58" t="s">
        <v>241</v>
      </c>
      <c r="F12" s="58">
        <v>20</v>
      </c>
      <c r="G12" s="52">
        <v>16.011230409937891</v>
      </c>
      <c r="H12">
        <f t="shared" si="0"/>
        <v>1.249123239622256</v>
      </c>
      <c r="AT12" s="58" t="s">
        <v>263</v>
      </c>
      <c r="AU12" s="58">
        <v>67</v>
      </c>
      <c r="AV12" s="52">
        <v>58.289587347425403</v>
      </c>
    </row>
    <row r="13" spans="1:62" x14ac:dyDescent="0.45">
      <c r="A13" s="58" t="s">
        <v>245</v>
      </c>
      <c r="B13" s="58">
        <v>29</v>
      </c>
      <c r="C13" s="52">
        <v>24.038350015313856</v>
      </c>
      <c r="E13" s="58" t="s">
        <v>242</v>
      </c>
      <c r="F13" s="58">
        <v>23</v>
      </c>
      <c r="G13" s="52">
        <v>17.94513493870166</v>
      </c>
      <c r="H13">
        <f t="shared" si="0"/>
        <v>1.2816844274821633</v>
      </c>
      <c r="AG13" s="58"/>
      <c r="AH13" s="58"/>
      <c r="AI13" s="58"/>
      <c r="AT13" s="58" t="s">
        <v>264</v>
      </c>
      <c r="AU13" s="58">
        <v>70</v>
      </c>
      <c r="AV13" s="52">
        <v>60.588266429014418</v>
      </c>
      <c r="BH13" s="58"/>
      <c r="BI13" s="58"/>
      <c r="BJ13" s="58"/>
    </row>
    <row r="14" spans="1:62" x14ac:dyDescent="0.45">
      <c r="A14" s="58" t="s">
        <v>246</v>
      </c>
      <c r="B14" s="58">
        <v>32</v>
      </c>
      <c r="C14" s="52">
        <v>25.60421701868086</v>
      </c>
      <c r="E14" s="58" t="s">
        <v>243</v>
      </c>
      <c r="F14" s="58">
        <v>26</v>
      </c>
      <c r="G14" s="52">
        <v>20.251611291245837</v>
      </c>
      <c r="H14">
        <f t="shared" si="0"/>
        <v>1.2838484615413797</v>
      </c>
      <c r="AG14" s="58"/>
      <c r="AH14" s="58"/>
      <c r="AI14" s="52"/>
      <c r="AT14" s="58" t="s">
        <v>265</v>
      </c>
      <c r="AU14" s="58">
        <v>73</v>
      </c>
      <c r="AV14" s="52">
        <v>62.92876637168154</v>
      </c>
      <c r="BH14" s="58"/>
      <c r="BI14" s="58"/>
      <c r="BJ14" s="52"/>
    </row>
    <row r="15" spans="1:62" x14ac:dyDescent="0.45">
      <c r="A15" s="58" t="s">
        <v>247</v>
      </c>
      <c r="B15" s="58">
        <v>35</v>
      </c>
      <c r="C15" s="52">
        <v>27.858729934958482</v>
      </c>
      <c r="E15" s="58" t="s">
        <v>244</v>
      </c>
      <c r="F15" s="58">
        <v>26</v>
      </c>
      <c r="G15" s="52">
        <v>21.441858787243682</v>
      </c>
      <c r="H15">
        <f t="shared" si="0"/>
        <v>1.2125814397895427</v>
      </c>
      <c r="AT15" s="58" t="s">
        <v>266</v>
      </c>
      <c r="AU15" s="58">
        <v>73</v>
      </c>
      <c r="AV15" s="52">
        <v>64.734429177344339</v>
      </c>
    </row>
    <row r="16" spans="1:62" x14ac:dyDescent="0.45">
      <c r="A16" s="58" t="s">
        <v>248</v>
      </c>
      <c r="B16" s="58">
        <v>38</v>
      </c>
      <c r="C16" s="52">
        <v>30.002022807663121</v>
      </c>
      <c r="E16" s="58" t="s">
        <v>245</v>
      </c>
      <c r="F16" s="58">
        <v>29</v>
      </c>
      <c r="G16" s="52">
        <v>24.038350015313856</v>
      </c>
      <c r="H16">
        <f t="shared" si="0"/>
        <v>1.2064055969534215</v>
      </c>
      <c r="AG16" s="58"/>
      <c r="AH16" s="58"/>
      <c r="AI16" s="58"/>
      <c r="AT16" s="58" t="s">
        <v>267</v>
      </c>
      <c r="AU16" s="58">
        <v>76</v>
      </c>
      <c r="AV16" s="52">
        <v>67.033108258933353</v>
      </c>
      <c r="BH16" s="58"/>
      <c r="BI16" s="58"/>
      <c r="BJ16" s="58"/>
    </row>
    <row r="17" spans="1:62" x14ac:dyDescent="0.45">
      <c r="A17" s="58" t="s">
        <v>249</v>
      </c>
      <c r="B17" s="58">
        <v>41</v>
      </c>
      <c r="C17" s="52">
        <v>31.812086160489631</v>
      </c>
      <c r="E17" s="58" t="s">
        <v>246</v>
      </c>
      <c r="F17" s="58">
        <v>32</v>
      </c>
      <c r="G17" s="52">
        <v>25.60421701868086</v>
      </c>
      <c r="H17">
        <f t="shared" si="0"/>
        <v>1.2497941247979882</v>
      </c>
      <c r="AG17" s="58"/>
      <c r="AH17" s="58"/>
      <c r="AI17" s="52"/>
      <c r="AT17" s="58" t="s">
        <v>268</v>
      </c>
      <c r="AU17" s="58">
        <v>77</v>
      </c>
      <c r="AV17" s="52">
        <v>67.887187902486687</v>
      </c>
      <c r="BH17" s="58"/>
      <c r="BI17" s="58"/>
      <c r="BJ17" s="52"/>
    </row>
    <row r="18" spans="1:62" x14ac:dyDescent="0.45">
      <c r="A18" s="58" t="s">
        <v>250</v>
      </c>
      <c r="B18" s="58">
        <v>44</v>
      </c>
      <c r="C18" s="52">
        <v>33.846268137265511</v>
      </c>
      <c r="E18" s="58" t="s">
        <v>247</v>
      </c>
      <c r="F18" s="58">
        <v>35</v>
      </c>
      <c r="G18" s="52">
        <v>27.858729934958482</v>
      </c>
      <c r="H18">
        <f t="shared" si="0"/>
        <v>1.2563386802526237</v>
      </c>
      <c r="AT18" s="58" t="s">
        <v>269</v>
      </c>
      <c r="AU18" s="58">
        <v>80</v>
      </c>
      <c r="AV18" s="52">
        <v>69.936430326729109</v>
      </c>
    </row>
    <row r="19" spans="1:62" x14ac:dyDescent="0.45">
      <c r="A19" s="58" t="s">
        <v>251</v>
      </c>
      <c r="B19" s="58">
        <v>47</v>
      </c>
      <c r="C19" s="52">
        <v>36.133235555811879</v>
      </c>
      <c r="E19" s="58" t="s">
        <v>248</v>
      </c>
      <c r="F19" s="58">
        <v>38</v>
      </c>
      <c r="G19" s="52">
        <v>30.002022807663121</v>
      </c>
      <c r="H19">
        <f t="shared" si="0"/>
        <v>1.2665812649903738</v>
      </c>
      <c r="AG19" s="58"/>
      <c r="AH19" s="58"/>
      <c r="AI19" s="58"/>
      <c r="AT19" s="58" t="s">
        <v>270</v>
      </c>
      <c r="AU19" s="58">
        <v>83</v>
      </c>
      <c r="AV19" s="52">
        <v>72.489023975260039</v>
      </c>
    </row>
    <row r="20" spans="1:62" x14ac:dyDescent="0.45">
      <c r="A20" s="58" t="s">
        <v>252</v>
      </c>
      <c r="B20" s="58">
        <v>50</v>
      </c>
      <c r="C20" s="52">
        <v>38.392494815071139</v>
      </c>
      <c r="E20" s="58" t="s">
        <v>249</v>
      </c>
      <c r="F20" s="58">
        <v>41</v>
      </c>
      <c r="G20" s="52">
        <v>31.812086160489631</v>
      </c>
      <c r="H20">
        <f t="shared" si="0"/>
        <v>1.2888183375701305</v>
      </c>
      <c r="AG20" s="58"/>
      <c r="AH20" s="58"/>
      <c r="AI20" s="52"/>
      <c r="AT20" s="58" t="s">
        <v>271</v>
      </c>
      <c r="AU20" s="58">
        <v>86</v>
      </c>
      <c r="AV20" s="52">
        <v>74.863849929033364</v>
      </c>
    </row>
    <row r="21" spans="1:62" x14ac:dyDescent="0.45">
      <c r="A21" s="58" t="s">
        <v>253</v>
      </c>
      <c r="B21" s="58">
        <v>51</v>
      </c>
      <c r="C21" s="52">
        <v>40.469774017350339</v>
      </c>
      <c r="E21" s="58" t="s">
        <v>250</v>
      </c>
      <c r="F21" s="58">
        <v>44</v>
      </c>
      <c r="G21" s="52">
        <v>33.846268137265511</v>
      </c>
      <c r="H21">
        <f t="shared" si="0"/>
        <v>1.2999956101971253</v>
      </c>
    </row>
    <row r="22" spans="1:62" x14ac:dyDescent="0.45">
      <c r="A22" s="58" t="s">
        <v>254</v>
      </c>
      <c r="B22" s="58">
        <v>54</v>
      </c>
      <c r="C22" s="52">
        <v>42.361356508932829</v>
      </c>
      <c r="E22" s="58" t="s">
        <v>251</v>
      </c>
      <c r="F22" s="58">
        <v>47</v>
      </c>
      <c r="G22" s="52">
        <v>36.133235555811879</v>
      </c>
      <c r="H22">
        <f t="shared" si="0"/>
        <v>1.3007415272126177</v>
      </c>
      <c r="AG22" s="58"/>
      <c r="AH22" s="58"/>
      <c r="AI22" s="58"/>
    </row>
    <row r="23" spans="1:62" x14ac:dyDescent="0.45">
      <c r="A23" s="58" t="s">
        <v>255</v>
      </c>
      <c r="B23" s="58">
        <v>55</v>
      </c>
      <c r="C23" s="52">
        <v>44.241874798119852</v>
      </c>
      <c r="E23" s="58" t="s">
        <v>252</v>
      </c>
      <c r="F23" s="58">
        <v>50</v>
      </c>
      <c r="G23" s="52">
        <v>38.392494815071139</v>
      </c>
      <c r="H23">
        <f t="shared" si="0"/>
        <v>1.3023378720460825</v>
      </c>
      <c r="AG23" s="58"/>
      <c r="AH23" s="58"/>
      <c r="AI23" s="52"/>
    </row>
    <row r="24" spans="1:62" x14ac:dyDescent="0.45">
      <c r="A24" s="58" t="s">
        <v>256</v>
      </c>
      <c r="B24" s="58">
        <v>55</v>
      </c>
      <c r="C24" s="52">
        <v>46.390723226380047</v>
      </c>
      <c r="E24" s="58" t="s">
        <v>253</v>
      </c>
      <c r="F24" s="58">
        <v>51</v>
      </c>
      <c r="G24" s="52">
        <v>40.469774017350339</v>
      </c>
      <c r="H24">
        <f>F24/G24</f>
        <v>1.2601997722580587</v>
      </c>
    </row>
    <row r="25" spans="1:62" x14ac:dyDescent="0.45">
      <c r="A25" s="58" t="s">
        <v>257</v>
      </c>
      <c r="B25" s="58">
        <v>58</v>
      </c>
      <c r="C25" s="52">
        <v>47.880135120169818</v>
      </c>
      <c r="F25" s="58">
        <v>54</v>
      </c>
      <c r="G25" s="52">
        <v>42.361356508932829</v>
      </c>
      <c r="AG25" s="58"/>
      <c r="AH25" s="58"/>
      <c r="AI25" s="58"/>
    </row>
    <row r="26" spans="1:62" x14ac:dyDescent="0.45">
      <c r="A26" s="58" t="s">
        <v>258</v>
      </c>
      <c r="B26" s="58">
        <v>59</v>
      </c>
      <c r="C26" s="52">
        <v>49.288308645990405</v>
      </c>
      <c r="F26" s="58">
        <v>55</v>
      </c>
      <c r="G26" s="52">
        <v>44.241874798119852</v>
      </c>
      <c r="AG26" s="58"/>
      <c r="AH26" s="58"/>
      <c r="AI26" s="52"/>
    </row>
    <row r="27" spans="1:62" x14ac:dyDescent="0.45">
      <c r="A27" s="58" t="s">
        <v>259</v>
      </c>
      <c r="B27" s="58">
        <v>62</v>
      </c>
      <c r="C27" s="52">
        <v>51.192589550271308</v>
      </c>
      <c r="F27" s="58">
        <v>55</v>
      </c>
      <c r="G27" s="52">
        <v>46.390723226380047</v>
      </c>
    </row>
    <row r="28" spans="1:62" x14ac:dyDescent="0.45">
      <c r="A28" s="58" t="s">
        <v>260</v>
      </c>
      <c r="B28" s="58">
        <v>63</v>
      </c>
      <c r="C28" s="52">
        <v>53.01488722995439</v>
      </c>
      <c r="F28" s="58">
        <v>58</v>
      </c>
      <c r="G28" s="52">
        <v>47.880135120169818</v>
      </c>
      <c r="AG28" s="58"/>
      <c r="AH28" s="58"/>
      <c r="AI28" s="58"/>
    </row>
    <row r="29" spans="1:62" x14ac:dyDescent="0.45">
      <c r="A29" s="58" t="s">
        <v>261</v>
      </c>
      <c r="B29" s="58">
        <v>66</v>
      </c>
      <c r="C29" s="52">
        <v>55.366303351958749</v>
      </c>
      <c r="F29" s="58">
        <v>59</v>
      </c>
      <c r="G29" s="52">
        <v>49.288308645990405</v>
      </c>
      <c r="AG29" s="58"/>
      <c r="AH29" s="58"/>
      <c r="AI29" s="52"/>
    </row>
    <row r="30" spans="1:62" x14ac:dyDescent="0.45">
      <c r="A30" s="58" t="s">
        <v>262</v>
      </c>
      <c r="B30" s="58">
        <v>66</v>
      </c>
      <c r="C30" s="52">
        <v>56.746039409855726</v>
      </c>
      <c r="F30" s="58">
        <v>62</v>
      </c>
      <c r="G30" s="52">
        <v>51.192589550271308</v>
      </c>
    </row>
    <row r="31" spans="1:62" x14ac:dyDescent="0.45">
      <c r="A31" s="58" t="s">
        <v>263</v>
      </c>
      <c r="B31" s="58">
        <v>67</v>
      </c>
      <c r="C31" s="52">
        <v>58.289587347425403</v>
      </c>
      <c r="F31" s="58">
        <v>63</v>
      </c>
      <c r="G31" s="52">
        <v>53.01488722995439</v>
      </c>
      <c r="AG31" s="58"/>
      <c r="AH31" s="58"/>
      <c r="AI31" s="58"/>
    </row>
    <row r="32" spans="1:62" x14ac:dyDescent="0.45">
      <c r="A32" s="58" t="s">
        <v>264</v>
      </c>
      <c r="B32" s="58">
        <v>70</v>
      </c>
      <c r="C32" s="52">
        <v>60.588266429014418</v>
      </c>
      <c r="F32" s="58">
        <v>66</v>
      </c>
      <c r="G32" s="52">
        <v>55.366303351958749</v>
      </c>
      <c r="AG32" s="58"/>
      <c r="AH32" s="58"/>
      <c r="AI32" s="52"/>
    </row>
    <row r="33" spans="1:62" x14ac:dyDescent="0.45">
      <c r="A33" s="58" t="s">
        <v>265</v>
      </c>
      <c r="B33" s="58">
        <v>73</v>
      </c>
      <c r="C33" s="52">
        <v>62.92876637168154</v>
      </c>
      <c r="F33" s="58">
        <v>66</v>
      </c>
      <c r="G33" s="52">
        <v>56.746039409855726</v>
      </c>
    </row>
    <row r="34" spans="1:62" x14ac:dyDescent="0.45">
      <c r="A34" s="58" t="s">
        <v>266</v>
      </c>
      <c r="B34" s="58">
        <v>73</v>
      </c>
      <c r="C34" s="52">
        <v>64.734429177344339</v>
      </c>
      <c r="F34" s="58">
        <v>67</v>
      </c>
      <c r="G34" s="52">
        <v>58.289587347425403</v>
      </c>
      <c r="AG34" s="58"/>
      <c r="AH34" s="58"/>
      <c r="AI34" s="58"/>
    </row>
    <row r="35" spans="1:62" x14ac:dyDescent="0.45">
      <c r="A35" s="58" t="s">
        <v>267</v>
      </c>
      <c r="B35" s="58">
        <v>76</v>
      </c>
      <c r="C35" s="52">
        <v>67.033108258933353</v>
      </c>
      <c r="F35" s="58">
        <v>70</v>
      </c>
      <c r="G35" s="52">
        <v>60.588266429014418</v>
      </c>
      <c r="AG35" s="58"/>
      <c r="AH35" s="58"/>
      <c r="AI35" s="52"/>
    </row>
    <row r="36" spans="1:62" x14ac:dyDescent="0.45">
      <c r="A36" s="58" t="s">
        <v>268</v>
      </c>
      <c r="B36" s="58">
        <v>77</v>
      </c>
      <c r="C36" s="52">
        <v>67.887187902486687</v>
      </c>
      <c r="F36" s="58">
        <v>73</v>
      </c>
      <c r="G36" s="52">
        <v>62.92876637168154</v>
      </c>
    </row>
    <row r="37" spans="1:62" x14ac:dyDescent="0.45">
      <c r="A37" s="58" t="s">
        <v>269</v>
      </c>
      <c r="B37" s="58">
        <v>80</v>
      </c>
      <c r="C37" s="52">
        <v>69.936430326729109</v>
      </c>
      <c r="F37" s="58">
        <v>73</v>
      </c>
      <c r="G37" s="52">
        <v>64.734429177344339</v>
      </c>
    </row>
    <row r="38" spans="1:62" x14ac:dyDescent="0.45">
      <c r="A38" s="58" t="s">
        <v>270</v>
      </c>
      <c r="B38" s="58">
        <v>83</v>
      </c>
      <c r="C38" s="52">
        <v>72.489023975260039</v>
      </c>
      <c r="F38" s="58">
        <v>76</v>
      </c>
      <c r="G38" s="52">
        <v>67.033108258933353</v>
      </c>
    </row>
    <row r="39" spans="1:62" x14ac:dyDescent="0.45">
      <c r="A39" s="58" t="s">
        <v>271</v>
      </c>
      <c r="B39" s="58">
        <v>86</v>
      </c>
      <c r="C39" s="52">
        <v>74.863849929033364</v>
      </c>
      <c r="F39" s="58">
        <v>77</v>
      </c>
      <c r="G39" s="52">
        <v>67.887187902486687</v>
      </c>
    </row>
    <row r="40" spans="1:62" x14ac:dyDescent="0.45">
      <c r="F40" s="58">
        <v>80</v>
      </c>
      <c r="G40" s="52">
        <v>69.936430326729109</v>
      </c>
    </row>
    <row r="41" spans="1:62" x14ac:dyDescent="0.45">
      <c r="F41" s="58">
        <v>83</v>
      </c>
      <c r="G41" s="52">
        <v>72.489023975260039</v>
      </c>
    </row>
    <row r="42" spans="1:62" x14ac:dyDescent="0.45">
      <c r="F42" s="58">
        <v>86</v>
      </c>
      <c r="G42" s="52">
        <v>74.863849929033364</v>
      </c>
    </row>
    <row r="44" spans="1:62" x14ac:dyDescent="0.45">
      <c r="A44">
        <f>86/74.9</f>
        <v>1.1481975967957276</v>
      </c>
      <c r="BH44" s="58"/>
      <c r="BI44" s="58"/>
      <c r="BJ44" s="58"/>
    </row>
    <row r="45" spans="1:62" x14ac:dyDescent="0.45">
      <c r="BH45" s="58"/>
      <c r="BI45" s="58"/>
      <c r="BJ45" s="52"/>
    </row>
    <row r="47" spans="1:62" x14ac:dyDescent="0.45">
      <c r="BH47" s="58"/>
      <c r="BI47" s="58"/>
      <c r="BJ47" s="58"/>
    </row>
    <row r="48" spans="1:62" x14ac:dyDescent="0.45">
      <c r="BH48" s="58"/>
      <c r="BI48" s="58"/>
      <c r="BJ48" s="52"/>
    </row>
    <row r="50" spans="60:62" x14ac:dyDescent="0.45">
      <c r="BH50" s="58"/>
      <c r="BI50" s="58"/>
      <c r="BJ50" s="58"/>
    </row>
    <row r="51" spans="60:62" x14ac:dyDescent="0.45">
      <c r="BH51" s="58"/>
      <c r="BI51" s="58"/>
      <c r="BJ51" s="52"/>
    </row>
    <row r="53" spans="60:62" x14ac:dyDescent="0.45">
      <c r="BH53" s="58"/>
      <c r="BI53" s="58"/>
      <c r="BJ53" s="58"/>
    </row>
    <row r="54" spans="60:62" x14ac:dyDescent="0.45">
      <c r="BH54" s="58"/>
      <c r="BI54" s="58"/>
      <c r="BJ54" s="52"/>
    </row>
    <row r="56" spans="60:62" x14ac:dyDescent="0.45">
      <c r="BH56" s="58"/>
      <c r="BI56" s="58"/>
      <c r="BJ56" s="58"/>
    </row>
    <row r="57" spans="60:62" x14ac:dyDescent="0.45">
      <c r="BH57" s="58"/>
      <c r="BI57" s="58"/>
      <c r="BJ57" s="52"/>
    </row>
    <row r="59" spans="60:62" x14ac:dyDescent="0.45">
      <c r="BH59" s="58"/>
      <c r="BI59" s="58"/>
      <c r="BJ59" s="58"/>
    </row>
    <row r="60" spans="60:62" x14ac:dyDescent="0.45">
      <c r="BH60" s="58"/>
      <c r="BI60" s="58"/>
      <c r="BJ60" s="52"/>
    </row>
    <row r="84" spans="60:63" x14ac:dyDescent="0.45">
      <c r="BH84" s="58"/>
      <c r="BI84" s="58" t="s">
        <v>158</v>
      </c>
      <c r="BJ84" s="58" t="s">
        <v>159</v>
      </c>
      <c r="BK84" t="s">
        <v>274</v>
      </c>
    </row>
    <row r="85" spans="60:63" x14ac:dyDescent="0.45">
      <c r="BH85" s="58" t="s">
        <v>307</v>
      </c>
      <c r="BI85" s="58">
        <v>80</v>
      </c>
      <c r="BJ85" s="52">
        <v>52.163848658533077</v>
      </c>
      <c r="BK85">
        <f>BI85/BJ85</f>
        <v>1.5336291714916135</v>
      </c>
    </row>
    <row r="87" spans="60:63" x14ac:dyDescent="0.45">
      <c r="BH87" s="58"/>
      <c r="BI87" s="58" t="s">
        <v>158</v>
      </c>
      <c r="BJ87" s="58" t="s">
        <v>159</v>
      </c>
      <c r="BK87" t="s">
        <v>274</v>
      </c>
    </row>
    <row r="88" spans="60:63" x14ac:dyDescent="0.45">
      <c r="BH88" s="58" t="s">
        <v>308</v>
      </c>
      <c r="BI88" s="58">
        <v>81</v>
      </c>
      <c r="BJ88" s="52">
        <v>53.366217366652137</v>
      </c>
      <c r="BK88">
        <f>BI88/BJ88</f>
        <v>1.5178141527905229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ABBE-7928-4F87-AD63-76937177DE66}">
  <dimension ref="A1:S39"/>
  <sheetViews>
    <sheetView topLeftCell="A4" workbookViewId="0">
      <selection activeCell="B2" sqref="B2:C39"/>
    </sheetView>
  </sheetViews>
  <sheetFormatPr defaultRowHeight="14.25" x14ac:dyDescent="0.45"/>
  <cols>
    <col min="2" max="2" width="14.73046875" bestFit="1" customWidth="1"/>
    <col min="3" max="3" width="14.59765625" bestFit="1" customWidth="1"/>
    <col min="4" max="4" width="15.19921875" bestFit="1" customWidth="1"/>
    <col min="5" max="5" width="13.33203125" bestFit="1" customWidth="1"/>
    <col min="9" max="9" width="9.9296875" bestFit="1" customWidth="1"/>
    <col min="10" max="10" width="11.59765625" customWidth="1"/>
    <col min="11" max="11" width="11.265625" customWidth="1"/>
    <col min="19" max="19" width="10.19921875" bestFit="1" customWidth="1"/>
  </cols>
  <sheetData>
    <row r="1" spans="1:19" x14ac:dyDescent="0.45">
      <c r="B1" t="s">
        <v>158</v>
      </c>
      <c r="C1" t="s">
        <v>159</v>
      </c>
      <c r="D1" t="s">
        <v>234</v>
      </c>
      <c r="E1" t="s">
        <v>272</v>
      </c>
      <c r="G1" t="s">
        <v>160</v>
      </c>
      <c r="H1" t="s">
        <v>161</v>
      </c>
      <c r="I1" t="s">
        <v>162</v>
      </c>
      <c r="J1" t="s">
        <v>163</v>
      </c>
      <c r="K1" t="s">
        <v>164</v>
      </c>
      <c r="L1" t="s">
        <v>165</v>
      </c>
      <c r="M1" t="s">
        <v>166</v>
      </c>
      <c r="N1" t="s">
        <v>167</v>
      </c>
      <c r="O1" t="s">
        <v>132</v>
      </c>
      <c r="P1" t="s">
        <v>133</v>
      </c>
      <c r="Q1" t="s">
        <v>134</v>
      </c>
    </row>
    <row r="2" spans="1:19" x14ac:dyDescent="0.45">
      <c r="A2" s="58" t="s">
        <v>157</v>
      </c>
      <c r="B2">
        <f>D2</f>
        <v>1</v>
      </c>
      <c r="C2">
        <f>E2</f>
        <v>1.9339045287637699</v>
      </c>
      <c r="D2" cm="1">
        <f t="array" ref="D2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1</v>
      </c>
      <c r="E2">
        <f>IF(Table3[[#This Row],[HomeTeam]]="Real Madrid",Table3[[#This Row],[ProbH]]*3+Table3[[#This Row],[ProbD]]*1,Table3[[#This Row],[ProbA]]*3+Table3[[#This Row],[ProbD]]*1)</f>
        <v>1.9339045287637699</v>
      </c>
      <c r="G2" t="s">
        <v>311</v>
      </c>
      <c r="H2" t="s">
        <v>312</v>
      </c>
      <c r="I2" s="76">
        <v>44094</v>
      </c>
      <c r="J2" t="s">
        <v>316</v>
      </c>
      <c r="K2" t="s">
        <v>74</v>
      </c>
      <c r="L2">
        <v>0</v>
      </c>
      <c r="M2">
        <v>0</v>
      </c>
      <c r="N2" t="s">
        <v>172</v>
      </c>
      <c r="O2">
        <v>0.19216646266829859</v>
      </c>
      <c r="P2">
        <v>0.24479804161566701</v>
      </c>
      <c r="Q2">
        <v>0.56303549571603428</v>
      </c>
      <c r="S2" s="75">
        <v>44256</v>
      </c>
    </row>
    <row r="3" spans="1:19" x14ac:dyDescent="0.45">
      <c r="A3" s="58" t="s">
        <v>235</v>
      </c>
      <c r="B3">
        <f>B2+D3</f>
        <v>4</v>
      </c>
      <c r="C3">
        <f>C2+E3</f>
        <v>3.7764971213563623</v>
      </c>
      <c r="D3" cm="1">
        <f t="array" ref="D3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3">
        <f>IF(Table3[[#This Row],[HomeTeam]]="Real Madrid",Table3[[#This Row],[ProbH]]*3+Table3[[#This Row],[ProbD]]*1,Table3[[#This Row],[ProbA]]*3+Table3[[#This Row],[ProbD]]*1)</f>
        <v>1.8425925925925926</v>
      </c>
      <c r="G3" t="s">
        <v>311</v>
      </c>
      <c r="H3" t="s">
        <v>312</v>
      </c>
      <c r="I3" s="76">
        <v>44100</v>
      </c>
      <c r="J3" t="s">
        <v>68</v>
      </c>
      <c r="K3" t="s">
        <v>74</v>
      </c>
      <c r="L3">
        <v>2</v>
      </c>
      <c r="M3">
        <v>3</v>
      </c>
      <c r="N3" t="s">
        <v>180</v>
      </c>
      <c r="O3">
        <v>0.23148148148148151</v>
      </c>
      <c r="P3">
        <v>0.23148148148148151</v>
      </c>
      <c r="Q3">
        <v>0.53703703703703709</v>
      </c>
      <c r="S3" s="75">
        <v>44104</v>
      </c>
    </row>
    <row r="4" spans="1:19" x14ac:dyDescent="0.45">
      <c r="A4" s="58" t="s">
        <v>236</v>
      </c>
      <c r="B4">
        <f t="shared" ref="B4:B39" si="0">B3+D4</f>
        <v>7</v>
      </c>
      <c r="C4">
        <f t="shared" ref="C4:C39" si="1">C3+E4</f>
        <v>6.2991829965012531</v>
      </c>
      <c r="D4" cm="1">
        <f t="array" ref="D4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4">
        <f>IF(Table3[[#This Row],[HomeTeam]]="Real Madrid",Table3[[#This Row],[ProbH]]*3+Table3[[#This Row],[ProbD]]*1,Table3[[#This Row],[ProbA]]*3+Table3[[#This Row],[ProbD]]*1)</f>
        <v>2.5226858751448913</v>
      </c>
      <c r="G4" t="s">
        <v>311</v>
      </c>
      <c r="H4" t="s">
        <v>312</v>
      </c>
      <c r="I4" s="76">
        <v>44104</v>
      </c>
      <c r="J4" t="s">
        <v>74</v>
      </c>
      <c r="K4" t="s">
        <v>322</v>
      </c>
      <c r="L4">
        <v>1</v>
      </c>
      <c r="M4">
        <v>0</v>
      </c>
      <c r="N4" t="s">
        <v>175</v>
      </c>
      <c r="O4">
        <v>0.79392283490644144</v>
      </c>
      <c r="P4">
        <v>0.1409173704255671</v>
      </c>
      <c r="Q4">
        <v>6.5159794667991391E-2</v>
      </c>
      <c r="S4" s="75">
        <v>44325</v>
      </c>
    </row>
    <row r="5" spans="1:19" x14ac:dyDescent="0.45">
      <c r="A5" s="58" t="s">
        <v>237</v>
      </c>
      <c r="B5">
        <f t="shared" si="0"/>
        <v>10</v>
      </c>
      <c r="C5">
        <f t="shared" si="1"/>
        <v>8.4473311446494002</v>
      </c>
      <c r="D5" cm="1">
        <f t="array" ref="D5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5">
        <f>IF(Table3[[#This Row],[HomeTeam]]="Real Madrid",Table3[[#This Row],[ProbH]]*3+Table3[[#This Row],[ProbD]]*1,Table3[[#This Row],[ProbA]]*3+Table3[[#This Row],[ProbD]]*1)</f>
        <v>2.1481481481481479</v>
      </c>
      <c r="G5" t="s">
        <v>311</v>
      </c>
      <c r="H5" t="s">
        <v>312</v>
      </c>
      <c r="I5" s="76">
        <v>44108</v>
      </c>
      <c r="J5" t="s">
        <v>325</v>
      </c>
      <c r="K5" t="s">
        <v>74</v>
      </c>
      <c r="L5">
        <v>0</v>
      </c>
      <c r="M5">
        <v>2</v>
      </c>
      <c r="N5" t="s">
        <v>180</v>
      </c>
      <c r="O5">
        <v>0.1481481481481482</v>
      </c>
      <c r="P5">
        <v>0.20370370370370369</v>
      </c>
      <c r="Q5">
        <v>0.64814814814814814</v>
      </c>
      <c r="S5" s="75">
        <v>44198</v>
      </c>
    </row>
    <row r="6" spans="1:19" x14ac:dyDescent="0.45">
      <c r="A6" s="58" t="s">
        <v>238</v>
      </c>
      <c r="B6">
        <f t="shared" si="0"/>
        <v>10</v>
      </c>
      <c r="C6">
        <f t="shared" si="1"/>
        <v>11.056585920005871</v>
      </c>
      <c r="D6" cm="1">
        <f t="array" ref="D6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0</v>
      </c>
      <c r="E6">
        <f>IF(Table3[[#This Row],[HomeTeam]]="Real Madrid",Table3[[#This Row],[ProbH]]*3+Table3[[#This Row],[ProbD]]*1,Table3[[#This Row],[ProbA]]*3+Table3[[#This Row],[ProbD]]*1)</f>
        <v>2.6092547753564705</v>
      </c>
      <c r="G6" t="s">
        <v>311</v>
      </c>
      <c r="H6" t="s">
        <v>312</v>
      </c>
      <c r="I6" s="76">
        <v>44121</v>
      </c>
      <c r="J6" t="s">
        <v>74</v>
      </c>
      <c r="K6" t="s">
        <v>321</v>
      </c>
      <c r="L6">
        <v>0</v>
      </c>
      <c r="M6">
        <v>1</v>
      </c>
      <c r="N6" t="s">
        <v>180</v>
      </c>
      <c r="O6">
        <v>0.82846381490449295</v>
      </c>
      <c r="P6">
        <v>0.1238633306429916</v>
      </c>
      <c r="Q6">
        <v>4.7672854452515429E-2</v>
      </c>
      <c r="S6" s="75">
        <v>44310</v>
      </c>
    </row>
    <row r="7" spans="1:19" x14ac:dyDescent="0.45">
      <c r="A7" s="58" t="s">
        <v>239</v>
      </c>
      <c r="B7">
        <f t="shared" si="0"/>
        <v>13</v>
      </c>
      <c r="C7">
        <f t="shared" si="1"/>
        <v>12.093622957042907</v>
      </c>
      <c r="D7" cm="1">
        <f t="array" ref="D7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7">
        <f>IF(Table3[[#This Row],[HomeTeam]]="Real Madrid",Table3[[#This Row],[ProbH]]*3+Table3[[#This Row],[ProbD]]*1,Table3[[#This Row],[ProbA]]*3+Table3[[#This Row],[ProbD]]*1)</f>
        <v>1.0370370370370368</v>
      </c>
      <c r="G7" t="s">
        <v>311</v>
      </c>
      <c r="H7" t="s">
        <v>312</v>
      </c>
      <c r="I7" s="76">
        <v>44128</v>
      </c>
      <c r="J7" t="s">
        <v>147</v>
      </c>
      <c r="K7" t="s">
        <v>74</v>
      </c>
      <c r="L7">
        <v>1</v>
      </c>
      <c r="M7">
        <v>3</v>
      </c>
      <c r="N7" t="s">
        <v>180</v>
      </c>
      <c r="O7">
        <v>0.48148148148148151</v>
      </c>
      <c r="P7">
        <v>0.25925925925925919</v>
      </c>
      <c r="Q7">
        <v>0.25925925925925919</v>
      </c>
      <c r="S7" s="75">
        <v>44296</v>
      </c>
    </row>
    <row r="8" spans="1:19" x14ac:dyDescent="0.45">
      <c r="A8" s="58" t="s">
        <v>240</v>
      </c>
      <c r="B8">
        <f t="shared" si="0"/>
        <v>16</v>
      </c>
      <c r="C8">
        <f t="shared" si="1"/>
        <v>14.468448910816228</v>
      </c>
      <c r="D8" cm="1">
        <f t="array" ref="D8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8">
        <f>IF(Table3[[#This Row],[HomeTeam]]="Real Madrid",Table3[[#This Row],[ProbH]]*3+Table3[[#This Row],[ProbD]]*1,Table3[[#This Row],[ProbA]]*3+Table3[[#This Row],[ProbD]]*1)</f>
        <v>2.3748259537733221</v>
      </c>
      <c r="G8" t="s">
        <v>311</v>
      </c>
      <c r="H8" t="s">
        <v>312</v>
      </c>
      <c r="I8" s="76">
        <v>44135</v>
      </c>
      <c r="J8" t="s">
        <v>74</v>
      </c>
      <c r="K8" t="s">
        <v>320</v>
      </c>
      <c r="L8">
        <v>4</v>
      </c>
      <c r="M8">
        <v>1</v>
      </c>
      <c r="N8" t="s">
        <v>175</v>
      </c>
      <c r="O8">
        <v>0.73405736563631296</v>
      </c>
      <c r="P8">
        <v>0.1726538568643832</v>
      </c>
      <c r="Q8">
        <v>9.328877749930381E-2</v>
      </c>
      <c r="S8" s="75">
        <v>44135</v>
      </c>
    </row>
    <row r="9" spans="1:19" x14ac:dyDescent="0.45">
      <c r="A9" s="58" t="s">
        <v>241</v>
      </c>
      <c r="B9">
        <f t="shared" si="0"/>
        <v>16</v>
      </c>
      <c r="C9">
        <f t="shared" si="1"/>
        <v>16.658809870687168</v>
      </c>
      <c r="D9" cm="1">
        <f t="array" ref="D9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0</v>
      </c>
      <c r="E9">
        <f>IF(Table3[[#This Row],[HomeTeam]]="Real Madrid",Table3[[#This Row],[ProbH]]*3+Table3[[#This Row],[ProbD]]*1,Table3[[#This Row],[ProbA]]*3+Table3[[#This Row],[ProbD]]*1)</f>
        <v>2.1903609598709415</v>
      </c>
      <c r="G9" t="s">
        <v>311</v>
      </c>
      <c r="H9" t="s">
        <v>312</v>
      </c>
      <c r="I9" s="76">
        <v>44143</v>
      </c>
      <c r="J9" t="s">
        <v>323</v>
      </c>
      <c r="K9" t="s">
        <v>74</v>
      </c>
      <c r="L9">
        <v>4</v>
      </c>
      <c r="M9">
        <v>1</v>
      </c>
      <c r="N9" t="s">
        <v>175</v>
      </c>
      <c r="O9">
        <v>0.1443839483766888</v>
      </c>
      <c r="P9">
        <v>0.18824359749949579</v>
      </c>
      <c r="Q9">
        <v>0.6673724541238153</v>
      </c>
      <c r="S9" s="75">
        <v>44163</v>
      </c>
    </row>
    <row r="10" spans="1:19" x14ac:dyDescent="0.45">
      <c r="A10" s="58" t="s">
        <v>242</v>
      </c>
      <c r="B10">
        <f t="shared" si="0"/>
        <v>17</v>
      </c>
      <c r="C10">
        <f t="shared" si="1"/>
        <v>18.180588572183456</v>
      </c>
      <c r="D10" cm="1">
        <f t="array" ref="D10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1</v>
      </c>
      <c r="E10">
        <f>IF(Table3[[#This Row],[HomeTeam]]="Real Madrid",Table3[[#This Row],[ProbH]]*3+Table3[[#This Row],[ProbD]]*1,Table3[[#This Row],[ProbA]]*3+Table3[[#This Row],[ProbD]]*1)</f>
        <v>1.5217787014962882</v>
      </c>
      <c r="G10" t="s">
        <v>311</v>
      </c>
      <c r="H10" t="s">
        <v>312</v>
      </c>
      <c r="I10" s="76">
        <v>44156</v>
      </c>
      <c r="J10" t="s">
        <v>314</v>
      </c>
      <c r="K10" t="s">
        <v>74</v>
      </c>
      <c r="L10">
        <v>1</v>
      </c>
      <c r="M10">
        <v>1</v>
      </c>
      <c r="N10" t="s">
        <v>172</v>
      </c>
      <c r="O10">
        <v>0.32975392410565713</v>
      </c>
      <c r="P10">
        <v>0.2444797630933703</v>
      </c>
      <c r="Q10">
        <v>0.4257663128009726</v>
      </c>
      <c r="S10" s="75">
        <v>44188</v>
      </c>
    </row>
    <row r="11" spans="1:19" x14ac:dyDescent="0.45">
      <c r="A11" s="58" t="s">
        <v>243</v>
      </c>
      <c r="B11">
        <f t="shared" si="0"/>
        <v>17</v>
      </c>
      <c r="C11">
        <f t="shared" si="1"/>
        <v>20.555414525956778</v>
      </c>
      <c r="D11" cm="1">
        <f t="array" ref="D11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0</v>
      </c>
      <c r="E11">
        <f>IF(Table3[[#This Row],[HomeTeam]]="Real Madrid",Table3[[#This Row],[ProbH]]*3+Table3[[#This Row],[ProbD]]*1,Table3[[#This Row],[ProbA]]*3+Table3[[#This Row],[ProbD]]*1)</f>
        <v>2.3748259537733221</v>
      </c>
      <c r="G11" t="s">
        <v>311</v>
      </c>
      <c r="H11" t="s">
        <v>312</v>
      </c>
      <c r="I11" s="76">
        <v>44163</v>
      </c>
      <c r="J11" t="s">
        <v>74</v>
      </c>
      <c r="K11" t="s">
        <v>319</v>
      </c>
      <c r="L11">
        <v>1</v>
      </c>
      <c r="M11">
        <v>2</v>
      </c>
      <c r="N11" t="s">
        <v>180</v>
      </c>
      <c r="O11">
        <v>0.73405736563631296</v>
      </c>
      <c r="P11">
        <v>0.1726538568643832</v>
      </c>
      <c r="Q11">
        <v>9.328877749930381E-2</v>
      </c>
      <c r="S11" s="75">
        <v>44226</v>
      </c>
    </row>
    <row r="12" spans="1:19" x14ac:dyDescent="0.45">
      <c r="A12" s="58" t="s">
        <v>244</v>
      </c>
      <c r="B12">
        <f t="shared" si="0"/>
        <v>20</v>
      </c>
      <c r="C12">
        <f t="shared" si="1"/>
        <v>21.877460381335965</v>
      </c>
      <c r="D12" cm="1">
        <f t="array" ref="D12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12">
        <f>IF(Table3[[#This Row],[HomeTeam]]="Real Madrid",Table3[[#This Row],[ProbH]]*3+Table3[[#This Row],[ProbD]]*1,Table3[[#This Row],[ProbA]]*3+Table3[[#This Row],[ProbD]]*1)</f>
        <v>1.3220458553791885</v>
      </c>
      <c r="G12" t="s">
        <v>311</v>
      </c>
      <c r="H12" t="s">
        <v>312</v>
      </c>
      <c r="I12" s="76">
        <v>44170</v>
      </c>
      <c r="J12" t="s">
        <v>317</v>
      </c>
      <c r="K12" t="s">
        <v>74</v>
      </c>
      <c r="L12">
        <v>0</v>
      </c>
      <c r="M12">
        <v>1</v>
      </c>
      <c r="N12" t="s">
        <v>180</v>
      </c>
      <c r="O12">
        <v>0.38130511463844802</v>
      </c>
      <c r="P12">
        <v>0.26701940035273358</v>
      </c>
      <c r="Q12">
        <v>0.35167548500881829</v>
      </c>
      <c r="S12" s="75">
        <v>44289</v>
      </c>
    </row>
    <row r="13" spans="1:19" x14ac:dyDescent="0.45">
      <c r="A13" s="58" t="s">
        <v>245</v>
      </c>
      <c r="B13">
        <f t="shared" si="0"/>
        <v>23</v>
      </c>
      <c r="C13">
        <f t="shared" si="1"/>
        <v>23.404313767936898</v>
      </c>
      <c r="D13" cm="1">
        <f t="array" ref="D13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13">
        <f>IF(Table3[[#This Row],[HomeTeam]]="Real Madrid",Table3[[#This Row],[ProbH]]*3+Table3[[#This Row],[ProbD]]*1,Table3[[#This Row],[ProbA]]*3+Table3[[#This Row],[ProbD]]*1)</f>
        <v>1.5268533866009324</v>
      </c>
      <c r="G13" t="s">
        <v>311</v>
      </c>
      <c r="H13" t="s">
        <v>312</v>
      </c>
      <c r="I13" s="76">
        <v>44177</v>
      </c>
      <c r="J13" t="s">
        <v>74</v>
      </c>
      <c r="K13" t="s">
        <v>313</v>
      </c>
      <c r="L13">
        <v>2</v>
      </c>
      <c r="M13">
        <v>0</v>
      </c>
      <c r="N13" t="s">
        <v>175</v>
      </c>
      <c r="O13">
        <v>0.41465142306657038</v>
      </c>
      <c r="P13">
        <v>0.2828991174012212</v>
      </c>
      <c r="Q13">
        <v>0.30244945953220848</v>
      </c>
      <c r="S13" s="75">
        <v>44317</v>
      </c>
    </row>
    <row r="14" spans="1:19" x14ac:dyDescent="0.45">
      <c r="A14" s="58" t="s">
        <v>246</v>
      </c>
      <c r="B14">
        <f t="shared" si="0"/>
        <v>26</v>
      </c>
      <c r="C14">
        <f t="shared" si="1"/>
        <v>25.518105367963237</v>
      </c>
      <c r="D14" cm="1">
        <f t="array" ref="D14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14">
        <f>IF(Table3[[#This Row],[HomeTeam]]="Real Madrid",Table3[[#This Row],[ProbH]]*3+Table3[[#This Row],[ProbD]]*1,Table3[[#This Row],[ProbA]]*3+Table3[[#This Row],[ProbD]]*1)</f>
        <v>2.1137916000263388</v>
      </c>
      <c r="G14" t="s">
        <v>311</v>
      </c>
      <c r="H14" t="s">
        <v>312</v>
      </c>
      <c r="I14" s="76">
        <v>44180</v>
      </c>
      <c r="J14" t="s">
        <v>74</v>
      </c>
      <c r="K14" t="s">
        <v>327</v>
      </c>
      <c r="L14">
        <v>3</v>
      </c>
      <c r="M14">
        <v>1</v>
      </c>
      <c r="N14" t="s">
        <v>175</v>
      </c>
      <c r="O14">
        <v>0.63410987226276971</v>
      </c>
      <c r="P14">
        <v>0.2114619832380297</v>
      </c>
      <c r="Q14">
        <v>0.1544281444992005</v>
      </c>
      <c r="S14" s="75">
        <v>44177</v>
      </c>
    </row>
    <row r="15" spans="1:19" x14ac:dyDescent="0.45">
      <c r="A15" s="58" t="s">
        <v>247</v>
      </c>
      <c r="B15">
        <f t="shared" si="0"/>
        <v>29</v>
      </c>
      <c r="C15">
        <f t="shared" si="1"/>
        <v>27.678056527914396</v>
      </c>
      <c r="D15" cm="1">
        <f t="array" ref="D15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15">
        <f>IF(Table3[[#This Row],[HomeTeam]]="Real Madrid",Table3[[#This Row],[ProbH]]*3+Table3[[#This Row],[ProbD]]*1,Table3[[#This Row],[ProbA]]*3+Table3[[#This Row],[ProbD]]*1)</f>
        <v>2.1599511599511598</v>
      </c>
      <c r="G15" t="s">
        <v>311</v>
      </c>
      <c r="H15" t="s">
        <v>312</v>
      </c>
      <c r="I15" s="76">
        <v>44185</v>
      </c>
      <c r="J15" t="s">
        <v>324</v>
      </c>
      <c r="K15" t="s">
        <v>74</v>
      </c>
      <c r="L15">
        <v>1</v>
      </c>
      <c r="M15">
        <v>3</v>
      </c>
      <c r="N15" t="s">
        <v>180</v>
      </c>
      <c r="O15">
        <v>0.1343101343101343</v>
      </c>
      <c r="P15">
        <v>0.2185592185592185</v>
      </c>
      <c r="Q15">
        <v>0.64713064713064705</v>
      </c>
      <c r="S15" s="75">
        <v>44241</v>
      </c>
    </row>
    <row r="16" spans="1:19" x14ac:dyDescent="0.45">
      <c r="A16" s="58" t="s">
        <v>248</v>
      </c>
      <c r="B16">
        <f t="shared" si="0"/>
        <v>32</v>
      </c>
      <c r="C16">
        <f t="shared" si="1"/>
        <v>30.052882481687718</v>
      </c>
      <c r="D16" cm="1">
        <f t="array" ref="D16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16">
        <f>IF(Table3[[#This Row],[HomeTeam]]="Real Madrid",Table3[[#This Row],[ProbH]]*3+Table3[[#This Row],[ProbD]]*1,Table3[[#This Row],[ProbA]]*3+Table3[[#This Row],[ProbD]]*1)</f>
        <v>2.3748259537733221</v>
      </c>
      <c r="G16" t="s">
        <v>311</v>
      </c>
      <c r="H16" t="s">
        <v>312</v>
      </c>
      <c r="I16" s="76">
        <v>44188</v>
      </c>
      <c r="J16" t="s">
        <v>74</v>
      </c>
      <c r="K16" t="s">
        <v>71</v>
      </c>
      <c r="L16">
        <v>2</v>
      </c>
      <c r="M16">
        <v>0</v>
      </c>
      <c r="N16" t="s">
        <v>175</v>
      </c>
      <c r="O16">
        <v>0.73405736563631296</v>
      </c>
      <c r="P16">
        <v>0.1726538568643832</v>
      </c>
      <c r="Q16">
        <v>9.328877749930381E-2</v>
      </c>
      <c r="S16" s="75">
        <v>44180</v>
      </c>
    </row>
    <row r="17" spans="1:19" x14ac:dyDescent="0.45">
      <c r="A17" s="58" t="s">
        <v>249</v>
      </c>
      <c r="B17">
        <f t="shared" si="0"/>
        <v>33</v>
      </c>
      <c r="C17">
        <f t="shared" si="1"/>
        <v>32.534933763738998</v>
      </c>
      <c r="D17" cm="1">
        <f t="array" ref="D17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1</v>
      </c>
      <c r="E17">
        <f>IF(Table3[[#This Row],[HomeTeam]]="Real Madrid",Table3[[#This Row],[ProbH]]*3+Table3[[#This Row],[ProbD]]*1,Table3[[#This Row],[ProbA]]*3+Table3[[#This Row],[ProbD]]*1)</f>
        <v>2.4820512820512821</v>
      </c>
      <c r="G17" t="s">
        <v>311</v>
      </c>
      <c r="H17" t="s">
        <v>312</v>
      </c>
      <c r="I17" s="76">
        <v>44195</v>
      </c>
      <c r="J17" t="s">
        <v>326</v>
      </c>
      <c r="K17" t="s">
        <v>74</v>
      </c>
      <c r="L17">
        <v>1</v>
      </c>
      <c r="M17">
        <v>1</v>
      </c>
      <c r="N17" t="s">
        <v>172</v>
      </c>
      <c r="O17">
        <v>8.2051282051282051E-2</v>
      </c>
      <c r="P17">
        <v>0.13589743589743589</v>
      </c>
      <c r="Q17">
        <v>0.78205128205128205</v>
      </c>
      <c r="S17" s="75">
        <v>44236</v>
      </c>
    </row>
    <row r="18" spans="1:19" x14ac:dyDescent="0.45">
      <c r="A18" s="58" t="s">
        <v>250</v>
      </c>
      <c r="B18">
        <f t="shared" si="0"/>
        <v>36</v>
      </c>
      <c r="C18">
        <f t="shared" si="1"/>
        <v>34.750370860755041</v>
      </c>
      <c r="D18" cm="1">
        <f t="array" ref="D18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18">
        <f>IF(Table3[[#This Row],[HomeTeam]]="Real Madrid",Table3[[#This Row],[ProbH]]*3+Table3[[#This Row],[ProbD]]*1,Table3[[#This Row],[ProbA]]*3+Table3[[#This Row],[ProbD]]*1)</f>
        <v>2.2154370970160446</v>
      </c>
      <c r="G18" t="s">
        <v>311</v>
      </c>
      <c r="H18" t="s">
        <v>312</v>
      </c>
      <c r="I18" s="76">
        <v>44198</v>
      </c>
      <c r="J18" t="s">
        <v>74</v>
      </c>
      <c r="K18" t="s">
        <v>315</v>
      </c>
      <c r="L18">
        <v>2</v>
      </c>
      <c r="M18">
        <v>0</v>
      </c>
      <c r="N18" t="s">
        <v>175</v>
      </c>
      <c r="O18">
        <v>0.67483880641775384</v>
      </c>
      <c r="P18">
        <v>0.1909206777627831</v>
      </c>
      <c r="Q18">
        <v>0.13424051581946331</v>
      </c>
      <c r="S18" s="75">
        <v>44338</v>
      </c>
    </row>
    <row r="19" spans="1:19" x14ac:dyDescent="0.45">
      <c r="A19" s="58" t="s">
        <v>251</v>
      </c>
      <c r="B19">
        <f t="shared" si="0"/>
        <v>37</v>
      </c>
      <c r="C19">
        <f t="shared" si="1"/>
        <v>36.957825837720002</v>
      </c>
      <c r="D19" cm="1">
        <f t="array" ref="D19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1</v>
      </c>
      <c r="E19">
        <f>IF(Table3[[#This Row],[HomeTeam]]="Real Madrid",Table3[[#This Row],[ProbH]]*3+Table3[[#This Row],[ProbD]]*1,Table3[[#This Row],[ProbA]]*3+Table3[[#This Row],[ProbD]]*1)</f>
        <v>2.207454976964959</v>
      </c>
      <c r="G19" t="s">
        <v>311</v>
      </c>
      <c r="H19" t="s">
        <v>312</v>
      </c>
      <c r="I19" s="76">
        <v>44205</v>
      </c>
      <c r="J19" t="s">
        <v>318</v>
      </c>
      <c r="K19" t="s">
        <v>74</v>
      </c>
      <c r="L19">
        <v>0</v>
      </c>
      <c r="M19">
        <v>0</v>
      </c>
      <c r="N19" t="s">
        <v>172</v>
      </c>
      <c r="O19">
        <v>0.13583693982968029</v>
      </c>
      <c r="P19">
        <v>0.1925171017730001</v>
      </c>
      <c r="Q19">
        <v>0.67164595839731955</v>
      </c>
      <c r="S19" s="75">
        <v>44121</v>
      </c>
    </row>
    <row r="20" spans="1:19" x14ac:dyDescent="0.45">
      <c r="A20" s="58" t="s">
        <v>252</v>
      </c>
      <c r="B20">
        <f t="shared" si="0"/>
        <v>40</v>
      </c>
      <c r="C20">
        <f t="shared" si="1"/>
        <v>39.047021451761033</v>
      </c>
      <c r="D20" cm="1">
        <f t="array" ref="D20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20">
        <f>IF(Table3[[#This Row],[HomeTeam]]="Real Madrid",Table3[[#This Row],[ProbH]]*3+Table3[[#This Row],[ProbD]]*1,Table3[[#This Row],[ProbA]]*3+Table3[[#This Row],[ProbD]]*1)</f>
        <v>2.0891956140410284</v>
      </c>
      <c r="G20" t="s">
        <v>311</v>
      </c>
      <c r="H20" t="s">
        <v>312</v>
      </c>
      <c r="I20" s="76">
        <v>44219</v>
      </c>
      <c r="J20" t="s">
        <v>319</v>
      </c>
      <c r="K20" t="s">
        <v>74</v>
      </c>
      <c r="L20">
        <v>1</v>
      </c>
      <c r="M20">
        <v>4</v>
      </c>
      <c r="N20" t="s">
        <v>180</v>
      </c>
      <c r="O20">
        <v>0.162509397032231</v>
      </c>
      <c r="P20">
        <v>0.2116380974311392</v>
      </c>
      <c r="Q20">
        <v>0.62585250553662974</v>
      </c>
      <c r="S20" s="75">
        <v>44268</v>
      </c>
    </row>
    <row r="21" spans="1:19" x14ac:dyDescent="0.45">
      <c r="A21" s="58" t="s">
        <v>253</v>
      </c>
      <c r="B21">
        <f t="shared" si="0"/>
        <v>40</v>
      </c>
      <c r="C21">
        <f t="shared" si="1"/>
        <v>41.40621488990184</v>
      </c>
      <c r="D21" cm="1">
        <f t="array" ref="D21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0</v>
      </c>
      <c r="E21">
        <f>IF(Table3[[#This Row],[HomeTeam]]="Real Madrid",Table3[[#This Row],[ProbH]]*3+Table3[[#This Row],[ProbD]]*1,Table3[[#This Row],[ProbA]]*3+Table3[[#This Row],[ProbD]]*1)</f>
        <v>2.3591934381408066</v>
      </c>
      <c r="G21" t="s">
        <v>311</v>
      </c>
      <c r="H21" t="s">
        <v>312</v>
      </c>
      <c r="I21" s="76">
        <v>44226</v>
      </c>
      <c r="J21" t="s">
        <v>74</v>
      </c>
      <c r="K21" t="s">
        <v>325</v>
      </c>
      <c r="L21">
        <v>1</v>
      </c>
      <c r="M21">
        <v>2</v>
      </c>
      <c r="N21" t="s">
        <v>180</v>
      </c>
      <c r="O21">
        <v>0.73231373889268625</v>
      </c>
      <c r="P21">
        <v>0.16225222146274779</v>
      </c>
      <c r="Q21">
        <v>0.10543403964456589</v>
      </c>
      <c r="S21" s="75">
        <v>44128</v>
      </c>
    </row>
    <row r="22" spans="1:19" x14ac:dyDescent="0.45">
      <c r="A22" s="58" t="s">
        <v>254</v>
      </c>
      <c r="B22">
        <f t="shared" si="0"/>
        <v>43</v>
      </c>
      <c r="C22">
        <f t="shared" si="1"/>
        <v>43.632405366092314</v>
      </c>
      <c r="D22" cm="1">
        <f t="array" ref="D22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22">
        <f>IF(Table3[[#This Row],[HomeTeam]]="Real Madrid",Table3[[#This Row],[ProbH]]*3+Table3[[#This Row],[ProbD]]*1,Table3[[#This Row],[ProbA]]*3+Table3[[#This Row],[ProbD]]*1)</f>
        <v>2.2261904761904763</v>
      </c>
      <c r="G22" t="s">
        <v>311</v>
      </c>
      <c r="H22" t="s">
        <v>312</v>
      </c>
      <c r="I22" s="76">
        <v>44233</v>
      </c>
      <c r="J22" t="s">
        <v>320</v>
      </c>
      <c r="K22" t="s">
        <v>74</v>
      </c>
      <c r="L22">
        <v>1</v>
      </c>
      <c r="M22">
        <v>2</v>
      </c>
      <c r="N22" t="s">
        <v>180</v>
      </c>
      <c r="O22">
        <v>0.123015873015873</v>
      </c>
      <c r="P22">
        <v>0.20238095238095241</v>
      </c>
      <c r="Q22">
        <v>0.67460317460317454</v>
      </c>
      <c r="S22" s="75">
        <v>44195</v>
      </c>
    </row>
    <row r="23" spans="1:19" x14ac:dyDescent="0.45">
      <c r="A23" s="58" t="s">
        <v>255</v>
      </c>
      <c r="B23">
        <f t="shared" si="0"/>
        <v>46</v>
      </c>
      <c r="C23">
        <f t="shared" si="1"/>
        <v>45.766601779700494</v>
      </c>
      <c r="D23" cm="1">
        <f t="array" ref="D23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23">
        <f>IF(Table3[[#This Row],[HomeTeam]]="Real Madrid",Table3[[#This Row],[ProbH]]*3+Table3[[#This Row],[ProbD]]*1,Table3[[#This Row],[ProbA]]*3+Table3[[#This Row],[ProbD]]*1)</f>
        <v>2.1341964136081786</v>
      </c>
      <c r="G23" t="s">
        <v>311</v>
      </c>
      <c r="H23" t="s">
        <v>312</v>
      </c>
      <c r="I23" s="76">
        <v>44236</v>
      </c>
      <c r="J23" t="s">
        <v>74</v>
      </c>
      <c r="K23" t="s">
        <v>69</v>
      </c>
      <c r="L23">
        <v>2</v>
      </c>
      <c r="M23">
        <v>0</v>
      </c>
      <c r="N23" t="s">
        <v>175</v>
      </c>
      <c r="O23">
        <v>0.63444779621250214</v>
      </c>
      <c r="P23">
        <v>0.23085302497067201</v>
      </c>
      <c r="Q23">
        <v>0.13469917881682589</v>
      </c>
      <c r="S23" s="75">
        <v>44307</v>
      </c>
    </row>
    <row r="24" spans="1:19" x14ac:dyDescent="0.45">
      <c r="A24" s="58" t="s">
        <v>256</v>
      </c>
      <c r="B24">
        <f t="shared" si="0"/>
        <v>49</v>
      </c>
      <c r="C24">
        <f t="shared" si="1"/>
        <v>48.053569198246862</v>
      </c>
      <c r="D24" cm="1">
        <f t="array" ref="D24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24">
        <f>IF(Table3[[#This Row],[HomeTeam]]="Real Madrid",Table3[[#This Row],[ProbH]]*3+Table3[[#This Row],[ProbD]]*1,Table3[[#This Row],[ProbA]]*3+Table3[[#This Row],[ProbD]]*1)</f>
        <v>2.2869674185463662</v>
      </c>
      <c r="G24" t="s">
        <v>311</v>
      </c>
      <c r="H24" t="s">
        <v>312</v>
      </c>
      <c r="I24" s="76">
        <v>44241</v>
      </c>
      <c r="J24" t="s">
        <v>74</v>
      </c>
      <c r="K24" t="s">
        <v>323</v>
      </c>
      <c r="L24">
        <v>2</v>
      </c>
      <c r="M24">
        <v>0</v>
      </c>
      <c r="N24" t="s">
        <v>175</v>
      </c>
      <c r="O24">
        <v>0.69768170426065168</v>
      </c>
      <c r="P24">
        <v>0.19392230576441111</v>
      </c>
      <c r="Q24">
        <v>0.10839598997493741</v>
      </c>
      <c r="S24" s="75">
        <v>44094</v>
      </c>
    </row>
    <row r="25" spans="1:19" x14ac:dyDescent="0.45">
      <c r="A25" s="58" t="s">
        <v>257</v>
      </c>
      <c r="B25">
        <f t="shared" si="0"/>
        <v>52</v>
      </c>
      <c r="C25">
        <f t="shared" si="1"/>
        <v>50.126684335056268</v>
      </c>
      <c r="D25" cm="1">
        <f t="array" ref="D25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25">
        <f>IF(Table3[[#This Row],[HomeTeam]]="Real Madrid",Table3[[#This Row],[ProbH]]*3+Table3[[#This Row],[ProbD]]*1,Table3[[#This Row],[ProbA]]*3+Table3[[#This Row],[ProbD]]*1)</f>
        <v>2.0731151368094043</v>
      </c>
      <c r="G25" t="s">
        <v>311</v>
      </c>
      <c r="H25" t="s">
        <v>312</v>
      </c>
      <c r="I25" s="76">
        <v>44247</v>
      </c>
      <c r="J25" t="s">
        <v>322</v>
      </c>
      <c r="K25" t="s">
        <v>74</v>
      </c>
      <c r="L25">
        <v>0</v>
      </c>
      <c r="M25">
        <v>1</v>
      </c>
      <c r="N25" t="s">
        <v>180</v>
      </c>
      <c r="O25">
        <v>0.16286615012729661</v>
      </c>
      <c r="P25">
        <v>0.21914320640435289</v>
      </c>
      <c r="Q25">
        <v>0.61799064346835042</v>
      </c>
      <c r="S25" s="75">
        <v>44332</v>
      </c>
    </row>
    <row r="26" spans="1:19" x14ac:dyDescent="0.45">
      <c r="A26" s="58" t="s">
        <v>258</v>
      </c>
      <c r="B26">
        <f t="shared" si="0"/>
        <v>53</v>
      </c>
      <c r="C26">
        <f t="shared" si="1"/>
        <v>51.95409781410909</v>
      </c>
      <c r="D26" cm="1">
        <f t="array" ref="D26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1</v>
      </c>
      <c r="E26">
        <f>IF(Table3[[#This Row],[HomeTeam]]="Real Madrid",Table3[[#This Row],[ProbH]]*3+Table3[[#This Row],[ProbD]]*1,Table3[[#This Row],[ProbA]]*3+Table3[[#This Row],[ProbD]]*1)</f>
        <v>1.8274134790528231</v>
      </c>
      <c r="G26" t="s">
        <v>311</v>
      </c>
      <c r="H26" t="s">
        <v>312</v>
      </c>
      <c r="I26" s="76">
        <v>44256</v>
      </c>
      <c r="J26" t="s">
        <v>74</v>
      </c>
      <c r="K26" t="s">
        <v>316</v>
      </c>
      <c r="L26">
        <v>1</v>
      </c>
      <c r="M26">
        <v>1</v>
      </c>
      <c r="N26" t="s">
        <v>172</v>
      </c>
      <c r="O26">
        <v>0.53096539162112932</v>
      </c>
      <c r="P26">
        <v>0.23451730418943539</v>
      </c>
      <c r="Q26">
        <v>0.23451730418943539</v>
      </c>
      <c r="S26" s="75">
        <v>44262</v>
      </c>
    </row>
    <row r="27" spans="1:19" x14ac:dyDescent="0.45">
      <c r="A27" s="58" t="s">
        <v>259</v>
      </c>
      <c r="B27">
        <f t="shared" si="0"/>
        <v>54</v>
      </c>
      <c r="C27">
        <f t="shared" si="1"/>
        <v>53.257229323122949</v>
      </c>
      <c r="D27" cm="1">
        <f t="array" ref="D27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1</v>
      </c>
      <c r="E27">
        <f>IF(Table3[[#This Row],[HomeTeam]]="Real Madrid",Table3[[#This Row],[ProbH]]*3+Table3[[#This Row],[ProbD]]*1,Table3[[#This Row],[ProbA]]*3+Table3[[#This Row],[ProbD]]*1)</f>
        <v>1.3031315090138622</v>
      </c>
      <c r="G27" t="s">
        <v>311</v>
      </c>
      <c r="H27" t="s">
        <v>312</v>
      </c>
      <c r="I27" s="76">
        <v>44262</v>
      </c>
      <c r="J27" t="s">
        <v>313</v>
      </c>
      <c r="K27" t="s">
        <v>74</v>
      </c>
      <c r="L27">
        <v>1</v>
      </c>
      <c r="M27">
        <v>1</v>
      </c>
      <c r="N27" t="s">
        <v>172</v>
      </c>
      <c r="O27">
        <v>0.37315952021834381</v>
      </c>
      <c r="P27">
        <v>0.28869496516555337</v>
      </c>
      <c r="Q27">
        <v>0.33814551461610293</v>
      </c>
      <c r="S27" s="75">
        <v>44108</v>
      </c>
    </row>
    <row r="28" spans="1:19" x14ac:dyDescent="0.45">
      <c r="A28" s="58" t="s">
        <v>260</v>
      </c>
      <c r="B28">
        <f t="shared" si="0"/>
        <v>57</v>
      </c>
      <c r="C28">
        <f t="shared" si="1"/>
        <v>55.866484098479418</v>
      </c>
      <c r="D28" cm="1">
        <f t="array" ref="D28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28">
        <f>IF(Table3[[#This Row],[HomeTeam]]="Real Madrid",Table3[[#This Row],[ProbH]]*3+Table3[[#This Row],[ProbD]]*1,Table3[[#This Row],[ProbA]]*3+Table3[[#This Row],[ProbD]]*1)</f>
        <v>2.6092547753564705</v>
      </c>
      <c r="G28" t="s">
        <v>311</v>
      </c>
      <c r="H28" t="s">
        <v>312</v>
      </c>
      <c r="I28" s="76">
        <v>44268</v>
      </c>
      <c r="J28" t="s">
        <v>74</v>
      </c>
      <c r="K28" t="s">
        <v>326</v>
      </c>
      <c r="L28">
        <v>2</v>
      </c>
      <c r="M28">
        <v>1</v>
      </c>
      <c r="N28" t="s">
        <v>175</v>
      </c>
      <c r="O28">
        <v>0.82846381490449295</v>
      </c>
      <c r="P28">
        <v>0.1238633306429916</v>
      </c>
      <c r="Q28">
        <v>4.7672854452515429E-2</v>
      </c>
      <c r="S28" s="75">
        <v>44143</v>
      </c>
    </row>
    <row r="29" spans="1:19" x14ac:dyDescent="0.45">
      <c r="A29" s="58" t="s">
        <v>261</v>
      </c>
      <c r="B29">
        <f t="shared" si="0"/>
        <v>60</v>
      </c>
      <c r="C29">
        <f t="shared" si="1"/>
        <v>57.777547170251978</v>
      </c>
      <c r="D29" cm="1">
        <f t="array" ref="D29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29">
        <f>IF(Table3[[#This Row],[HomeTeam]]="Real Madrid",Table3[[#This Row],[ProbH]]*3+Table3[[#This Row],[ProbD]]*1,Table3[[#This Row],[ProbA]]*3+Table3[[#This Row],[ProbD]]*1)</f>
        <v>1.9110630717725621</v>
      </c>
      <c r="G29" t="s">
        <v>311</v>
      </c>
      <c r="H29" t="s">
        <v>312</v>
      </c>
      <c r="I29" s="76">
        <v>44275</v>
      </c>
      <c r="J29" t="s">
        <v>315</v>
      </c>
      <c r="K29" t="s">
        <v>74</v>
      </c>
      <c r="L29">
        <v>1</v>
      </c>
      <c r="M29">
        <v>3</v>
      </c>
      <c r="N29" t="s">
        <v>180</v>
      </c>
      <c r="O29">
        <v>0.2101661385323236</v>
      </c>
      <c r="P29">
        <v>0.22921925631523349</v>
      </c>
      <c r="Q29">
        <v>0.56061460515244288</v>
      </c>
      <c r="S29" s="75">
        <v>44205</v>
      </c>
    </row>
    <row r="30" spans="1:19" x14ac:dyDescent="0.45">
      <c r="A30" s="58" t="s">
        <v>262</v>
      </c>
      <c r="B30">
        <f t="shared" si="0"/>
        <v>63</v>
      </c>
      <c r="C30">
        <f t="shared" si="1"/>
        <v>60.136740608392785</v>
      </c>
      <c r="D30" cm="1">
        <f t="array" ref="D30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30">
        <f>IF(Table3[[#This Row],[HomeTeam]]="Real Madrid",Table3[[#This Row],[ProbH]]*3+Table3[[#This Row],[ProbD]]*1,Table3[[#This Row],[ProbA]]*3+Table3[[#This Row],[ProbD]]*1)</f>
        <v>2.3591934381408066</v>
      </c>
      <c r="G30" t="s">
        <v>311</v>
      </c>
      <c r="H30" t="s">
        <v>312</v>
      </c>
      <c r="I30" s="76">
        <v>44289</v>
      </c>
      <c r="J30" t="s">
        <v>74</v>
      </c>
      <c r="K30" t="s">
        <v>324</v>
      </c>
      <c r="L30">
        <v>2</v>
      </c>
      <c r="M30">
        <v>0</v>
      </c>
      <c r="N30" t="s">
        <v>175</v>
      </c>
      <c r="O30">
        <v>0.73231373889268625</v>
      </c>
      <c r="P30">
        <v>0.16225222146274779</v>
      </c>
      <c r="Q30">
        <v>0.10543403964456589</v>
      </c>
      <c r="S30" s="75">
        <v>44304</v>
      </c>
    </row>
    <row r="31" spans="1:19" x14ac:dyDescent="0.45">
      <c r="A31" s="58" t="s">
        <v>263</v>
      </c>
      <c r="B31">
        <f t="shared" si="0"/>
        <v>66</v>
      </c>
      <c r="C31">
        <f t="shared" si="1"/>
        <v>61.39788259379106</v>
      </c>
      <c r="D31" cm="1">
        <f t="array" ref="D31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31">
        <f>IF(Table3[[#This Row],[HomeTeam]]="Real Madrid",Table3[[#This Row],[ProbH]]*3+Table3[[#This Row],[ProbD]]*1,Table3[[#This Row],[ProbA]]*3+Table3[[#This Row],[ProbD]]*1)</f>
        <v>1.2611419853982779</v>
      </c>
      <c r="G31" t="s">
        <v>311</v>
      </c>
      <c r="H31" t="s">
        <v>312</v>
      </c>
      <c r="I31" s="76">
        <v>44296</v>
      </c>
      <c r="J31" t="s">
        <v>74</v>
      </c>
      <c r="K31" t="s">
        <v>147</v>
      </c>
      <c r="L31">
        <v>2</v>
      </c>
      <c r="M31">
        <v>1</v>
      </c>
      <c r="N31" t="s">
        <v>175</v>
      </c>
      <c r="O31">
        <v>0.33878173695107328</v>
      </c>
      <c r="P31">
        <v>0.24479677454505819</v>
      </c>
      <c r="Q31">
        <v>0.41642148850386829</v>
      </c>
      <c r="S31" s="75">
        <v>44156</v>
      </c>
    </row>
    <row r="32" spans="1:19" x14ac:dyDescent="0.45">
      <c r="A32" s="58" t="s">
        <v>264</v>
      </c>
      <c r="B32">
        <f t="shared" si="0"/>
        <v>67</v>
      </c>
      <c r="C32">
        <f t="shared" si="1"/>
        <v>63.455301503383879</v>
      </c>
      <c r="D32" cm="1">
        <f t="array" ref="D32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1</v>
      </c>
      <c r="E32">
        <f>IF(Table3[[#This Row],[HomeTeam]]="Real Madrid",Table3[[#This Row],[ProbH]]*3+Table3[[#This Row],[ProbD]]*1,Table3[[#This Row],[ProbA]]*3+Table3[[#This Row],[ProbD]]*1)</f>
        <v>2.0574189095928226</v>
      </c>
      <c r="G32" t="s">
        <v>311</v>
      </c>
      <c r="H32" t="s">
        <v>312</v>
      </c>
      <c r="I32" s="76">
        <v>44304</v>
      </c>
      <c r="J32" t="s">
        <v>69</v>
      </c>
      <c r="K32" t="s">
        <v>74</v>
      </c>
      <c r="L32">
        <v>0</v>
      </c>
      <c r="M32">
        <v>0</v>
      </c>
      <c r="N32" t="s">
        <v>172</v>
      </c>
      <c r="O32">
        <v>0.14851621808143539</v>
      </c>
      <c r="P32">
        <v>0.24851621808143551</v>
      </c>
      <c r="Q32">
        <v>0.60296756383712902</v>
      </c>
      <c r="S32" s="75">
        <v>44329</v>
      </c>
    </row>
    <row r="33" spans="1:19" x14ac:dyDescent="0.45">
      <c r="A33" s="58" t="s">
        <v>265</v>
      </c>
      <c r="B33">
        <f t="shared" si="0"/>
        <v>70</v>
      </c>
      <c r="C33">
        <f t="shared" si="1"/>
        <v>65.795801446051001</v>
      </c>
      <c r="D33" cm="1">
        <f t="array" ref="D33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33">
        <f>IF(Table3[[#This Row],[HomeTeam]]="Real Madrid",Table3[[#This Row],[ProbH]]*3+Table3[[#This Row],[ProbD]]*1,Table3[[#This Row],[ProbA]]*3+Table3[[#This Row],[ProbD]]*1)</f>
        <v>2.3404999426671251</v>
      </c>
      <c r="G33" t="s">
        <v>311</v>
      </c>
      <c r="H33" t="s">
        <v>312</v>
      </c>
      <c r="I33" s="76">
        <v>44307</v>
      </c>
      <c r="J33" t="s">
        <v>321</v>
      </c>
      <c r="K33" t="s">
        <v>74</v>
      </c>
      <c r="L33">
        <v>0</v>
      </c>
      <c r="M33">
        <v>3</v>
      </c>
      <c r="N33" t="s">
        <v>180</v>
      </c>
      <c r="O33">
        <v>9.2133929595229938E-2</v>
      </c>
      <c r="P33">
        <v>0.19154913427359249</v>
      </c>
      <c r="Q33">
        <v>0.71631693613117764</v>
      </c>
      <c r="S33" s="75">
        <v>44170</v>
      </c>
    </row>
    <row r="34" spans="1:19" x14ac:dyDescent="0.45">
      <c r="A34" s="58" t="s">
        <v>266</v>
      </c>
      <c r="B34">
        <f t="shared" si="0"/>
        <v>71</v>
      </c>
      <c r="C34">
        <f t="shared" si="1"/>
        <v>68.003256423015955</v>
      </c>
      <c r="D34" cm="1">
        <f t="array" ref="D34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1</v>
      </c>
      <c r="E34">
        <f>IF(Table3[[#This Row],[HomeTeam]]="Real Madrid",Table3[[#This Row],[ProbH]]*3+Table3[[#This Row],[ProbD]]*1,Table3[[#This Row],[ProbA]]*3+Table3[[#This Row],[ProbD]]*1)</f>
        <v>2.207454976964959</v>
      </c>
      <c r="G34" t="s">
        <v>311</v>
      </c>
      <c r="H34" t="s">
        <v>312</v>
      </c>
      <c r="I34" s="76">
        <v>44310</v>
      </c>
      <c r="J34" t="s">
        <v>74</v>
      </c>
      <c r="K34" t="s">
        <v>68</v>
      </c>
      <c r="L34">
        <v>0</v>
      </c>
      <c r="M34">
        <v>0</v>
      </c>
      <c r="N34" t="s">
        <v>172</v>
      </c>
      <c r="O34">
        <v>0.67164595839731955</v>
      </c>
      <c r="P34">
        <v>0.1925171017730001</v>
      </c>
      <c r="Q34">
        <v>0.13583693982968029</v>
      </c>
      <c r="S34" s="75">
        <v>44275</v>
      </c>
    </row>
    <row r="35" spans="1:19" x14ac:dyDescent="0.45">
      <c r="A35" s="58" t="s">
        <v>267</v>
      </c>
      <c r="B35">
        <f t="shared" si="0"/>
        <v>74</v>
      </c>
      <c r="C35">
        <f t="shared" si="1"/>
        <v>70.338550540663007</v>
      </c>
      <c r="D35" cm="1">
        <f t="array" ref="D35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35">
        <f>IF(Table3[[#This Row],[HomeTeam]]="Real Madrid",Table3[[#This Row],[ProbH]]*3+Table3[[#This Row],[ProbD]]*1,Table3[[#This Row],[ProbA]]*3+Table3[[#This Row],[ProbD]]*1)</f>
        <v>2.3352941176470585</v>
      </c>
      <c r="G35" t="s">
        <v>311</v>
      </c>
      <c r="H35" t="s">
        <v>312</v>
      </c>
      <c r="I35" s="76">
        <v>44317</v>
      </c>
      <c r="J35" t="s">
        <v>74</v>
      </c>
      <c r="K35" t="s">
        <v>318</v>
      </c>
      <c r="L35">
        <v>2</v>
      </c>
      <c r="M35">
        <v>0</v>
      </c>
      <c r="N35" t="s">
        <v>175</v>
      </c>
      <c r="O35">
        <v>0.7176470588235293</v>
      </c>
      <c r="P35">
        <v>0.18235294117647061</v>
      </c>
      <c r="Q35">
        <v>9.9999999999999992E-2</v>
      </c>
      <c r="S35" s="75">
        <v>44219</v>
      </c>
    </row>
    <row r="36" spans="1:19" x14ac:dyDescent="0.45">
      <c r="A36" s="58" t="s">
        <v>268</v>
      </c>
      <c r="B36">
        <f t="shared" si="0"/>
        <v>75</v>
      </c>
      <c r="C36">
        <f t="shared" si="1"/>
        <v>72.10463241200803</v>
      </c>
      <c r="D36" cm="1">
        <f t="array" ref="D36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1</v>
      </c>
      <c r="E36">
        <f>IF(Table3[[#This Row],[HomeTeam]]="Real Madrid",Table3[[#This Row],[ProbH]]*3+Table3[[#This Row],[ProbD]]*1,Table3[[#This Row],[ProbA]]*3+Table3[[#This Row],[ProbD]]*1)</f>
        <v>1.766081871345029</v>
      </c>
      <c r="G36" t="s">
        <v>311</v>
      </c>
      <c r="H36" t="s">
        <v>312</v>
      </c>
      <c r="I36" s="76">
        <v>44325</v>
      </c>
      <c r="J36" t="s">
        <v>74</v>
      </c>
      <c r="K36" t="s">
        <v>317</v>
      </c>
      <c r="L36">
        <v>2</v>
      </c>
      <c r="M36">
        <v>2</v>
      </c>
      <c r="N36" t="s">
        <v>172</v>
      </c>
      <c r="O36">
        <v>0.50643274853801168</v>
      </c>
      <c r="P36">
        <v>0.24678362573099419</v>
      </c>
      <c r="Q36">
        <v>0.24678362573099419</v>
      </c>
      <c r="S36" s="75">
        <v>44247</v>
      </c>
    </row>
    <row r="37" spans="1:19" x14ac:dyDescent="0.45">
      <c r="A37" s="58" t="s">
        <v>269</v>
      </c>
      <c r="B37">
        <f t="shared" si="0"/>
        <v>78</v>
      </c>
      <c r="C37">
        <f t="shared" si="1"/>
        <v>74.387701195076815</v>
      </c>
      <c r="D37" cm="1">
        <f t="array" ref="D37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37">
        <f>IF(Table3[[#This Row],[HomeTeam]]="Real Madrid",Table3[[#This Row],[ProbH]]*3+Table3[[#This Row],[ProbD]]*1,Table3[[#This Row],[ProbA]]*3+Table3[[#This Row],[ProbD]]*1)</f>
        <v>2.2830687830687832</v>
      </c>
      <c r="G37" t="s">
        <v>311</v>
      </c>
      <c r="H37" t="s">
        <v>312</v>
      </c>
      <c r="I37" s="76">
        <v>44329</v>
      </c>
      <c r="J37" t="s">
        <v>71</v>
      </c>
      <c r="K37" t="s">
        <v>74</v>
      </c>
      <c r="L37">
        <v>1</v>
      </c>
      <c r="M37">
        <v>4</v>
      </c>
      <c r="N37" t="s">
        <v>180</v>
      </c>
      <c r="O37">
        <v>0.10449735449735451</v>
      </c>
      <c r="P37">
        <v>0.20171957671957669</v>
      </c>
      <c r="Q37">
        <v>0.69378306878306883</v>
      </c>
      <c r="S37" s="75">
        <v>44185</v>
      </c>
    </row>
    <row r="38" spans="1:19" x14ac:dyDescent="0.45">
      <c r="A38" s="58" t="s">
        <v>270</v>
      </c>
      <c r="B38">
        <f t="shared" si="0"/>
        <v>81</v>
      </c>
      <c r="C38">
        <f t="shared" si="1"/>
        <v>76.416669449045074</v>
      </c>
      <c r="D38" cm="1">
        <f t="array" ref="D38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38">
        <f>IF(Table3[[#This Row],[HomeTeam]]="Real Madrid",Table3[[#This Row],[ProbH]]*3+Table3[[#This Row],[ProbD]]*1,Table3[[#This Row],[ProbA]]*3+Table3[[#This Row],[ProbD]]*1)</f>
        <v>2.0289682539682539</v>
      </c>
      <c r="G38" t="s">
        <v>311</v>
      </c>
      <c r="H38" t="s">
        <v>312</v>
      </c>
      <c r="I38" s="76">
        <v>44332</v>
      </c>
      <c r="J38" t="s">
        <v>327</v>
      </c>
      <c r="K38" t="s">
        <v>74</v>
      </c>
      <c r="L38">
        <v>0</v>
      </c>
      <c r="M38">
        <v>1</v>
      </c>
      <c r="N38" t="s">
        <v>180</v>
      </c>
      <c r="O38">
        <v>0.178968253968254</v>
      </c>
      <c r="P38">
        <v>0.21706349206349199</v>
      </c>
      <c r="Q38">
        <v>0.60396825396825393</v>
      </c>
      <c r="S38" s="75">
        <v>44233</v>
      </c>
    </row>
    <row r="39" spans="1:19" x14ac:dyDescent="0.45">
      <c r="A39" s="58" t="s">
        <v>271</v>
      </c>
      <c r="B39">
        <f t="shared" si="0"/>
        <v>84</v>
      </c>
      <c r="C39">
        <f t="shared" si="1"/>
        <v>78.668684101059725</v>
      </c>
      <c r="D39" cm="1">
        <f t="array" ref="D39">IF(Table3[[#This Row],[HomeTeam]]="Real Madrid",_xlfn.IFS(Table3[[#This Row],[FTR]]="H",3,Table3[[#This Row],[FTR]]="D",1,Table3[[#This Row],[FTR]]="A",0),_xlfn.IFS(Table3[[#This Row],[FTR]]="A",3,Table3[[#This Row],[FTR]]="D",1,Table3[[#This Row],[FTR]]="H",0))</f>
        <v>3</v>
      </c>
      <c r="E39">
        <f>IF(Table3[[#This Row],[HomeTeam]]="Real Madrid",Table3[[#This Row],[ProbH]]*3+Table3[[#This Row],[ProbD]]*1,Table3[[#This Row],[ProbA]]*3+Table3[[#This Row],[ProbD]]*1)</f>
        <v>2.2520146520146516</v>
      </c>
      <c r="G39" t="s">
        <v>311</v>
      </c>
      <c r="H39" t="s">
        <v>312</v>
      </c>
      <c r="I39" s="76">
        <v>44338</v>
      </c>
      <c r="J39" t="s">
        <v>74</v>
      </c>
      <c r="K39" t="s">
        <v>314</v>
      </c>
      <c r="L39">
        <v>2</v>
      </c>
      <c r="M39">
        <v>1</v>
      </c>
      <c r="N39" t="s">
        <v>175</v>
      </c>
      <c r="O39">
        <v>0.69157509157509156</v>
      </c>
      <c r="P39">
        <v>0.17728937728937719</v>
      </c>
      <c r="Q39">
        <v>0.13113553113553111</v>
      </c>
      <c r="S39" s="75">
        <v>44100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F9688-E9E7-47B4-912A-ECD9942BB4E9}">
  <dimension ref="A1:BR39"/>
  <sheetViews>
    <sheetView zoomScale="60" zoomScaleNormal="60" workbookViewId="0">
      <selection activeCell="I27" sqref="I27"/>
    </sheetView>
  </sheetViews>
  <sheetFormatPr defaultRowHeight="14.25" x14ac:dyDescent="0.45"/>
  <sheetData>
    <row r="1" spans="1:70" x14ac:dyDescent="0.45">
      <c r="B1" t="s">
        <v>158</v>
      </c>
      <c r="C1" t="s">
        <v>159</v>
      </c>
      <c r="F1" t="s">
        <v>158</v>
      </c>
      <c r="G1" t="s">
        <v>159</v>
      </c>
      <c r="AL1" t="s">
        <v>158</v>
      </c>
      <c r="AM1" t="s">
        <v>159</v>
      </c>
      <c r="BQ1" t="s">
        <v>158</v>
      </c>
      <c r="BR1" t="s">
        <v>159</v>
      </c>
    </row>
    <row r="2" spans="1:70" x14ac:dyDescent="0.45">
      <c r="A2" t="s">
        <v>157</v>
      </c>
      <c r="B2">
        <v>1</v>
      </c>
      <c r="C2" s="74">
        <v>1.9339045287637699</v>
      </c>
      <c r="E2" t="s">
        <v>157</v>
      </c>
      <c r="F2">
        <v>1</v>
      </c>
      <c r="G2" s="74">
        <v>1.9339045287637699</v>
      </c>
      <c r="AK2" t="s">
        <v>249</v>
      </c>
      <c r="AL2">
        <v>33</v>
      </c>
      <c r="AM2" s="74">
        <v>32.534933763738998</v>
      </c>
      <c r="BP2" t="s">
        <v>264</v>
      </c>
      <c r="BQ2">
        <v>67</v>
      </c>
      <c r="BR2" s="74">
        <v>63.455301503383879</v>
      </c>
    </row>
    <row r="3" spans="1:70" x14ac:dyDescent="0.45">
      <c r="A3" t="s">
        <v>235</v>
      </c>
      <c r="B3">
        <v>4</v>
      </c>
      <c r="C3" s="74">
        <v>3.7764971213563623</v>
      </c>
      <c r="F3" t="s">
        <v>158</v>
      </c>
      <c r="G3" t="s">
        <v>159</v>
      </c>
      <c r="AL3" t="s">
        <v>158</v>
      </c>
      <c r="AM3" t="s">
        <v>159</v>
      </c>
      <c r="BQ3" t="s">
        <v>158</v>
      </c>
      <c r="BR3" t="s">
        <v>159</v>
      </c>
    </row>
    <row r="4" spans="1:70" x14ac:dyDescent="0.45">
      <c r="A4" t="s">
        <v>236</v>
      </c>
      <c r="B4">
        <v>7</v>
      </c>
      <c r="C4" s="74">
        <v>6.2991829965012531</v>
      </c>
      <c r="E4" t="s">
        <v>235</v>
      </c>
      <c r="F4">
        <v>4</v>
      </c>
      <c r="G4" s="74">
        <v>3.7764971213563623</v>
      </c>
      <c r="AK4" t="s">
        <v>250</v>
      </c>
      <c r="AL4">
        <v>36</v>
      </c>
      <c r="AM4" s="74">
        <v>34.750370860755041</v>
      </c>
      <c r="BP4" t="s">
        <v>265</v>
      </c>
      <c r="BQ4">
        <v>70</v>
      </c>
      <c r="BR4" s="74">
        <v>65.795801446051001</v>
      </c>
    </row>
    <row r="5" spans="1:70" x14ac:dyDescent="0.45">
      <c r="A5" t="s">
        <v>237</v>
      </c>
      <c r="B5">
        <v>10</v>
      </c>
      <c r="C5" s="74">
        <v>8.4473311446494002</v>
      </c>
      <c r="F5" t="s">
        <v>158</v>
      </c>
      <c r="G5" t="s">
        <v>159</v>
      </c>
      <c r="AL5" t="s">
        <v>158</v>
      </c>
      <c r="AM5" t="s">
        <v>159</v>
      </c>
      <c r="BQ5" t="s">
        <v>158</v>
      </c>
      <c r="BR5" t="s">
        <v>159</v>
      </c>
    </row>
    <row r="6" spans="1:70" x14ac:dyDescent="0.45">
      <c r="A6" t="s">
        <v>238</v>
      </c>
      <c r="B6">
        <v>10</v>
      </c>
      <c r="C6" s="74">
        <v>11.056585920005871</v>
      </c>
      <c r="E6" t="s">
        <v>236</v>
      </c>
      <c r="F6">
        <v>7</v>
      </c>
      <c r="G6" s="74">
        <v>6.2991829965012531</v>
      </c>
      <c r="AK6" t="s">
        <v>251</v>
      </c>
      <c r="AL6">
        <v>37</v>
      </c>
      <c r="AM6" s="74">
        <v>36.957825837720002</v>
      </c>
      <c r="BP6" t="s">
        <v>266</v>
      </c>
      <c r="BQ6">
        <v>71</v>
      </c>
      <c r="BR6" s="74">
        <v>68.003256423015955</v>
      </c>
    </row>
    <row r="7" spans="1:70" x14ac:dyDescent="0.45">
      <c r="A7" t="s">
        <v>239</v>
      </c>
      <c r="B7">
        <v>13</v>
      </c>
      <c r="C7" s="74">
        <v>12.093622957042907</v>
      </c>
      <c r="F7" t="s">
        <v>158</v>
      </c>
      <c r="G7" t="s">
        <v>159</v>
      </c>
      <c r="AL7" t="s">
        <v>158</v>
      </c>
      <c r="AM7" t="s">
        <v>159</v>
      </c>
      <c r="BQ7" t="s">
        <v>158</v>
      </c>
      <c r="BR7" t="s">
        <v>159</v>
      </c>
    </row>
    <row r="8" spans="1:70" x14ac:dyDescent="0.45">
      <c r="A8" t="s">
        <v>240</v>
      </c>
      <c r="B8">
        <v>16</v>
      </c>
      <c r="C8" s="74">
        <v>14.468448910816228</v>
      </c>
      <c r="E8" t="s">
        <v>237</v>
      </c>
      <c r="F8">
        <v>10</v>
      </c>
      <c r="G8" s="74">
        <v>8.4473311446494002</v>
      </c>
      <c r="AK8" t="s">
        <v>252</v>
      </c>
      <c r="AL8">
        <v>40</v>
      </c>
      <c r="AM8" s="74">
        <v>39.047021451761033</v>
      </c>
      <c r="BP8" t="s">
        <v>267</v>
      </c>
      <c r="BQ8">
        <v>74</v>
      </c>
      <c r="BR8" s="74">
        <v>70.338550540663007</v>
      </c>
    </row>
    <row r="9" spans="1:70" x14ac:dyDescent="0.45">
      <c r="A9" t="s">
        <v>241</v>
      </c>
      <c r="B9">
        <v>16</v>
      </c>
      <c r="C9" s="74">
        <v>16.658809870687168</v>
      </c>
      <c r="F9" t="s">
        <v>158</v>
      </c>
      <c r="G9" t="s">
        <v>159</v>
      </c>
      <c r="AL9" t="s">
        <v>158</v>
      </c>
      <c r="AM9" t="s">
        <v>159</v>
      </c>
      <c r="BQ9" t="s">
        <v>158</v>
      </c>
      <c r="BR9" t="s">
        <v>159</v>
      </c>
    </row>
    <row r="10" spans="1:70" x14ac:dyDescent="0.45">
      <c r="A10" t="s">
        <v>242</v>
      </c>
      <c r="B10">
        <v>17</v>
      </c>
      <c r="C10" s="74">
        <v>18.180588572183456</v>
      </c>
      <c r="E10" t="s">
        <v>238</v>
      </c>
      <c r="F10">
        <v>10</v>
      </c>
      <c r="G10" s="74">
        <v>11.056585920005871</v>
      </c>
      <c r="AK10" t="s">
        <v>253</v>
      </c>
      <c r="AL10">
        <v>40</v>
      </c>
      <c r="AM10" s="74">
        <v>41.40621488990184</v>
      </c>
      <c r="BP10" t="s">
        <v>268</v>
      </c>
      <c r="BQ10">
        <v>75</v>
      </c>
      <c r="BR10" s="74">
        <v>72.10463241200803</v>
      </c>
    </row>
    <row r="11" spans="1:70" x14ac:dyDescent="0.45">
      <c r="A11" t="s">
        <v>243</v>
      </c>
      <c r="B11">
        <v>17</v>
      </c>
      <c r="C11" s="74">
        <v>20.555414525956778</v>
      </c>
      <c r="F11" t="s">
        <v>158</v>
      </c>
      <c r="G11" t="s">
        <v>159</v>
      </c>
      <c r="AL11" t="s">
        <v>158</v>
      </c>
      <c r="AM11" t="s">
        <v>159</v>
      </c>
      <c r="BQ11" t="s">
        <v>158</v>
      </c>
      <c r="BR11" t="s">
        <v>159</v>
      </c>
    </row>
    <row r="12" spans="1:70" x14ac:dyDescent="0.45">
      <c r="A12" t="s">
        <v>244</v>
      </c>
      <c r="B12">
        <v>20</v>
      </c>
      <c r="C12" s="74">
        <v>21.877460381335965</v>
      </c>
      <c r="E12" t="s">
        <v>239</v>
      </c>
      <c r="F12">
        <v>13</v>
      </c>
      <c r="G12" s="74">
        <v>12.093622957042907</v>
      </c>
      <c r="AK12" t="s">
        <v>254</v>
      </c>
      <c r="AL12">
        <v>43</v>
      </c>
      <c r="AM12" s="74">
        <v>43.632405366092314</v>
      </c>
      <c r="BP12" t="s">
        <v>269</v>
      </c>
      <c r="BQ12">
        <v>78</v>
      </c>
      <c r="BR12" s="74">
        <v>74.387701195076815</v>
      </c>
    </row>
    <row r="13" spans="1:70" x14ac:dyDescent="0.45">
      <c r="A13" t="s">
        <v>245</v>
      </c>
      <c r="B13">
        <v>23</v>
      </c>
      <c r="C13" s="74">
        <v>23.404313767936898</v>
      </c>
      <c r="F13" t="s">
        <v>158</v>
      </c>
      <c r="G13" t="s">
        <v>159</v>
      </c>
      <c r="AL13" t="s">
        <v>158</v>
      </c>
      <c r="AM13" t="s">
        <v>159</v>
      </c>
      <c r="BQ13" t="s">
        <v>158</v>
      </c>
      <c r="BR13" t="s">
        <v>159</v>
      </c>
    </row>
    <row r="14" spans="1:70" x14ac:dyDescent="0.45">
      <c r="A14" t="s">
        <v>246</v>
      </c>
      <c r="B14">
        <v>26</v>
      </c>
      <c r="C14" s="74">
        <v>25.518105367963237</v>
      </c>
      <c r="E14" t="s">
        <v>240</v>
      </c>
      <c r="F14">
        <v>16</v>
      </c>
      <c r="G14" s="74">
        <v>14.468448910816228</v>
      </c>
      <c r="AK14" t="s">
        <v>255</v>
      </c>
      <c r="AL14">
        <v>46</v>
      </c>
      <c r="AM14" s="74">
        <v>45.766601779700494</v>
      </c>
      <c r="BP14" t="s">
        <v>270</v>
      </c>
      <c r="BQ14">
        <v>81</v>
      </c>
      <c r="BR14" s="74">
        <v>76.416669449045074</v>
      </c>
    </row>
    <row r="15" spans="1:70" x14ac:dyDescent="0.45">
      <c r="A15" t="s">
        <v>247</v>
      </c>
      <c r="B15">
        <v>29</v>
      </c>
      <c r="C15" s="74">
        <v>27.678056527914396</v>
      </c>
      <c r="F15" t="s">
        <v>158</v>
      </c>
      <c r="G15" t="s">
        <v>159</v>
      </c>
      <c r="AL15" t="s">
        <v>158</v>
      </c>
      <c r="AM15" t="s">
        <v>159</v>
      </c>
      <c r="BQ15" t="s">
        <v>158</v>
      </c>
      <c r="BR15" t="s">
        <v>159</v>
      </c>
    </row>
    <row r="16" spans="1:70" x14ac:dyDescent="0.45">
      <c r="A16" t="s">
        <v>248</v>
      </c>
      <c r="B16">
        <v>32</v>
      </c>
      <c r="C16" s="74">
        <v>30.052882481687718</v>
      </c>
      <c r="E16" t="s">
        <v>241</v>
      </c>
      <c r="F16">
        <v>16</v>
      </c>
      <c r="G16" s="74">
        <v>16.658809870687168</v>
      </c>
      <c r="AK16" t="s">
        <v>256</v>
      </c>
      <c r="AL16">
        <v>49</v>
      </c>
      <c r="AM16" s="74">
        <v>48.053569198246862</v>
      </c>
      <c r="BP16" t="s">
        <v>271</v>
      </c>
      <c r="BQ16">
        <v>84</v>
      </c>
      <c r="BR16" s="74">
        <v>78.668684101059725</v>
      </c>
    </row>
    <row r="17" spans="1:70" x14ac:dyDescent="0.45">
      <c r="A17" t="s">
        <v>249</v>
      </c>
      <c r="B17">
        <v>33</v>
      </c>
      <c r="C17" s="74">
        <v>32.534933763738998</v>
      </c>
      <c r="F17" t="s">
        <v>158</v>
      </c>
      <c r="G17" t="s">
        <v>159</v>
      </c>
      <c r="AL17" t="s">
        <v>158</v>
      </c>
      <c r="AM17" t="s">
        <v>159</v>
      </c>
      <c r="BQ17" t="s">
        <v>158</v>
      </c>
      <c r="BR17" t="s">
        <v>159</v>
      </c>
    </row>
    <row r="18" spans="1:70" x14ac:dyDescent="0.45">
      <c r="A18" t="s">
        <v>250</v>
      </c>
      <c r="B18">
        <v>36</v>
      </c>
      <c r="C18" s="74">
        <v>34.750370860755041</v>
      </c>
      <c r="E18" t="s">
        <v>242</v>
      </c>
      <c r="F18">
        <v>17</v>
      </c>
      <c r="G18" s="74">
        <v>18.180588572183456</v>
      </c>
      <c r="AK18" t="s">
        <v>257</v>
      </c>
      <c r="AL18">
        <v>52</v>
      </c>
      <c r="AM18" s="74">
        <v>50.126684335056268</v>
      </c>
    </row>
    <row r="19" spans="1:70" x14ac:dyDescent="0.45">
      <c r="A19" t="s">
        <v>251</v>
      </c>
      <c r="B19">
        <v>37</v>
      </c>
      <c r="C19" s="74">
        <v>36.957825837720002</v>
      </c>
      <c r="F19" t="s">
        <v>158</v>
      </c>
      <c r="G19" t="s">
        <v>159</v>
      </c>
      <c r="AL19" t="s">
        <v>158</v>
      </c>
      <c r="AM19" t="s">
        <v>159</v>
      </c>
    </row>
    <row r="20" spans="1:70" x14ac:dyDescent="0.45">
      <c r="A20" t="s">
        <v>252</v>
      </c>
      <c r="B20">
        <v>40</v>
      </c>
      <c r="C20" s="74">
        <v>39.047021451761033</v>
      </c>
      <c r="E20" t="s">
        <v>243</v>
      </c>
      <c r="F20">
        <v>17</v>
      </c>
      <c r="G20" s="74">
        <v>20.555414525956778</v>
      </c>
      <c r="AK20" t="s">
        <v>258</v>
      </c>
      <c r="AL20">
        <v>53</v>
      </c>
      <c r="AM20" s="74">
        <v>51.95409781410909</v>
      </c>
      <c r="BP20" t="s">
        <v>264</v>
      </c>
      <c r="BQ20">
        <v>67</v>
      </c>
      <c r="BR20" s="74">
        <v>63.455301503383879</v>
      </c>
    </row>
    <row r="21" spans="1:70" x14ac:dyDescent="0.45">
      <c r="A21" t="s">
        <v>253</v>
      </c>
      <c r="B21">
        <v>40</v>
      </c>
      <c r="C21" s="74">
        <v>41.40621488990184</v>
      </c>
      <c r="F21" t="s">
        <v>158</v>
      </c>
      <c r="G21" t="s">
        <v>159</v>
      </c>
      <c r="AL21" t="s">
        <v>158</v>
      </c>
      <c r="AM21" t="s">
        <v>159</v>
      </c>
      <c r="BP21" t="s">
        <v>265</v>
      </c>
      <c r="BQ21">
        <v>70</v>
      </c>
      <c r="BR21" s="74">
        <v>65.795801446051001</v>
      </c>
    </row>
    <row r="22" spans="1:70" x14ac:dyDescent="0.45">
      <c r="A22" t="s">
        <v>254</v>
      </c>
      <c r="B22">
        <v>43</v>
      </c>
      <c r="C22" s="74">
        <v>43.632405366092314</v>
      </c>
      <c r="E22" t="s">
        <v>244</v>
      </c>
      <c r="F22">
        <v>20</v>
      </c>
      <c r="G22" s="74">
        <v>21.877460381335965</v>
      </c>
      <c r="AK22" t="s">
        <v>259</v>
      </c>
      <c r="AL22">
        <v>54</v>
      </c>
      <c r="AM22" s="74">
        <v>53.257229323122949</v>
      </c>
      <c r="BP22" t="s">
        <v>266</v>
      </c>
      <c r="BQ22">
        <v>71</v>
      </c>
      <c r="BR22" s="74">
        <v>68.003256423015955</v>
      </c>
    </row>
    <row r="23" spans="1:70" x14ac:dyDescent="0.45">
      <c r="A23" t="s">
        <v>255</v>
      </c>
      <c r="B23">
        <v>46</v>
      </c>
      <c r="C23" s="74">
        <v>45.766601779700494</v>
      </c>
      <c r="F23" t="s">
        <v>158</v>
      </c>
      <c r="G23" t="s">
        <v>159</v>
      </c>
      <c r="AL23" t="s">
        <v>158</v>
      </c>
      <c r="AM23" t="s">
        <v>159</v>
      </c>
      <c r="BP23" t="s">
        <v>267</v>
      </c>
      <c r="BQ23">
        <v>74</v>
      </c>
      <c r="BR23" s="74">
        <v>70.338550540663007</v>
      </c>
    </row>
    <row r="24" spans="1:70" x14ac:dyDescent="0.45">
      <c r="A24" t="s">
        <v>256</v>
      </c>
      <c r="B24">
        <v>49</v>
      </c>
      <c r="C24" s="74">
        <v>48.053569198246862</v>
      </c>
      <c r="E24" t="s">
        <v>245</v>
      </c>
      <c r="F24">
        <v>23</v>
      </c>
      <c r="G24" s="74">
        <v>23.404313767936898</v>
      </c>
      <c r="AK24" t="s">
        <v>260</v>
      </c>
      <c r="AL24">
        <v>57</v>
      </c>
      <c r="AM24" s="74">
        <v>55.866484098479418</v>
      </c>
      <c r="BP24" t="s">
        <v>268</v>
      </c>
      <c r="BQ24">
        <v>75</v>
      </c>
      <c r="BR24" s="74">
        <v>72.10463241200803</v>
      </c>
    </row>
    <row r="25" spans="1:70" x14ac:dyDescent="0.45">
      <c r="A25" t="s">
        <v>257</v>
      </c>
      <c r="B25">
        <v>52</v>
      </c>
      <c r="C25" s="74">
        <v>50.126684335056268</v>
      </c>
      <c r="F25" t="s">
        <v>158</v>
      </c>
      <c r="G25" t="s">
        <v>159</v>
      </c>
      <c r="AL25" t="s">
        <v>158</v>
      </c>
      <c r="AM25" t="s">
        <v>159</v>
      </c>
      <c r="BP25" t="s">
        <v>269</v>
      </c>
      <c r="BQ25">
        <v>78</v>
      </c>
      <c r="BR25" s="74">
        <v>74.387701195076815</v>
      </c>
    </row>
    <row r="26" spans="1:70" x14ac:dyDescent="0.45">
      <c r="A26" t="s">
        <v>258</v>
      </c>
      <c r="B26">
        <v>53</v>
      </c>
      <c r="C26" s="74">
        <v>51.95409781410909</v>
      </c>
      <c r="E26" t="s">
        <v>246</v>
      </c>
      <c r="F26">
        <v>26</v>
      </c>
      <c r="G26" s="74">
        <v>25.518105367963237</v>
      </c>
      <c r="AK26" t="s">
        <v>261</v>
      </c>
      <c r="AL26">
        <v>60</v>
      </c>
      <c r="AM26" s="74">
        <v>57.777547170251978</v>
      </c>
      <c r="BP26" t="s">
        <v>270</v>
      </c>
      <c r="BQ26">
        <v>81</v>
      </c>
      <c r="BR26" s="74">
        <v>76.416669449045074</v>
      </c>
    </row>
    <row r="27" spans="1:70" x14ac:dyDescent="0.45">
      <c r="A27" t="s">
        <v>259</v>
      </c>
      <c r="B27">
        <v>54</v>
      </c>
      <c r="C27" s="74">
        <v>53.257229323122949</v>
      </c>
      <c r="F27" t="s">
        <v>158</v>
      </c>
      <c r="G27" t="s">
        <v>159</v>
      </c>
      <c r="AL27" t="s">
        <v>158</v>
      </c>
      <c r="AM27" t="s">
        <v>159</v>
      </c>
      <c r="BP27" t="s">
        <v>271</v>
      </c>
      <c r="BQ27">
        <v>84</v>
      </c>
      <c r="BR27" s="74">
        <v>78.668684101059725</v>
      </c>
    </row>
    <row r="28" spans="1:70" x14ac:dyDescent="0.45">
      <c r="A28" t="s">
        <v>260</v>
      </c>
      <c r="B28">
        <v>57</v>
      </c>
      <c r="C28" s="74">
        <v>55.866484098479418</v>
      </c>
      <c r="E28" t="s">
        <v>247</v>
      </c>
      <c r="F28">
        <v>29</v>
      </c>
      <c r="G28" s="74">
        <v>27.678056527914396</v>
      </c>
      <c r="AK28" t="s">
        <v>262</v>
      </c>
      <c r="AL28">
        <v>63</v>
      </c>
      <c r="AM28" s="74">
        <v>60.136740608392785</v>
      </c>
    </row>
    <row r="29" spans="1:70" x14ac:dyDescent="0.45">
      <c r="A29" t="s">
        <v>261</v>
      </c>
      <c r="B29">
        <v>60</v>
      </c>
      <c r="C29" s="74">
        <v>57.777547170251978</v>
      </c>
      <c r="F29" t="s">
        <v>158</v>
      </c>
      <c r="G29" t="s">
        <v>159</v>
      </c>
      <c r="AL29" t="s">
        <v>158</v>
      </c>
      <c r="AM29" t="s">
        <v>159</v>
      </c>
    </row>
    <row r="30" spans="1:70" x14ac:dyDescent="0.45">
      <c r="A30" t="s">
        <v>262</v>
      </c>
      <c r="B30">
        <v>63</v>
      </c>
      <c r="C30" s="74">
        <v>60.136740608392785</v>
      </c>
      <c r="E30" t="s">
        <v>248</v>
      </c>
      <c r="F30">
        <v>32</v>
      </c>
      <c r="G30" s="74">
        <v>30.052882481687718</v>
      </c>
      <c r="AK30" t="s">
        <v>263</v>
      </c>
      <c r="AL30">
        <v>66</v>
      </c>
      <c r="AM30" s="74">
        <v>61.39788259379106</v>
      </c>
    </row>
    <row r="31" spans="1:70" x14ac:dyDescent="0.45">
      <c r="A31" t="s">
        <v>263</v>
      </c>
      <c r="B31">
        <v>66</v>
      </c>
      <c r="C31" s="74">
        <v>61.39788259379106</v>
      </c>
    </row>
    <row r="32" spans="1:70" x14ac:dyDescent="0.45">
      <c r="A32" t="s">
        <v>264</v>
      </c>
      <c r="B32">
        <v>67</v>
      </c>
      <c r="C32" s="74">
        <v>63.455301503383879</v>
      </c>
    </row>
    <row r="33" spans="1:3" x14ac:dyDescent="0.45">
      <c r="A33" t="s">
        <v>265</v>
      </c>
      <c r="B33">
        <v>70</v>
      </c>
      <c r="C33" s="74">
        <v>65.795801446051001</v>
      </c>
    </row>
    <row r="34" spans="1:3" x14ac:dyDescent="0.45">
      <c r="A34" t="s">
        <v>266</v>
      </c>
      <c r="B34">
        <v>71</v>
      </c>
      <c r="C34" s="74">
        <v>68.003256423015955</v>
      </c>
    </row>
    <row r="35" spans="1:3" x14ac:dyDescent="0.45">
      <c r="A35" t="s">
        <v>267</v>
      </c>
      <c r="B35">
        <v>74</v>
      </c>
      <c r="C35" s="74">
        <v>70.338550540663007</v>
      </c>
    </row>
    <row r="36" spans="1:3" x14ac:dyDescent="0.45">
      <c r="A36" t="s">
        <v>268</v>
      </c>
      <c r="B36">
        <v>75</v>
      </c>
      <c r="C36" s="74">
        <v>72.10463241200803</v>
      </c>
    </row>
    <row r="37" spans="1:3" x14ac:dyDescent="0.45">
      <c r="A37" t="s">
        <v>269</v>
      </c>
      <c r="B37">
        <v>78</v>
      </c>
      <c r="C37" s="74">
        <v>74.387701195076815</v>
      </c>
    </row>
    <row r="38" spans="1:3" x14ac:dyDescent="0.45">
      <c r="A38" t="s">
        <v>270</v>
      </c>
      <c r="B38">
        <v>81</v>
      </c>
      <c r="C38" s="74">
        <v>76.416669449045074</v>
      </c>
    </row>
    <row r="39" spans="1:3" x14ac:dyDescent="0.45">
      <c r="A39" t="s">
        <v>271</v>
      </c>
      <c r="B39">
        <v>84</v>
      </c>
      <c r="C39" s="74">
        <v>78.668684101059725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668BE-5A5D-4E27-BEC3-DBAFAF877F7F}">
  <dimension ref="A2:BI113"/>
  <sheetViews>
    <sheetView topLeftCell="A88" workbookViewId="0">
      <selection activeCell="H104" sqref="H104"/>
    </sheetView>
  </sheetViews>
  <sheetFormatPr defaultRowHeight="14.25" x14ac:dyDescent="0.45"/>
  <cols>
    <col min="2" max="2" width="13.796875" customWidth="1"/>
    <col min="3" max="3" width="11.73046875" customWidth="1"/>
    <col min="4" max="4" width="12.33203125" customWidth="1"/>
  </cols>
  <sheetData>
    <row r="2" spans="2:17" x14ac:dyDescent="0.45">
      <c r="C2" t="s">
        <v>333</v>
      </c>
      <c r="D2" t="s">
        <v>330</v>
      </c>
      <c r="E2" t="s">
        <v>331</v>
      </c>
      <c r="F2" t="s">
        <v>332</v>
      </c>
    </row>
    <row r="3" spans="2:17" x14ac:dyDescent="0.45">
      <c r="B3" t="s">
        <v>328</v>
      </c>
      <c r="C3">
        <v>6</v>
      </c>
      <c r="D3">
        <f>0.05*6</f>
        <v>0.30000000000000004</v>
      </c>
      <c r="E3">
        <v>0.05</v>
      </c>
      <c r="H3" s="77">
        <v>0.05</v>
      </c>
      <c r="I3" s="77">
        <v>0.05</v>
      </c>
      <c r="J3" s="77">
        <v>0.05</v>
      </c>
      <c r="K3" s="77">
        <v>0.05</v>
      </c>
      <c r="L3" s="77">
        <v>0.05</v>
      </c>
      <c r="M3" s="77">
        <v>0.05</v>
      </c>
      <c r="N3" s="78">
        <v>0.05</v>
      </c>
      <c r="O3" s="78">
        <v>0.05</v>
      </c>
      <c r="P3" s="78">
        <v>0.05</v>
      </c>
      <c r="Q3" s="78">
        <v>0.05</v>
      </c>
    </row>
    <row r="5" spans="2:17" x14ac:dyDescent="0.45">
      <c r="B5" t="s">
        <v>329</v>
      </c>
      <c r="C5">
        <v>14</v>
      </c>
      <c r="D5">
        <f>1-D3</f>
        <v>0.7</v>
      </c>
      <c r="E5">
        <v>0.05</v>
      </c>
      <c r="H5" s="78">
        <v>0.05</v>
      </c>
      <c r="I5" s="78">
        <v>0.05</v>
      </c>
      <c r="J5" s="78">
        <v>0.05</v>
      </c>
      <c r="K5" s="78">
        <v>0.05</v>
      </c>
      <c r="L5" s="78">
        <v>0.05</v>
      </c>
      <c r="M5" s="78">
        <v>0.05</v>
      </c>
      <c r="N5" s="78">
        <v>0.05</v>
      </c>
      <c r="O5" s="78">
        <v>0.05</v>
      </c>
      <c r="P5" s="78">
        <v>0.05</v>
      </c>
      <c r="Q5" s="78">
        <v>0.05</v>
      </c>
    </row>
    <row r="9" spans="2:17" x14ac:dyDescent="0.45">
      <c r="B9" t="s">
        <v>328</v>
      </c>
      <c r="C9">
        <v>4</v>
      </c>
      <c r="D9">
        <f>D3</f>
        <v>0.30000000000000004</v>
      </c>
      <c r="E9">
        <f>D9/C9</f>
        <v>7.5000000000000011E-2</v>
      </c>
      <c r="H9" s="80"/>
      <c r="I9" s="80"/>
      <c r="J9" s="77">
        <f>$E$9</f>
        <v>7.5000000000000011E-2</v>
      </c>
      <c r="K9" s="77">
        <f>$E$9</f>
        <v>7.5000000000000011E-2</v>
      </c>
      <c r="L9" s="77">
        <f>$E$9</f>
        <v>7.5000000000000011E-2</v>
      </c>
      <c r="M9" s="77">
        <f>$E$9</f>
        <v>7.5000000000000011E-2</v>
      </c>
      <c r="N9" s="80"/>
      <c r="O9" s="80"/>
      <c r="P9" s="80"/>
      <c r="Q9" s="80"/>
    </row>
    <row r="11" spans="2:17" x14ac:dyDescent="0.45">
      <c r="B11" t="s">
        <v>329</v>
      </c>
      <c r="C11">
        <v>10</v>
      </c>
      <c r="D11">
        <f>1-D9</f>
        <v>0.7</v>
      </c>
      <c r="E11">
        <f>D11/C11</f>
        <v>6.9999999999999993E-2</v>
      </c>
      <c r="H11" s="78">
        <f>$E$11</f>
        <v>6.9999999999999993E-2</v>
      </c>
      <c r="I11" s="78">
        <f t="shared" ref="I11:Q11" si="0">$E$11</f>
        <v>6.9999999999999993E-2</v>
      </c>
      <c r="J11" s="78">
        <f t="shared" si="0"/>
        <v>6.9999999999999993E-2</v>
      </c>
      <c r="K11" s="78">
        <f t="shared" si="0"/>
        <v>6.9999999999999993E-2</v>
      </c>
      <c r="L11" s="78">
        <f t="shared" si="0"/>
        <v>6.9999999999999993E-2</v>
      </c>
      <c r="M11" s="78">
        <f t="shared" si="0"/>
        <v>6.9999999999999993E-2</v>
      </c>
      <c r="N11" s="78">
        <f t="shared" si="0"/>
        <v>6.9999999999999993E-2</v>
      </c>
      <c r="O11" s="78">
        <f t="shared" si="0"/>
        <v>6.9999999999999993E-2</v>
      </c>
      <c r="P11" s="78">
        <f t="shared" si="0"/>
        <v>6.9999999999999993E-2</v>
      </c>
      <c r="Q11" s="78">
        <f t="shared" si="0"/>
        <v>6.9999999999999993E-2</v>
      </c>
    </row>
    <row r="15" spans="2:17" x14ac:dyDescent="0.45">
      <c r="B15" t="s">
        <v>328</v>
      </c>
      <c r="C15">
        <v>2</v>
      </c>
      <c r="D15">
        <f>D9</f>
        <v>0.30000000000000004</v>
      </c>
      <c r="E15">
        <f>D15/C15</f>
        <v>0.15000000000000002</v>
      </c>
      <c r="H15" s="80"/>
      <c r="I15" s="80"/>
      <c r="J15" s="80"/>
      <c r="K15" s="80"/>
      <c r="L15" s="77">
        <f>$E$15</f>
        <v>0.15000000000000002</v>
      </c>
      <c r="M15" s="77">
        <f>$E$15</f>
        <v>0.15000000000000002</v>
      </c>
      <c r="N15" s="80"/>
      <c r="O15" s="80"/>
      <c r="P15" s="80"/>
      <c r="Q15" s="80"/>
    </row>
    <row r="17" spans="1:61" x14ac:dyDescent="0.45">
      <c r="B17" t="s">
        <v>329</v>
      </c>
      <c r="C17">
        <v>5</v>
      </c>
      <c r="D17">
        <f>1-D15</f>
        <v>0.7</v>
      </c>
      <c r="E17">
        <f>D17/C17</f>
        <v>0.13999999999999999</v>
      </c>
      <c r="H17" s="80"/>
      <c r="I17" s="80"/>
      <c r="J17" s="80"/>
      <c r="K17" s="80"/>
      <c r="L17" s="80"/>
      <c r="M17" s="78">
        <f>$E$17</f>
        <v>0.13999999999999999</v>
      </c>
      <c r="N17" s="78">
        <f>$E$17</f>
        <v>0.13999999999999999</v>
      </c>
      <c r="O17" s="78">
        <f>$E$17</f>
        <v>0.13999999999999999</v>
      </c>
      <c r="P17" s="78">
        <f>$E$17</f>
        <v>0.13999999999999999</v>
      </c>
      <c r="Q17" s="78">
        <f>$E$17</f>
        <v>0.13999999999999999</v>
      </c>
    </row>
    <row r="22" spans="1:61" x14ac:dyDescent="0.45">
      <c r="H22" s="82"/>
      <c r="I22" s="82"/>
      <c r="J22" s="83"/>
      <c r="K22" s="83"/>
      <c r="L22" s="82"/>
      <c r="M22" s="82"/>
      <c r="N22" s="83"/>
      <c r="O22" s="83"/>
    </row>
    <row r="23" spans="1:61" x14ac:dyDescent="0.45">
      <c r="H23" s="82"/>
      <c r="I23" s="82"/>
      <c r="J23" s="83"/>
      <c r="K23" s="83"/>
      <c r="L23" s="82"/>
      <c r="M23" s="82"/>
      <c r="N23" s="83"/>
      <c r="O23" s="83"/>
    </row>
    <row r="24" spans="1:61" x14ac:dyDescent="0.45">
      <c r="H24" s="84"/>
      <c r="I24" s="84"/>
      <c r="J24" s="85"/>
      <c r="K24" s="85"/>
      <c r="L24" s="84"/>
      <c r="M24" s="84"/>
      <c r="N24" s="85"/>
      <c r="O24" s="85"/>
    </row>
    <row r="25" spans="1:61" x14ac:dyDescent="0.45">
      <c r="H25" s="84"/>
      <c r="I25" s="84"/>
      <c r="J25" s="85"/>
      <c r="K25" s="85"/>
      <c r="L25" s="84"/>
      <c r="M25" s="84"/>
      <c r="N25" s="85"/>
      <c r="O25" s="85"/>
    </row>
    <row r="26" spans="1:61" x14ac:dyDescent="0.45">
      <c r="H26" s="82"/>
      <c r="I26" s="82"/>
      <c r="J26" s="83"/>
      <c r="K26" s="83"/>
      <c r="L26" s="82"/>
      <c r="M26" s="82"/>
      <c r="N26" s="83"/>
      <c r="O26" s="83"/>
    </row>
    <row r="27" spans="1:61" x14ac:dyDescent="0.45">
      <c r="H27" s="82"/>
      <c r="I27" s="82"/>
      <c r="J27" s="83"/>
      <c r="K27" s="83"/>
      <c r="L27" s="82"/>
      <c r="M27" s="82"/>
      <c r="N27" s="83"/>
      <c r="O27" s="83"/>
    </row>
    <row r="28" spans="1:61" x14ac:dyDescent="0.45">
      <c r="H28" s="84"/>
      <c r="I28" s="84"/>
      <c r="J28" s="85"/>
      <c r="K28" s="85"/>
      <c r="L28" s="84"/>
      <c r="M28" s="84"/>
      <c r="N28" s="85"/>
      <c r="O28" s="85"/>
    </row>
    <row r="29" spans="1:61" x14ac:dyDescent="0.45">
      <c r="H29" s="84"/>
      <c r="I29" s="84"/>
      <c r="J29" s="85"/>
      <c r="K29" s="85"/>
      <c r="L29" s="84"/>
      <c r="M29" s="84"/>
      <c r="N29" s="85"/>
      <c r="O29" s="85"/>
    </row>
    <row r="32" spans="1:61" x14ac:dyDescent="0.4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 s="79">
        <v>1</v>
      </c>
      <c r="V32" s="79">
        <v>1</v>
      </c>
      <c r="W32" s="79">
        <v>1</v>
      </c>
      <c r="X32" s="79">
        <v>1</v>
      </c>
      <c r="Y32" s="79">
        <v>1</v>
      </c>
      <c r="Z32" s="79">
        <v>1</v>
      </c>
      <c r="AA32" s="79">
        <v>1</v>
      </c>
      <c r="AB32" s="79">
        <v>1</v>
      </c>
      <c r="AC32" s="79">
        <v>1</v>
      </c>
      <c r="AD32" s="79">
        <v>1</v>
      </c>
      <c r="AE32" s="79">
        <v>1</v>
      </c>
      <c r="AF32" s="79">
        <v>1</v>
      </c>
      <c r="AG32" s="79">
        <v>1</v>
      </c>
      <c r="AH32" s="79">
        <v>1</v>
      </c>
      <c r="AI32" s="79">
        <v>1</v>
      </c>
      <c r="AJ32" s="79">
        <v>1</v>
      </c>
      <c r="AK32" s="79">
        <v>1</v>
      </c>
      <c r="AL32" s="79">
        <v>1</v>
      </c>
      <c r="AM32" s="79">
        <v>1</v>
      </c>
      <c r="AN32" s="79">
        <v>1</v>
      </c>
      <c r="AO32" s="79">
        <v>1</v>
      </c>
      <c r="AP32" s="79">
        <v>1</v>
      </c>
      <c r="AQ32" s="79">
        <v>1</v>
      </c>
      <c r="AR32" s="79">
        <v>1</v>
      </c>
      <c r="AS32" s="79">
        <v>1</v>
      </c>
      <c r="AT32" s="79">
        <v>1</v>
      </c>
      <c r="AU32" s="79">
        <v>1</v>
      </c>
      <c r="AV32" s="79">
        <v>1</v>
      </c>
      <c r="AW32" s="79">
        <v>1</v>
      </c>
      <c r="AX32" s="79">
        <v>1</v>
      </c>
      <c r="AY32" s="79">
        <v>1</v>
      </c>
      <c r="AZ32" s="79">
        <v>1</v>
      </c>
      <c r="BA32" s="79">
        <v>1</v>
      </c>
      <c r="BB32" s="79">
        <v>1</v>
      </c>
      <c r="BC32" s="79">
        <v>1</v>
      </c>
      <c r="BD32" s="79">
        <v>1</v>
      </c>
      <c r="BE32" s="79">
        <v>1</v>
      </c>
      <c r="BF32" s="79">
        <v>1</v>
      </c>
      <c r="BG32" s="79">
        <v>1</v>
      </c>
      <c r="BH32" s="79">
        <v>1</v>
      </c>
      <c r="BI32" s="79">
        <v>1</v>
      </c>
    </row>
    <row r="33" spans="1:61" x14ac:dyDescent="0.45">
      <c r="A33">
        <v>2</v>
      </c>
      <c r="B33">
        <v>2</v>
      </c>
      <c r="C33">
        <v>2</v>
      </c>
      <c r="D33">
        <v>2</v>
      </c>
      <c r="E33">
        <v>2</v>
      </c>
      <c r="F33">
        <v>2</v>
      </c>
      <c r="G33">
        <v>2</v>
      </c>
      <c r="H33">
        <v>2</v>
      </c>
      <c r="I33" s="79">
        <v>2</v>
      </c>
      <c r="J33" s="79">
        <v>2</v>
      </c>
      <c r="K33" s="79">
        <v>2</v>
      </c>
      <c r="L33" s="79">
        <v>2</v>
      </c>
      <c r="M33" s="79">
        <v>2</v>
      </c>
      <c r="N33" s="79">
        <v>2</v>
      </c>
      <c r="O33" s="79">
        <v>2</v>
      </c>
      <c r="P33" s="79">
        <v>2</v>
      </c>
      <c r="Q33" s="79">
        <v>2</v>
      </c>
      <c r="R33" s="79">
        <v>2</v>
      </c>
      <c r="S33" s="79">
        <v>2</v>
      </c>
      <c r="T33" s="79">
        <v>2</v>
      </c>
      <c r="U33" s="79">
        <v>2</v>
      </c>
      <c r="V33" s="79">
        <v>2</v>
      </c>
      <c r="W33" s="79">
        <v>2</v>
      </c>
      <c r="X33" s="79">
        <v>2</v>
      </c>
      <c r="Y33" s="79">
        <v>2</v>
      </c>
      <c r="Z33" s="79">
        <v>2</v>
      </c>
      <c r="AA33" s="79">
        <v>2</v>
      </c>
      <c r="AB33" s="79">
        <v>2</v>
      </c>
      <c r="AC33" s="79">
        <v>2</v>
      </c>
      <c r="AD33" s="79">
        <v>2</v>
      </c>
      <c r="AE33" s="79">
        <v>2</v>
      </c>
      <c r="AF33" s="79">
        <v>2</v>
      </c>
      <c r="AG33" s="79">
        <v>2</v>
      </c>
      <c r="AH33" s="79">
        <v>2</v>
      </c>
      <c r="AI33" s="79">
        <v>2</v>
      </c>
      <c r="AJ33" s="79">
        <v>2</v>
      </c>
      <c r="AK33" s="79">
        <v>2</v>
      </c>
      <c r="AL33" s="79">
        <v>2</v>
      </c>
      <c r="AM33" s="79">
        <v>2</v>
      </c>
      <c r="AN33" s="79">
        <v>2</v>
      </c>
      <c r="AO33" s="79">
        <v>2</v>
      </c>
      <c r="AP33" s="79">
        <v>2</v>
      </c>
      <c r="AQ33" s="79">
        <v>2</v>
      </c>
      <c r="AR33" s="79">
        <v>2</v>
      </c>
      <c r="AS33" s="79">
        <v>2</v>
      </c>
      <c r="AT33" s="79">
        <v>2</v>
      </c>
      <c r="AU33" s="79">
        <v>2</v>
      </c>
      <c r="AV33" s="79">
        <v>2</v>
      </c>
      <c r="AW33" s="79">
        <v>2</v>
      </c>
      <c r="AX33" s="79">
        <v>2</v>
      </c>
      <c r="AY33" s="79">
        <v>2</v>
      </c>
      <c r="AZ33" s="79">
        <v>2</v>
      </c>
      <c r="BA33" s="79">
        <v>2</v>
      </c>
      <c r="BB33" s="79">
        <v>2</v>
      </c>
      <c r="BC33" s="79">
        <v>2</v>
      </c>
      <c r="BD33" s="79">
        <v>2</v>
      </c>
      <c r="BE33" s="79">
        <v>2</v>
      </c>
      <c r="BF33" s="79">
        <v>2</v>
      </c>
      <c r="BG33" s="79">
        <v>2</v>
      </c>
      <c r="BH33" s="79">
        <v>2</v>
      </c>
      <c r="BI33" s="79">
        <v>2</v>
      </c>
    </row>
    <row r="34" spans="1:61" x14ac:dyDescent="0.45">
      <c r="A34">
        <v>3</v>
      </c>
      <c r="B34">
        <v>3</v>
      </c>
      <c r="C34">
        <v>3</v>
      </c>
      <c r="D34">
        <v>3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3</v>
      </c>
      <c r="X34" s="79">
        <v>3</v>
      </c>
      <c r="Y34" s="79">
        <v>3</v>
      </c>
      <c r="Z34" s="79">
        <v>3</v>
      </c>
      <c r="AA34" s="79">
        <v>3</v>
      </c>
      <c r="AB34" s="79">
        <v>3</v>
      </c>
      <c r="AC34" s="79">
        <v>3</v>
      </c>
      <c r="AD34" s="79">
        <v>3</v>
      </c>
      <c r="AE34" s="79">
        <v>3</v>
      </c>
      <c r="AF34" s="79">
        <v>3</v>
      </c>
      <c r="AG34" s="79">
        <v>3</v>
      </c>
      <c r="AH34" s="79">
        <v>3</v>
      </c>
      <c r="AI34" s="79">
        <v>3</v>
      </c>
      <c r="AJ34" s="79">
        <v>3</v>
      </c>
      <c r="AK34" s="79">
        <v>3</v>
      </c>
      <c r="AL34" s="79">
        <v>3</v>
      </c>
      <c r="AM34" s="79">
        <v>3</v>
      </c>
      <c r="AN34" s="79">
        <v>3</v>
      </c>
      <c r="AO34" s="79">
        <v>3</v>
      </c>
      <c r="AP34" s="79">
        <v>3</v>
      </c>
      <c r="AQ34" s="79">
        <v>3</v>
      </c>
      <c r="AR34" s="79">
        <v>3</v>
      </c>
      <c r="AS34" s="79">
        <v>3</v>
      </c>
      <c r="AT34" s="79">
        <v>3</v>
      </c>
      <c r="AU34" s="79">
        <v>3</v>
      </c>
      <c r="AV34" s="79">
        <v>3</v>
      </c>
      <c r="AW34" s="79">
        <v>3</v>
      </c>
      <c r="AX34" s="79">
        <v>3</v>
      </c>
      <c r="AY34" s="79">
        <v>3</v>
      </c>
      <c r="AZ34" s="79">
        <v>3</v>
      </c>
      <c r="BA34" s="79">
        <v>3</v>
      </c>
      <c r="BB34" s="79">
        <v>3</v>
      </c>
      <c r="BC34" s="79">
        <v>3</v>
      </c>
      <c r="BD34" s="79">
        <v>3</v>
      </c>
      <c r="BE34" s="79">
        <v>3</v>
      </c>
      <c r="BF34" s="79">
        <v>3</v>
      </c>
      <c r="BG34" s="79">
        <v>3</v>
      </c>
      <c r="BH34" s="79">
        <v>3</v>
      </c>
      <c r="BI34" s="79">
        <v>3</v>
      </c>
    </row>
    <row r="35" spans="1:61" x14ac:dyDescent="0.45">
      <c r="A35">
        <v>4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>
        <v>4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</v>
      </c>
      <c r="BI35" s="79">
        <v>4</v>
      </c>
    </row>
    <row r="36" spans="1:61" x14ac:dyDescent="0.45">
      <c r="A36">
        <v>5</v>
      </c>
      <c r="B36">
        <v>5</v>
      </c>
      <c r="C36">
        <v>5</v>
      </c>
      <c r="D36">
        <v>5</v>
      </c>
      <c r="E36">
        <v>5</v>
      </c>
      <c r="F36">
        <v>5</v>
      </c>
      <c r="G36" s="79">
        <v>5</v>
      </c>
      <c r="H36" s="79">
        <v>5</v>
      </c>
      <c r="I36" s="79">
        <v>5</v>
      </c>
      <c r="J36" s="79">
        <v>5</v>
      </c>
      <c r="K36" s="79">
        <v>5</v>
      </c>
      <c r="L36" s="79">
        <v>5</v>
      </c>
      <c r="M36" s="79">
        <v>5</v>
      </c>
      <c r="N36" s="79">
        <v>5</v>
      </c>
      <c r="O36" s="79">
        <v>5</v>
      </c>
      <c r="P36" s="79">
        <v>5</v>
      </c>
      <c r="Q36" s="79">
        <v>5</v>
      </c>
      <c r="R36" s="79">
        <v>5</v>
      </c>
      <c r="S36" s="79">
        <v>5</v>
      </c>
      <c r="T36" s="79">
        <v>5</v>
      </c>
      <c r="U36" s="79">
        <v>5</v>
      </c>
      <c r="V36" s="79">
        <v>5</v>
      </c>
      <c r="W36" s="79">
        <v>5</v>
      </c>
      <c r="X36" s="79">
        <v>5</v>
      </c>
      <c r="Y36" s="79">
        <v>5</v>
      </c>
      <c r="Z36" s="79">
        <v>5</v>
      </c>
      <c r="AA36" s="79">
        <v>5</v>
      </c>
      <c r="AB36" s="79">
        <v>5</v>
      </c>
      <c r="AC36" s="79">
        <v>5</v>
      </c>
      <c r="AD36" s="79">
        <v>5</v>
      </c>
      <c r="AE36" s="79">
        <v>5</v>
      </c>
      <c r="AF36" s="79">
        <v>5</v>
      </c>
      <c r="AG36" s="79">
        <v>5</v>
      </c>
      <c r="AH36" s="79">
        <v>5</v>
      </c>
      <c r="AI36" s="79">
        <v>5</v>
      </c>
      <c r="AJ36" s="79">
        <v>5</v>
      </c>
      <c r="AK36" s="79">
        <v>5</v>
      </c>
      <c r="AL36" s="79">
        <v>5</v>
      </c>
      <c r="AM36" s="79">
        <v>5</v>
      </c>
      <c r="AN36" s="79">
        <v>5</v>
      </c>
      <c r="AO36" s="79">
        <v>5</v>
      </c>
      <c r="AP36" s="79">
        <v>5</v>
      </c>
      <c r="AQ36" s="79">
        <v>5</v>
      </c>
      <c r="AR36" s="79">
        <v>5</v>
      </c>
      <c r="AS36" s="79">
        <v>5</v>
      </c>
      <c r="AT36" s="79">
        <v>5</v>
      </c>
      <c r="AU36" s="79">
        <v>5</v>
      </c>
      <c r="AV36" s="79">
        <v>5</v>
      </c>
      <c r="AW36" s="79">
        <v>5</v>
      </c>
      <c r="AX36" s="79">
        <v>5</v>
      </c>
      <c r="AY36" s="79">
        <v>5</v>
      </c>
      <c r="AZ36" s="79">
        <v>5</v>
      </c>
      <c r="BA36" s="79">
        <v>5</v>
      </c>
      <c r="BB36" s="79">
        <v>5</v>
      </c>
      <c r="BC36" s="79">
        <v>5</v>
      </c>
      <c r="BD36" s="79">
        <v>5</v>
      </c>
      <c r="BE36" s="79">
        <v>5</v>
      </c>
      <c r="BF36" s="79">
        <v>5</v>
      </c>
      <c r="BG36" s="79">
        <v>5</v>
      </c>
      <c r="BH36" s="79">
        <v>5</v>
      </c>
      <c r="BI36" s="79">
        <v>5</v>
      </c>
    </row>
    <row r="37" spans="1:61" x14ac:dyDescent="0.45">
      <c r="A37">
        <v>6</v>
      </c>
      <c r="B37">
        <v>6</v>
      </c>
      <c r="C37">
        <v>6</v>
      </c>
      <c r="D37">
        <v>6</v>
      </c>
      <c r="E37">
        <v>6</v>
      </c>
      <c r="F37">
        <v>6</v>
      </c>
      <c r="G37">
        <v>6</v>
      </c>
      <c r="H37">
        <v>6</v>
      </c>
      <c r="I37">
        <v>6</v>
      </c>
      <c r="J37">
        <v>6</v>
      </c>
      <c r="K37">
        <v>6</v>
      </c>
      <c r="L37">
        <v>6</v>
      </c>
      <c r="M37">
        <v>6</v>
      </c>
      <c r="N37">
        <v>6</v>
      </c>
      <c r="O37">
        <v>6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 s="79">
        <v>6</v>
      </c>
      <c r="AD37" s="79">
        <v>6</v>
      </c>
      <c r="AE37" s="79">
        <v>6</v>
      </c>
      <c r="AF37" s="79">
        <v>6</v>
      </c>
      <c r="AG37" s="79">
        <v>6</v>
      </c>
      <c r="AH37" s="79">
        <v>6</v>
      </c>
      <c r="AI37" s="79">
        <v>6</v>
      </c>
      <c r="AJ37" s="79">
        <v>6</v>
      </c>
      <c r="AK37" s="79">
        <v>6</v>
      </c>
      <c r="AL37" s="79">
        <v>6</v>
      </c>
      <c r="AM37" s="79">
        <v>6</v>
      </c>
      <c r="AN37" s="79">
        <v>6</v>
      </c>
      <c r="AO37" s="79">
        <v>6</v>
      </c>
      <c r="AP37" s="79">
        <v>6</v>
      </c>
      <c r="AQ37" s="79">
        <v>6</v>
      </c>
      <c r="AR37" s="79">
        <v>6</v>
      </c>
      <c r="AS37" s="79">
        <v>6</v>
      </c>
      <c r="AT37" s="79">
        <v>6</v>
      </c>
      <c r="AU37" s="79">
        <v>6</v>
      </c>
      <c r="AV37" s="79">
        <v>6</v>
      </c>
      <c r="AW37" s="79">
        <v>6</v>
      </c>
      <c r="AX37" s="79">
        <v>6</v>
      </c>
      <c r="AY37" s="79">
        <v>6</v>
      </c>
      <c r="AZ37" s="79">
        <v>6</v>
      </c>
      <c r="BA37" s="79">
        <v>6</v>
      </c>
      <c r="BB37" s="79">
        <v>6</v>
      </c>
      <c r="BC37" s="79">
        <v>6</v>
      </c>
      <c r="BD37" s="79">
        <v>6</v>
      </c>
      <c r="BE37" s="79">
        <v>6</v>
      </c>
      <c r="BF37" s="79">
        <v>6</v>
      </c>
      <c r="BG37" s="79">
        <v>6</v>
      </c>
      <c r="BH37" s="79">
        <v>6</v>
      </c>
      <c r="BI37" s="79">
        <v>6</v>
      </c>
    </row>
    <row r="38" spans="1:61" x14ac:dyDescent="0.45">
      <c r="A38">
        <v>7</v>
      </c>
      <c r="B38">
        <v>7</v>
      </c>
      <c r="C38">
        <v>7</v>
      </c>
      <c r="D38">
        <v>7</v>
      </c>
      <c r="E38">
        <v>7</v>
      </c>
      <c r="F38">
        <v>7</v>
      </c>
      <c r="G38">
        <v>7</v>
      </c>
      <c r="H38">
        <v>7</v>
      </c>
      <c r="I38">
        <v>7</v>
      </c>
      <c r="J38">
        <v>7</v>
      </c>
      <c r="K38">
        <v>7</v>
      </c>
      <c r="L38">
        <v>7</v>
      </c>
      <c r="M38">
        <v>7</v>
      </c>
      <c r="N38">
        <v>7</v>
      </c>
      <c r="O38">
        <v>7</v>
      </c>
      <c r="P38">
        <v>7</v>
      </c>
      <c r="Q38">
        <v>7</v>
      </c>
      <c r="R38">
        <v>7</v>
      </c>
      <c r="S38">
        <v>7</v>
      </c>
      <c r="T38">
        <v>7</v>
      </c>
      <c r="U38">
        <v>7</v>
      </c>
      <c r="V38" s="79">
        <v>7</v>
      </c>
      <c r="W38" s="79">
        <v>7</v>
      </c>
      <c r="X38" s="79">
        <v>7</v>
      </c>
      <c r="Y38" s="79">
        <v>7</v>
      </c>
      <c r="Z38" s="79">
        <v>7</v>
      </c>
      <c r="AA38" s="79">
        <v>7</v>
      </c>
      <c r="AB38" s="79">
        <v>7</v>
      </c>
      <c r="AC38" s="79">
        <v>7</v>
      </c>
      <c r="AD38" s="79">
        <v>7</v>
      </c>
      <c r="AE38" s="79">
        <v>7</v>
      </c>
      <c r="AF38" s="79">
        <v>7</v>
      </c>
      <c r="AG38" s="79">
        <v>7</v>
      </c>
      <c r="AH38" s="79">
        <v>7</v>
      </c>
      <c r="AI38" s="79">
        <v>7</v>
      </c>
      <c r="AJ38" s="79">
        <v>7</v>
      </c>
      <c r="AK38" s="79">
        <v>7</v>
      </c>
      <c r="AL38" s="79">
        <v>7</v>
      </c>
      <c r="AM38" s="79">
        <v>7</v>
      </c>
      <c r="AN38" s="79">
        <v>7</v>
      </c>
      <c r="AO38" s="79">
        <v>7</v>
      </c>
      <c r="AP38" s="79">
        <v>7</v>
      </c>
      <c r="AQ38" s="79">
        <v>7</v>
      </c>
      <c r="AR38" s="79">
        <v>7</v>
      </c>
      <c r="AS38" s="79">
        <v>7</v>
      </c>
      <c r="AT38" s="79">
        <v>7</v>
      </c>
      <c r="AU38" s="79">
        <v>7</v>
      </c>
      <c r="AV38" s="79">
        <v>7</v>
      </c>
      <c r="AW38" s="79">
        <v>7</v>
      </c>
      <c r="AX38" s="79">
        <v>7</v>
      </c>
      <c r="AY38" s="79">
        <v>7</v>
      </c>
      <c r="AZ38" s="79">
        <v>7</v>
      </c>
      <c r="BA38" s="79">
        <v>7</v>
      </c>
      <c r="BB38" s="79">
        <v>7</v>
      </c>
      <c r="BC38" s="79">
        <v>7</v>
      </c>
      <c r="BD38" s="79">
        <v>7</v>
      </c>
      <c r="BE38" s="79">
        <v>7</v>
      </c>
      <c r="BF38" s="79">
        <v>7</v>
      </c>
      <c r="BG38" s="79">
        <v>7</v>
      </c>
      <c r="BH38" s="79">
        <v>7</v>
      </c>
      <c r="BI38" s="79">
        <v>7</v>
      </c>
    </row>
    <row r="39" spans="1:61" x14ac:dyDescent="0.45">
      <c r="A39">
        <v>8</v>
      </c>
      <c r="B39">
        <v>8</v>
      </c>
      <c r="C39">
        <v>8</v>
      </c>
      <c r="D39">
        <v>8</v>
      </c>
      <c r="E39">
        <v>8</v>
      </c>
      <c r="F39">
        <v>8</v>
      </c>
      <c r="G39">
        <v>8</v>
      </c>
      <c r="H39">
        <v>8</v>
      </c>
      <c r="I39">
        <v>8</v>
      </c>
      <c r="J39">
        <v>8</v>
      </c>
      <c r="K39" s="79">
        <v>8</v>
      </c>
      <c r="L39" s="79">
        <v>8</v>
      </c>
      <c r="M39" s="79">
        <v>8</v>
      </c>
      <c r="N39" s="79">
        <v>8</v>
      </c>
      <c r="O39" s="79">
        <v>8</v>
      </c>
      <c r="P39" s="79">
        <v>8</v>
      </c>
      <c r="Q39" s="79">
        <v>8</v>
      </c>
      <c r="R39" s="79">
        <v>8</v>
      </c>
      <c r="S39" s="79">
        <v>8</v>
      </c>
      <c r="T39" s="79">
        <v>8</v>
      </c>
      <c r="U39" s="79">
        <v>8</v>
      </c>
      <c r="V39" s="79">
        <v>8</v>
      </c>
      <c r="W39" s="79">
        <v>8</v>
      </c>
      <c r="X39" s="79">
        <v>8</v>
      </c>
      <c r="Y39" s="79">
        <v>8</v>
      </c>
      <c r="Z39" s="79">
        <v>8</v>
      </c>
      <c r="AA39" s="79">
        <v>8</v>
      </c>
      <c r="AB39" s="79">
        <v>8</v>
      </c>
      <c r="AC39" s="79">
        <v>8</v>
      </c>
      <c r="AD39" s="79">
        <v>8</v>
      </c>
      <c r="AE39" s="79">
        <v>8</v>
      </c>
      <c r="AF39" s="79">
        <v>8</v>
      </c>
      <c r="AG39" s="79">
        <v>8</v>
      </c>
      <c r="AH39" s="79">
        <v>8</v>
      </c>
      <c r="AI39" s="79">
        <v>8</v>
      </c>
      <c r="AJ39" s="79">
        <v>8</v>
      </c>
      <c r="AK39" s="79">
        <v>8</v>
      </c>
      <c r="AL39" s="79">
        <v>8</v>
      </c>
      <c r="AM39" s="79">
        <v>8</v>
      </c>
      <c r="AN39" s="79">
        <v>8</v>
      </c>
      <c r="AO39" s="79">
        <v>8</v>
      </c>
      <c r="AP39" s="79">
        <v>8</v>
      </c>
      <c r="AQ39" s="79">
        <v>8</v>
      </c>
      <c r="AR39" s="79">
        <v>8</v>
      </c>
      <c r="AS39" s="79">
        <v>8</v>
      </c>
      <c r="AT39" s="79">
        <v>8</v>
      </c>
      <c r="AU39" s="79">
        <v>8</v>
      </c>
      <c r="AV39" s="79">
        <v>8</v>
      </c>
      <c r="AW39" s="79">
        <v>8</v>
      </c>
      <c r="AX39" s="79">
        <v>8</v>
      </c>
      <c r="AY39" s="79">
        <v>8</v>
      </c>
      <c r="AZ39" s="79">
        <v>8</v>
      </c>
      <c r="BA39" s="79">
        <v>8</v>
      </c>
      <c r="BB39" s="79">
        <v>8</v>
      </c>
      <c r="BC39" s="79">
        <v>8</v>
      </c>
      <c r="BD39" s="79">
        <v>8</v>
      </c>
      <c r="BE39" s="79">
        <v>8</v>
      </c>
      <c r="BF39" s="79">
        <v>8</v>
      </c>
      <c r="BG39" s="79">
        <v>8</v>
      </c>
      <c r="BH39" s="79">
        <v>8</v>
      </c>
      <c r="BI39" s="79">
        <v>8</v>
      </c>
    </row>
    <row r="40" spans="1:61" x14ac:dyDescent="0.45">
      <c r="A40">
        <v>9</v>
      </c>
      <c r="B40">
        <v>9</v>
      </c>
      <c r="C40">
        <v>9</v>
      </c>
      <c r="D40">
        <v>9</v>
      </c>
      <c r="E40">
        <v>9</v>
      </c>
      <c r="F40">
        <v>9</v>
      </c>
      <c r="G40">
        <v>9</v>
      </c>
      <c r="H40">
        <v>9</v>
      </c>
      <c r="I40">
        <v>9</v>
      </c>
      <c r="J40">
        <v>9</v>
      </c>
      <c r="K40">
        <v>9</v>
      </c>
      <c r="L40" s="79">
        <v>9</v>
      </c>
      <c r="M40" s="79">
        <v>9</v>
      </c>
      <c r="N40" s="79">
        <v>9</v>
      </c>
      <c r="O40" s="79">
        <v>9</v>
      </c>
      <c r="P40" s="79">
        <v>9</v>
      </c>
      <c r="Q40" s="79">
        <v>9</v>
      </c>
      <c r="R40" s="79">
        <v>9</v>
      </c>
      <c r="S40" s="79">
        <v>9</v>
      </c>
      <c r="T40" s="79">
        <v>9</v>
      </c>
      <c r="U40" s="79">
        <v>9</v>
      </c>
      <c r="V40" s="79">
        <v>9</v>
      </c>
      <c r="W40" s="79">
        <v>9</v>
      </c>
      <c r="X40" s="79">
        <v>9</v>
      </c>
      <c r="Y40" s="79">
        <v>9</v>
      </c>
      <c r="Z40" s="79">
        <v>9</v>
      </c>
      <c r="AA40" s="79">
        <v>9</v>
      </c>
      <c r="AB40" s="79">
        <v>9</v>
      </c>
      <c r="AC40" s="79">
        <v>9</v>
      </c>
      <c r="AD40" s="79">
        <v>9</v>
      </c>
      <c r="AE40" s="79">
        <v>9</v>
      </c>
      <c r="AF40" s="79">
        <v>9</v>
      </c>
      <c r="AG40" s="79">
        <v>9</v>
      </c>
      <c r="AH40" s="79">
        <v>9</v>
      </c>
      <c r="AI40" s="79">
        <v>9</v>
      </c>
      <c r="AJ40" s="79">
        <v>9</v>
      </c>
      <c r="AK40" s="79">
        <v>9</v>
      </c>
      <c r="AL40" s="79">
        <v>9</v>
      </c>
      <c r="AM40" s="79">
        <v>9</v>
      </c>
      <c r="AN40" s="79">
        <v>9</v>
      </c>
      <c r="AO40" s="79">
        <v>9</v>
      </c>
      <c r="AP40" s="79">
        <v>9</v>
      </c>
      <c r="AQ40" s="79">
        <v>9</v>
      </c>
      <c r="AR40" s="79">
        <v>9</v>
      </c>
      <c r="AS40" s="79">
        <v>9</v>
      </c>
      <c r="AT40" s="79">
        <v>9</v>
      </c>
      <c r="AU40" s="79">
        <v>9</v>
      </c>
      <c r="AV40" s="79">
        <v>9</v>
      </c>
      <c r="AW40" s="79">
        <v>9</v>
      </c>
      <c r="AX40" s="79">
        <v>9</v>
      </c>
      <c r="AY40" s="79">
        <v>9</v>
      </c>
      <c r="AZ40" s="79">
        <v>9</v>
      </c>
      <c r="BA40" s="79">
        <v>9</v>
      </c>
      <c r="BB40" s="79">
        <v>9</v>
      </c>
      <c r="BC40" s="79">
        <v>9</v>
      </c>
      <c r="BD40" s="79">
        <v>9</v>
      </c>
      <c r="BE40" s="79">
        <v>9</v>
      </c>
      <c r="BF40" s="79">
        <v>9</v>
      </c>
      <c r="BG40" s="79">
        <v>9</v>
      </c>
      <c r="BH40" s="79">
        <v>9</v>
      </c>
      <c r="BI40" s="79">
        <v>9</v>
      </c>
    </row>
    <row r="41" spans="1:61" x14ac:dyDescent="0.45">
      <c r="A41">
        <v>10</v>
      </c>
      <c r="B41">
        <v>10</v>
      </c>
      <c r="C41">
        <v>10</v>
      </c>
      <c r="D41">
        <v>10</v>
      </c>
      <c r="E41">
        <v>10</v>
      </c>
      <c r="F41" s="79">
        <v>10</v>
      </c>
      <c r="G41" s="79">
        <v>10</v>
      </c>
      <c r="H41" s="79">
        <v>10</v>
      </c>
      <c r="I41" s="79">
        <v>10</v>
      </c>
      <c r="J41" s="79">
        <v>10</v>
      </c>
      <c r="K41" s="79">
        <v>10</v>
      </c>
      <c r="L41" s="79">
        <v>10</v>
      </c>
      <c r="M41" s="79">
        <v>10</v>
      </c>
      <c r="N41" s="79">
        <v>10</v>
      </c>
      <c r="O41" s="79">
        <v>10</v>
      </c>
      <c r="P41" s="79">
        <v>10</v>
      </c>
      <c r="Q41" s="79">
        <v>10</v>
      </c>
      <c r="R41" s="79">
        <v>10</v>
      </c>
      <c r="S41" s="79">
        <v>10</v>
      </c>
      <c r="T41" s="79">
        <v>10</v>
      </c>
      <c r="U41" s="79">
        <v>10</v>
      </c>
      <c r="V41" s="79">
        <v>10</v>
      </c>
      <c r="W41" s="79">
        <v>10</v>
      </c>
      <c r="X41" s="79">
        <v>10</v>
      </c>
      <c r="Y41" s="79">
        <v>10</v>
      </c>
      <c r="Z41" s="79">
        <v>10</v>
      </c>
      <c r="AA41" s="79">
        <v>10</v>
      </c>
      <c r="AB41" s="79">
        <v>10</v>
      </c>
      <c r="AC41" s="79">
        <v>10</v>
      </c>
      <c r="AD41" s="79">
        <v>10</v>
      </c>
      <c r="AE41" s="79">
        <v>10</v>
      </c>
      <c r="AF41" s="79">
        <v>10</v>
      </c>
      <c r="AG41" s="79">
        <v>10</v>
      </c>
      <c r="AH41" s="79">
        <v>10</v>
      </c>
      <c r="AI41" s="79">
        <v>10</v>
      </c>
      <c r="AJ41" s="79">
        <v>10</v>
      </c>
      <c r="AK41" s="79">
        <v>10</v>
      </c>
      <c r="AL41" s="79">
        <v>10</v>
      </c>
      <c r="AM41" s="79">
        <v>10</v>
      </c>
      <c r="AN41" s="79">
        <v>10</v>
      </c>
      <c r="AO41" s="79">
        <v>10</v>
      </c>
      <c r="AP41" s="79">
        <v>10</v>
      </c>
      <c r="AQ41" s="79">
        <v>10</v>
      </c>
      <c r="AR41" s="79">
        <v>10</v>
      </c>
      <c r="AS41" s="79">
        <v>10</v>
      </c>
      <c r="AT41" s="79">
        <v>10</v>
      </c>
      <c r="AU41" s="79">
        <v>10</v>
      </c>
      <c r="AV41" s="79">
        <v>10</v>
      </c>
      <c r="AW41" s="79">
        <v>10</v>
      </c>
      <c r="AX41" s="79">
        <v>10</v>
      </c>
      <c r="AY41" s="79">
        <v>10</v>
      </c>
      <c r="AZ41" s="79">
        <v>10</v>
      </c>
      <c r="BA41" s="79">
        <v>10</v>
      </c>
      <c r="BB41" s="79">
        <v>10</v>
      </c>
      <c r="BC41" s="79">
        <v>10</v>
      </c>
      <c r="BD41" s="79">
        <v>10</v>
      </c>
      <c r="BE41" s="79">
        <v>10</v>
      </c>
      <c r="BF41" s="79">
        <v>10</v>
      </c>
      <c r="BG41" s="79">
        <v>10</v>
      </c>
      <c r="BH41" s="79">
        <v>10</v>
      </c>
      <c r="BI41" s="79">
        <v>10</v>
      </c>
    </row>
    <row r="42" spans="1:61" x14ac:dyDescent="0.45">
      <c r="A42">
        <v>11</v>
      </c>
      <c r="B42">
        <v>11</v>
      </c>
      <c r="C42">
        <v>11</v>
      </c>
      <c r="D42">
        <v>11</v>
      </c>
      <c r="E42" s="79">
        <v>11</v>
      </c>
      <c r="F42" s="79">
        <v>11</v>
      </c>
      <c r="G42" s="79">
        <v>11</v>
      </c>
      <c r="H42" s="79">
        <v>11</v>
      </c>
      <c r="I42" s="79">
        <v>11</v>
      </c>
      <c r="J42" s="79">
        <v>11</v>
      </c>
      <c r="K42" s="79">
        <v>11</v>
      </c>
      <c r="L42" s="79">
        <v>11</v>
      </c>
      <c r="M42" s="79">
        <v>11</v>
      </c>
      <c r="N42" s="79">
        <v>11</v>
      </c>
      <c r="O42" s="79">
        <v>11</v>
      </c>
      <c r="P42" s="79">
        <v>11</v>
      </c>
      <c r="Q42" s="79">
        <v>11</v>
      </c>
      <c r="R42" s="79">
        <v>11</v>
      </c>
      <c r="S42" s="79">
        <v>11</v>
      </c>
      <c r="T42" s="79">
        <v>11</v>
      </c>
      <c r="U42" s="79">
        <v>11</v>
      </c>
      <c r="V42" s="79">
        <v>11</v>
      </c>
      <c r="W42" s="79">
        <v>11</v>
      </c>
      <c r="X42" s="79">
        <v>11</v>
      </c>
      <c r="Y42" s="79">
        <v>11</v>
      </c>
      <c r="Z42" s="79">
        <v>11</v>
      </c>
      <c r="AA42" s="79">
        <v>11</v>
      </c>
      <c r="AB42" s="79">
        <v>11</v>
      </c>
      <c r="AC42" s="79">
        <v>11</v>
      </c>
      <c r="AD42" s="79">
        <v>11</v>
      </c>
      <c r="AE42" s="79">
        <v>11</v>
      </c>
      <c r="AF42" s="79">
        <v>11</v>
      </c>
      <c r="AG42" s="79">
        <v>11</v>
      </c>
      <c r="AH42" s="79">
        <v>11</v>
      </c>
      <c r="AI42" s="79">
        <v>11</v>
      </c>
      <c r="AJ42" s="79">
        <v>11</v>
      </c>
      <c r="AK42" s="79">
        <v>11</v>
      </c>
      <c r="AL42" s="79">
        <v>11</v>
      </c>
      <c r="AM42" s="79">
        <v>11</v>
      </c>
      <c r="AN42" s="79">
        <v>11</v>
      </c>
      <c r="AO42" s="79">
        <v>11</v>
      </c>
      <c r="AP42" s="79">
        <v>11</v>
      </c>
      <c r="AQ42" s="79">
        <v>11</v>
      </c>
      <c r="AR42" s="79">
        <v>11</v>
      </c>
      <c r="AS42" s="79">
        <v>11</v>
      </c>
      <c r="AT42" s="79">
        <v>11</v>
      </c>
      <c r="AU42" s="79">
        <v>11</v>
      </c>
      <c r="AV42" s="79">
        <v>11</v>
      </c>
      <c r="AW42" s="79">
        <v>11</v>
      </c>
      <c r="AX42" s="79">
        <v>11</v>
      </c>
      <c r="AY42" s="79">
        <v>11</v>
      </c>
      <c r="AZ42" s="79">
        <v>11</v>
      </c>
      <c r="BA42" s="79">
        <v>11</v>
      </c>
      <c r="BB42" s="79">
        <v>11</v>
      </c>
      <c r="BC42" s="79">
        <v>11</v>
      </c>
      <c r="BD42" s="79">
        <v>11</v>
      </c>
      <c r="BE42" s="79">
        <v>11</v>
      </c>
      <c r="BF42" s="79">
        <v>11</v>
      </c>
      <c r="BG42" s="79">
        <v>11</v>
      </c>
      <c r="BH42" s="79">
        <v>11</v>
      </c>
      <c r="BI42" s="79">
        <v>11</v>
      </c>
    </row>
    <row r="43" spans="1:61" x14ac:dyDescent="0.45">
      <c r="A43">
        <v>12</v>
      </c>
      <c r="B43">
        <v>12</v>
      </c>
      <c r="C43">
        <v>12</v>
      </c>
      <c r="D43">
        <v>12</v>
      </c>
      <c r="E43">
        <v>12</v>
      </c>
      <c r="F43">
        <v>12</v>
      </c>
      <c r="G43">
        <v>12</v>
      </c>
      <c r="H43">
        <v>12</v>
      </c>
      <c r="I43">
        <v>12</v>
      </c>
      <c r="J43">
        <v>12</v>
      </c>
      <c r="K43">
        <v>12</v>
      </c>
      <c r="L43">
        <v>12</v>
      </c>
      <c r="M43">
        <v>12</v>
      </c>
      <c r="N43">
        <v>12</v>
      </c>
      <c r="O43">
        <v>12</v>
      </c>
      <c r="P43">
        <v>12</v>
      </c>
      <c r="Q43">
        <v>12</v>
      </c>
      <c r="R43">
        <v>12</v>
      </c>
      <c r="S43">
        <v>12</v>
      </c>
      <c r="T43">
        <v>12</v>
      </c>
      <c r="U43">
        <v>12</v>
      </c>
      <c r="V43">
        <v>12</v>
      </c>
      <c r="W43">
        <v>12</v>
      </c>
      <c r="X43">
        <v>12</v>
      </c>
      <c r="Y43">
        <v>12</v>
      </c>
      <c r="Z43">
        <v>12</v>
      </c>
      <c r="AA43">
        <v>12</v>
      </c>
      <c r="AB43">
        <v>12</v>
      </c>
      <c r="AC43">
        <v>12</v>
      </c>
      <c r="AD43">
        <v>12</v>
      </c>
      <c r="AE43">
        <v>12</v>
      </c>
      <c r="AF43">
        <v>12</v>
      </c>
      <c r="AG43">
        <v>12</v>
      </c>
      <c r="AH43">
        <v>12</v>
      </c>
      <c r="AI43">
        <v>12</v>
      </c>
      <c r="AJ43">
        <v>12</v>
      </c>
      <c r="AK43">
        <v>12</v>
      </c>
      <c r="AL43">
        <v>12</v>
      </c>
      <c r="AM43">
        <v>12</v>
      </c>
      <c r="AN43">
        <v>12</v>
      </c>
      <c r="AO43">
        <v>12</v>
      </c>
      <c r="AP43">
        <v>12</v>
      </c>
      <c r="AQ43">
        <v>12</v>
      </c>
      <c r="AR43" s="79">
        <v>12</v>
      </c>
      <c r="AS43" s="79">
        <v>12</v>
      </c>
      <c r="AT43" s="79">
        <v>12</v>
      </c>
      <c r="AU43" s="79">
        <v>12</v>
      </c>
      <c r="AV43" s="79">
        <v>12</v>
      </c>
      <c r="AW43" s="79">
        <v>12</v>
      </c>
      <c r="AX43" s="79">
        <v>12</v>
      </c>
      <c r="AY43" s="79">
        <v>12</v>
      </c>
      <c r="AZ43" s="79">
        <v>12</v>
      </c>
      <c r="BA43" s="79">
        <v>12</v>
      </c>
      <c r="BB43" s="79">
        <v>12</v>
      </c>
      <c r="BC43" s="79">
        <v>12</v>
      </c>
      <c r="BD43" s="79">
        <v>12</v>
      </c>
      <c r="BE43" s="79">
        <v>12</v>
      </c>
      <c r="BF43" s="79">
        <v>12</v>
      </c>
      <c r="BG43" s="79">
        <v>12</v>
      </c>
      <c r="BH43" s="79">
        <v>12</v>
      </c>
      <c r="BI43" s="79">
        <v>12</v>
      </c>
    </row>
    <row r="44" spans="1:61" x14ac:dyDescent="0.45">
      <c r="A44">
        <v>13</v>
      </c>
      <c r="B44" s="79">
        <v>13</v>
      </c>
      <c r="C44" s="79">
        <v>13</v>
      </c>
      <c r="D44" s="79">
        <v>13</v>
      </c>
      <c r="E44" s="79">
        <v>13</v>
      </c>
      <c r="F44" s="79">
        <v>13</v>
      </c>
      <c r="G44" s="79">
        <v>13</v>
      </c>
      <c r="H44" s="79">
        <v>13</v>
      </c>
      <c r="I44" s="79">
        <v>13</v>
      </c>
      <c r="J44" s="79">
        <v>13</v>
      </c>
      <c r="K44" s="79">
        <v>13</v>
      </c>
      <c r="L44" s="79">
        <v>13</v>
      </c>
      <c r="M44" s="79">
        <v>13</v>
      </c>
      <c r="N44" s="79">
        <v>13</v>
      </c>
      <c r="O44" s="79">
        <v>13</v>
      </c>
      <c r="P44" s="79">
        <v>13</v>
      </c>
      <c r="Q44" s="79">
        <v>13</v>
      </c>
      <c r="R44" s="79">
        <v>13</v>
      </c>
      <c r="S44" s="79">
        <v>13</v>
      </c>
      <c r="T44" s="79">
        <v>13</v>
      </c>
      <c r="U44" s="79">
        <v>13</v>
      </c>
      <c r="V44" s="79">
        <v>13</v>
      </c>
      <c r="W44" s="79">
        <v>13</v>
      </c>
      <c r="X44" s="79">
        <v>13</v>
      </c>
      <c r="Y44" s="79">
        <v>13</v>
      </c>
      <c r="Z44" s="79">
        <v>13</v>
      </c>
      <c r="AA44" s="79">
        <v>13</v>
      </c>
      <c r="AB44" s="79">
        <v>13</v>
      </c>
      <c r="AC44" s="79">
        <v>13</v>
      </c>
      <c r="AD44" s="79">
        <v>13</v>
      </c>
      <c r="AE44" s="79">
        <v>13</v>
      </c>
      <c r="AF44" s="79">
        <v>13</v>
      </c>
      <c r="AG44" s="79">
        <v>13</v>
      </c>
      <c r="AH44" s="79">
        <v>13</v>
      </c>
      <c r="AI44" s="79">
        <v>13</v>
      </c>
      <c r="AJ44" s="79">
        <v>13</v>
      </c>
      <c r="AK44" s="79">
        <v>13</v>
      </c>
      <c r="AL44" s="79">
        <v>13</v>
      </c>
      <c r="AM44" s="79">
        <v>13</v>
      </c>
      <c r="AN44" s="79">
        <v>13</v>
      </c>
      <c r="AO44" s="79">
        <v>13</v>
      </c>
      <c r="AP44" s="79">
        <v>13</v>
      </c>
      <c r="AQ44" s="79">
        <v>13</v>
      </c>
      <c r="AR44" s="79">
        <v>13</v>
      </c>
      <c r="AS44" s="79">
        <v>13</v>
      </c>
      <c r="AT44" s="79">
        <v>13</v>
      </c>
      <c r="AU44" s="79">
        <v>13</v>
      </c>
      <c r="AV44" s="79">
        <v>13</v>
      </c>
      <c r="AW44" s="79">
        <v>13</v>
      </c>
      <c r="AX44" s="79">
        <v>13</v>
      </c>
      <c r="AY44" s="79">
        <v>13</v>
      </c>
      <c r="AZ44" s="79">
        <v>13</v>
      </c>
      <c r="BA44" s="79">
        <v>13</v>
      </c>
      <c r="BB44" s="79">
        <v>13</v>
      </c>
      <c r="BC44" s="79">
        <v>13</v>
      </c>
      <c r="BD44" s="79">
        <v>13</v>
      </c>
      <c r="BE44" s="79">
        <v>13</v>
      </c>
      <c r="BF44" s="79">
        <v>13</v>
      </c>
      <c r="BG44" s="79">
        <v>13</v>
      </c>
      <c r="BH44" s="79">
        <v>13</v>
      </c>
      <c r="BI44" s="79">
        <v>13</v>
      </c>
    </row>
    <row r="45" spans="1:61" x14ac:dyDescent="0.45">
      <c r="A45">
        <v>14</v>
      </c>
      <c r="B45">
        <v>14</v>
      </c>
      <c r="C45">
        <v>14</v>
      </c>
      <c r="D45" s="79">
        <v>14</v>
      </c>
      <c r="E45" s="79">
        <v>14</v>
      </c>
      <c r="F45" s="79">
        <v>14</v>
      </c>
      <c r="G45" s="79">
        <v>14</v>
      </c>
      <c r="H45" s="79">
        <v>14</v>
      </c>
      <c r="I45" s="79">
        <v>14</v>
      </c>
      <c r="J45" s="79">
        <v>14</v>
      </c>
      <c r="K45" s="79">
        <v>14</v>
      </c>
      <c r="L45" s="79">
        <v>14</v>
      </c>
      <c r="M45" s="79">
        <v>14</v>
      </c>
      <c r="N45" s="79">
        <v>14</v>
      </c>
      <c r="O45" s="79">
        <v>14</v>
      </c>
      <c r="P45" s="79">
        <v>14</v>
      </c>
      <c r="Q45" s="79">
        <v>14</v>
      </c>
      <c r="R45" s="79">
        <v>14</v>
      </c>
      <c r="S45" s="79">
        <v>14</v>
      </c>
      <c r="T45" s="79">
        <v>14</v>
      </c>
      <c r="U45" s="79">
        <v>14</v>
      </c>
      <c r="V45" s="79">
        <v>14</v>
      </c>
      <c r="W45" s="79">
        <v>14</v>
      </c>
      <c r="X45" s="79">
        <v>14</v>
      </c>
      <c r="Y45" s="79">
        <v>14</v>
      </c>
      <c r="Z45" s="79">
        <v>14</v>
      </c>
      <c r="AA45" s="79">
        <v>14</v>
      </c>
      <c r="AB45" s="79">
        <v>14</v>
      </c>
      <c r="AC45" s="79">
        <v>14</v>
      </c>
      <c r="AD45" s="79">
        <v>14</v>
      </c>
      <c r="AE45" s="79">
        <v>14</v>
      </c>
      <c r="AF45" s="79">
        <v>14</v>
      </c>
      <c r="AG45" s="79">
        <v>14</v>
      </c>
      <c r="AH45" s="79">
        <v>14</v>
      </c>
      <c r="AI45" s="79">
        <v>14</v>
      </c>
      <c r="AJ45" s="79">
        <v>14</v>
      </c>
      <c r="AK45" s="79">
        <v>14</v>
      </c>
      <c r="AL45" s="79">
        <v>14</v>
      </c>
      <c r="AM45" s="79">
        <v>14</v>
      </c>
      <c r="AN45" s="79">
        <v>14</v>
      </c>
      <c r="AO45" s="79">
        <v>14</v>
      </c>
      <c r="AP45" s="79">
        <v>14</v>
      </c>
      <c r="AQ45" s="79">
        <v>14</v>
      </c>
      <c r="AR45" s="79">
        <v>14</v>
      </c>
      <c r="AS45" s="79">
        <v>14</v>
      </c>
      <c r="AT45" s="79">
        <v>14</v>
      </c>
      <c r="AU45" s="79">
        <v>14</v>
      </c>
      <c r="AV45" s="79">
        <v>14</v>
      </c>
      <c r="AW45" s="79">
        <v>14</v>
      </c>
      <c r="AX45" s="79">
        <v>14</v>
      </c>
      <c r="AY45" s="79">
        <v>14</v>
      </c>
      <c r="AZ45" s="79">
        <v>14</v>
      </c>
      <c r="BA45" s="79">
        <v>14</v>
      </c>
      <c r="BB45" s="79">
        <v>14</v>
      </c>
      <c r="BC45" s="79">
        <v>14</v>
      </c>
      <c r="BD45" s="79">
        <v>14</v>
      </c>
      <c r="BE45" s="79">
        <v>14</v>
      </c>
      <c r="BF45" s="79">
        <v>14</v>
      </c>
      <c r="BG45" s="79">
        <v>14</v>
      </c>
      <c r="BH45" s="79">
        <v>14</v>
      </c>
      <c r="BI45" s="79">
        <v>14</v>
      </c>
    </row>
    <row r="46" spans="1:61" x14ac:dyDescent="0.45">
      <c r="A46">
        <v>15</v>
      </c>
      <c r="B46">
        <v>15</v>
      </c>
      <c r="C46">
        <v>15</v>
      </c>
      <c r="D46">
        <v>15</v>
      </c>
      <c r="E46">
        <v>15</v>
      </c>
      <c r="F46">
        <v>15</v>
      </c>
      <c r="G46">
        <v>15</v>
      </c>
      <c r="H46">
        <v>15</v>
      </c>
      <c r="I46">
        <v>15</v>
      </c>
      <c r="J46">
        <v>15</v>
      </c>
      <c r="K46">
        <v>15</v>
      </c>
      <c r="L46">
        <v>15</v>
      </c>
      <c r="M46">
        <v>15</v>
      </c>
      <c r="N46">
        <v>15</v>
      </c>
      <c r="O46">
        <v>15</v>
      </c>
      <c r="P46">
        <v>15</v>
      </c>
      <c r="Q46">
        <v>15</v>
      </c>
      <c r="R46">
        <v>15</v>
      </c>
      <c r="S46">
        <v>15</v>
      </c>
      <c r="T46">
        <v>15</v>
      </c>
      <c r="U46">
        <v>15</v>
      </c>
      <c r="V46">
        <v>15</v>
      </c>
      <c r="W46">
        <v>15</v>
      </c>
      <c r="X46">
        <v>15</v>
      </c>
      <c r="Y46">
        <v>15</v>
      </c>
      <c r="Z46">
        <v>15</v>
      </c>
      <c r="AA46">
        <v>15</v>
      </c>
      <c r="AB46">
        <v>15</v>
      </c>
      <c r="AC46">
        <v>15</v>
      </c>
      <c r="AD46" s="79">
        <v>15</v>
      </c>
      <c r="AE46" s="79">
        <v>15</v>
      </c>
      <c r="AF46" s="79">
        <v>15</v>
      </c>
      <c r="AG46" s="79">
        <v>15</v>
      </c>
      <c r="AH46" s="79">
        <v>15</v>
      </c>
      <c r="AI46" s="79">
        <v>15</v>
      </c>
      <c r="AJ46" s="79">
        <v>15</v>
      </c>
      <c r="AK46" s="79">
        <v>15</v>
      </c>
      <c r="AL46" s="79">
        <v>15</v>
      </c>
      <c r="AM46" s="79">
        <v>15</v>
      </c>
      <c r="AN46" s="79">
        <v>15</v>
      </c>
      <c r="AO46" s="79">
        <v>15</v>
      </c>
      <c r="AP46" s="79">
        <v>15</v>
      </c>
      <c r="AQ46" s="79">
        <v>15</v>
      </c>
      <c r="AR46" s="79">
        <v>15</v>
      </c>
      <c r="AS46" s="79">
        <v>15</v>
      </c>
      <c r="AT46" s="79">
        <v>15</v>
      </c>
      <c r="AU46" s="79">
        <v>15</v>
      </c>
      <c r="AV46" s="79">
        <v>15</v>
      </c>
      <c r="AW46" s="79">
        <v>15</v>
      </c>
      <c r="AX46" s="79">
        <v>15</v>
      </c>
      <c r="AY46" s="79">
        <v>15</v>
      </c>
      <c r="AZ46" s="79">
        <v>15</v>
      </c>
      <c r="BA46" s="79">
        <v>15</v>
      </c>
      <c r="BB46" s="79">
        <v>15</v>
      </c>
      <c r="BC46" s="79">
        <v>15</v>
      </c>
      <c r="BD46" s="79">
        <v>15</v>
      </c>
      <c r="BE46" s="79">
        <v>15</v>
      </c>
      <c r="BF46" s="79">
        <v>15</v>
      </c>
      <c r="BG46" s="79">
        <v>15</v>
      </c>
      <c r="BH46" s="79">
        <v>15</v>
      </c>
      <c r="BI46" s="79">
        <v>15</v>
      </c>
    </row>
    <row r="47" spans="1:61" x14ac:dyDescent="0.45">
      <c r="A47" s="79">
        <v>16</v>
      </c>
      <c r="B47" s="79">
        <v>16</v>
      </c>
      <c r="C47" s="79">
        <v>16</v>
      </c>
      <c r="D47" s="79">
        <v>16</v>
      </c>
      <c r="E47" s="79">
        <v>16</v>
      </c>
      <c r="F47" s="79">
        <v>16</v>
      </c>
      <c r="G47" s="79">
        <v>16</v>
      </c>
      <c r="H47" s="79">
        <v>16</v>
      </c>
      <c r="I47" s="79">
        <v>16</v>
      </c>
      <c r="J47" s="79">
        <v>16</v>
      </c>
      <c r="K47" s="79">
        <v>16</v>
      </c>
      <c r="L47" s="79">
        <v>16</v>
      </c>
      <c r="M47" s="79">
        <v>16</v>
      </c>
      <c r="N47" s="79">
        <v>16</v>
      </c>
      <c r="O47" s="79">
        <v>16</v>
      </c>
      <c r="P47" s="79">
        <v>16</v>
      </c>
      <c r="Q47" s="79">
        <v>16</v>
      </c>
      <c r="R47" s="79">
        <v>16</v>
      </c>
      <c r="S47" s="79">
        <v>16</v>
      </c>
      <c r="T47" s="79">
        <v>16</v>
      </c>
      <c r="U47" s="79">
        <v>16</v>
      </c>
      <c r="V47" s="79">
        <v>16</v>
      </c>
      <c r="W47" s="79">
        <v>16</v>
      </c>
      <c r="X47" s="79">
        <v>16</v>
      </c>
      <c r="Y47" s="79">
        <v>16</v>
      </c>
      <c r="Z47" s="79">
        <v>16</v>
      </c>
      <c r="AA47" s="79">
        <v>16</v>
      </c>
      <c r="AB47" s="79">
        <v>16</v>
      </c>
      <c r="AC47" s="79">
        <v>16</v>
      </c>
      <c r="AD47" s="79">
        <v>16</v>
      </c>
      <c r="AE47" s="79">
        <v>16</v>
      </c>
      <c r="AF47" s="79">
        <v>16</v>
      </c>
      <c r="AG47" s="79">
        <v>16</v>
      </c>
      <c r="AH47" s="79">
        <v>16</v>
      </c>
      <c r="AI47" s="79">
        <v>16</v>
      </c>
      <c r="AJ47" s="79">
        <v>16</v>
      </c>
      <c r="AK47" s="79">
        <v>16</v>
      </c>
      <c r="AL47" s="79">
        <v>16</v>
      </c>
      <c r="AM47" s="79">
        <v>16</v>
      </c>
      <c r="AN47" s="79">
        <v>16</v>
      </c>
      <c r="AO47" s="79">
        <v>16</v>
      </c>
      <c r="AP47" s="79">
        <v>16</v>
      </c>
      <c r="AQ47" s="79">
        <v>16</v>
      </c>
      <c r="AR47" s="79">
        <v>16</v>
      </c>
      <c r="AS47" s="79">
        <v>16</v>
      </c>
      <c r="AT47" s="79">
        <v>16</v>
      </c>
      <c r="AU47" s="79">
        <v>16</v>
      </c>
      <c r="AV47" s="79">
        <v>16</v>
      </c>
      <c r="AW47" s="79">
        <v>16</v>
      </c>
      <c r="AX47" s="79">
        <v>16</v>
      </c>
      <c r="AY47" s="79">
        <v>16</v>
      </c>
      <c r="AZ47" s="79">
        <v>16</v>
      </c>
      <c r="BA47" s="79">
        <v>16</v>
      </c>
      <c r="BB47" s="79">
        <v>16</v>
      </c>
      <c r="BC47" s="79">
        <v>16</v>
      </c>
      <c r="BD47" s="79">
        <v>16</v>
      </c>
      <c r="BE47" s="79">
        <v>16</v>
      </c>
      <c r="BF47" s="79">
        <v>16</v>
      </c>
      <c r="BG47" s="79">
        <v>16</v>
      </c>
      <c r="BH47" s="79">
        <v>16</v>
      </c>
      <c r="BI47" s="79">
        <v>16</v>
      </c>
    </row>
    <row r="49" spans="1:61" x14ac:dyDescent="0.45">
      <c r="A49">
        <v>16</v>
      </c>
      <c r="B49">
        <v>13</v>
      </c>
      <c r="C49">
        <v>13</v>
      </c>
      <c r="D49">
        <v>14</v>
      </c>
      <c r="E49">
        <v>11</v>
      </c>
      <c r="F49">
        <v>10</v>
      </c>
      <c r="G49">
        <v>5</v>
      </c>
      <c r="H49">
        <v>5</v>
      </c>
      <c r="I49">
        <v>2</v>
      </c>
      <c r="J49">
        <v>2</v>
      </c>
      <c r="K49">
        <v>8</v>
      </c>
      <c r="L49">
        <v>9</v>
      </c>
      <c r="M49">
        <v>13</v>
      </c>
      <c r="N49">
        <v>5</v>
      </c>
      <c r="O49">
        <v>16</v>
      </c>
      <c r="P49">
        <v>14</v>
      </c>
      <c r="Q49" s="86">
        <v>10</v>
      </c>
      <c r="R49">
        <v>11</v>
      </c>
      <c r="S49">
        <v>8</v>
      </c>
      <c r="T49">
        <v>8</v>
      </c>
      <c r="U49">
        <v>1</v>
      </c>
      <c r="V49">
        <v>7</v>
      </c>
      <c r="W49">
        <v>8</v>
      </c>
      <c r="X49">
        <v>3</v>
      </c>
      <c r="Y49">
        <v>1</v>
      </c>
      <c r="Z49">
        <v>14</v>
      </c>
      <c r="AA49">
        <v>11</v>
      </c>
      <c r="AB49">
        <v>16</v>
      </c>
      <c r="AC49">
        <v>6</v>
      </c>
      <c r="AD49">
        <v>15</v>
      </c>
      <c r="AE49">
        <v>14</v>
      </c>
      <c r="AF49" s="86">
        <v>9</v>
      </c>
      <c r="AG49">
        <v>7</v>
      </c>
      <c r="AH49">
        <v>8</v>
      </c>
      <c r="AI49">
        <v>16</v>
      </c>
      <c r="AJ49">
        <v>5</v>
      </c>
      <c r="AK49">
        <v>12</v>
      </c>
      <c r="AL49">
        <v>15</v>
      </c>
      <c r="AM49">
        <v>13</v>
      </c>
      <c r="AN49">
        <v>3</v>
      </c>
      <c r="AO49">
        <v>11</v>
      </c>
      <c r="AP49">
        <v>7</v>
      </c>
      <c r="AQ49">
        <v>15</v>
      </c>
      <c r="AR49">
        <v>12</v>
      </c>
      <c r="AS49">
        <v>12</v>
      </c>
      <c r="AT49">
        <v>6</v>
      </c>
      <c r="AU49">
        <v>6</v>
      </c>
      <c r="AV49">
        <v>15</v>
      </c>
      <c r="AW49" s="86">
        <v>14</v>
      </c>
      <c r="AX49">
        <v>11</v>
      </c>
      <c r="AY49">
        <v>13</v>
      </c>
      <c r="AZ49">
        <v>13</v>
      </c>
      <c r="BA49">
        <v>16</v>
      </c>
      <c r="BB49">
        <v>6</v>
      </c>
      <c r="BC49">
        <v>14</v>
      </c>
      <c r="BD49">
        <v>5</v>
      </c>
      <c r="BE49">
        <v>2</v>
      </c>
      <c r="BF49">
        <v>6</v>
      </c>
      <c r="BG49">
        <v>2</v>
      </c>
      <c r="BH49">
        <v>2</v>
      </c>
      <c r="BI49">
        <v>4</v>
      </c>
    </row>
    <row r="51" spans="1:61" x14ac:dyDescent="0.45">
      <c r="A51">
        <v>1</v>
      </c>
      <c r="B51">
        <v>2</v>
      </c>
      <c r="C51">
        <v>3</v>
      </c>
      <c r="D51">
        <v>4</v>
      </c>
      <c r="E51">
        <v>5</v>
      </c>
      <c r="F51">
        <v>6</v>
      </c>
      <c r="G51">
        <v>7</v>
      </c>
      <c r="H51">
        <v>8</v>
      </c>
      <c r="I51">
        <v>9</v>
      </c>
      <c r="J51">
        <v>10</v>
      </c>
      <c r="K51">
        <v>11</v>
      </c>
      <c r="L51">
        <v>12</v>
      </c>
      <c r="M51">
        <v>13</v>
      </c>
      <c r="N51">
        <v>14</v>
      </c>
      <c r="O51">
        <v>15</v>
      </c>
      <c r="P51">
        <v>16</v>
      </c>
      <c r="Q51">
        <v>17</v>
      </c>
      <c r="R51">
        <v>18</v>
      </c>
      <c r="S51">
        <v>19</v>
      </c>
      <c r="T51">
        <v>20</v>
      </c>
      <c r="U51">
        <v>21</v>
      </c>
      <c r="V51">
        <v>22</v>
      </c>
      <c r="W51">
        <v>23</v>
      </c>
      <c r="X51">
        <v>24</v>
      </c>
      <c r="Y51">
        <v>25</v>
      </c>
      <c r="Z51">
        <v>26</v>
      </c>
      <c r="AA51">
        <v>27</v>
      </c>
      <c r="AB51">
        <v>28</v>
      </c>
      <c r="AC51">
        <v>29</v>
      </c>
      <c r="AD51">
        <v>30</v>
      </c>
      <c r="AE51">
        <v>31</v>
      </c>
      <c r="AF51">
        <v>32</v>
      </c>
      <c r="AG51">
        <v>33</v>
      </c>
      <c r="AH51">
        <v>34</v>
      </c>
      <c r="AI51">
        <v>35</v>
      </c>
      <c r="AJ51">
        <v>36</v>
      </c>
      <c r="AK51">
        <v>37</v>
      </c>
      <c r="AL51">
        <v>38</v>
      </c>
      <c r="AM51">
        <v>39</v>
      </c>
      <c r="AN51">
        <v>40</v>
      </c>
      <c r="AO51">
        <v>41</v>
      </c>
      <c r="AP51">
        <v>42</v>
      </c>
      <c r="AQ51">
        <v>43</v>
      </c>
      <c r="AR51">
        <v>44</v>
      </c>
      <c r="AS51">
        <v>45</v>
      </c>
      <c r="AT51">
        <v>46</v>
      </c>
      <c r="AU51">
        <v>47</v>
      </c>
      <c r="AV51">
        <v>48</v>
      </c>
      <c r="AW51">
        <v>49</v>
      </c>
      <c r="AX51">
        <v>50</v>
      </c>
      <c r="AY51">
        <v>51</v>
      </c>
      <c r="AZ51">
        <v>52</v>
      </c>
      <c r="BA51">
        <v>53</v>
      </c>
      <c r="BB51">
        <v>54</v>
      </c>
      <c r="BC51">
        <v>55</v>
      </c>
      <c r="BD51">
        <v>56</v>
      </c>
      <c r="BE51">
        <v>57</v>
      </c>
      <c r="BF51">
        <v>58</v>
      </c>
      <c r="BG51">
        <v>59</v>
      </c>
      <c r="BH51">
        <v>60</v>
      </c>
      <c r="BI51">
        <v>61</v>
      </c>
    </row>
    <row r="53" spans="1:61" x14ac:dyDescent="0.45">
      <c r="A53">
        <f ca="1">RANDBETWEEN(1,16)</f>
        <v>8</v>
      </c>
      <c r="B53">
        <f t="shared" ref="B53:P53" ca="1" si="1">RANDBETWEEN(1,16)</f>
        <v>16</v>
      </c>
      <c r="C53">
        <f t="shared" ca="1" si="1"/>
        <v>3</v>
      </c>
      <c r="D53">
        <f t="shared" ca="1" si="1"/>
        <v>3</v>
      </c>
      <c r="E53">
        <f t="shared" ca="1" si="1"/>
        <v>12</v>
      </c>
      <c r="F53">
        <f t="shared" ca="1" si="1"/>
        <v>5</v>
      </c>
      <c r="G53">
        <f t="shared" ca="1" si="1"/>
        <v>6</v>
      </c>
      <c r="H53">
        <f t="shared" ca="1" si="1"/>
        <v>16</v>
      </c>
      <c r="I53">
        <f t="shared" ca="1" si="1"/>
        <v>12</v>
      </c>
      <c r="J53">
        <f t="shared" ca="1" si="1"/>
        <v>13</v>
      </c>
      <c r="K53">
        <f t="shared" ca="1" si="1"/>
        <v>7</v>
      </c>
      <c r="L53">
        <f t="shared" ca="1" si="1"/>
        <v>14</v>
      </c>
      <c r="M53">
        <f t="shared" ca="1" si="1"/>
        <v>14</v>
      </c>
      <c r="N53">
        <f t="shared" ca="1" si="1"/>
        <v>6</v>
      </c>
      <c r="O53">
        <f t="shared" ca="1" si="1"/>
        <v>3</v>
      </c>
      <c r="P53">
        <f t="shared" ca="1" si="1"/>
        <v>15</v>
      </c>
    </row>
    <row r="57" spans="1:61" x14ac:dyDescent="0.45">
      <c r="B57" t="s">
        <v>335</v>
      </c>
      <c r="I57" t="s">
        <v>338</v>
      </c>
      <c r="J57" t="s">
        <v>339</v>
      </c>
      <c r="K57" t="s">
        <v>340</v>
      </c>
    </row>
    <row r="58" spans="1:61" x14ac:dyDescent="0.45">
      <c r="B58">
        <v>1.36</v>
      </c>
      <c r="D58">
        <f>1/B58</f>
        <v>0.73529411764705876</v>
      </c>
      <c r="E58">
        <f>I61+J61</f>
        <v>0.704520697167756</v>
      </c>
      <c r="F58">
        <f>D58-E58</f>
        <v>3.077342047930276E-2</v>
      </c>
      <c r="I58">
        <v>2.25</v>
      </c>
      <c r="J58">
        <v>3.4</v>
      </c>
      <c r="K58">
        <v>3.2</v>
      </c>
    </row>
    <row r="59" spans="1:61" x14ac:dyDescent="0.45">
      <c r="B59" t="s">
        <v>336</v>
      </c>
      <c r="M59" t="s">
        <v>341</v>
      </c>
    </row>
    <row r="60" spans="1:61" x14ac:dyDescent="0.45">
      <c r="B60">
        <v>1.57</v>
      </c>
      <c r="D60">
        <f>1/B60</f>
        <v>0.63694267515923564</v>
      </c>
      <c r="E60">
        <f>K61+J61</f>
        <v>0.57257625272331159</v>
      </c>
      <c r="F60">
        <f>D60-E60</f>
        <v>6.4366422435924053E-2</v>
      </c>
      <c r="G60">
        <f>D58+D60</f>
        <v>1.3722367928062944</v>
      </c>
      <c r="I60">
        <f>1/I58</f>
        <v>0.44444444444444442</v>
      </c>
      <c r="J60">
        <f>1/J58</f>
        <v>0.29411764705882354</v>
      </c>
      <c r="K60">
        <f>1/K58</f>
        <v>0.3125</v>
      </c>
      <c r="M60">
        <f>SUM(I60:K60)</f>
        <v>1.051062091503268</v>
      </c>
      <c r="N60">
        <f>(M60-1)/3</f>
        <v>1.7020697167756005E-2</v>
      </c>
    </row>
    <row r="61" spans="1:61" x14ac:dyDescent="0.45">
      <c r="B61" t="s">
        <v>337</v>
      </c>
      <c r="I61">
        <f>I60-$N$60</f>
        <v>0.42742374727668841</v>
      </c>
      <c r="J61">
        <f>J60-$N$60</f>
        <v>0.27709694989106753</v>
      </c>
      <c r="K61">
        <f>K60-$N$60</f>
        <v>0.295479302832244</v>
      </c>
    </row>
    <row r="62" spans="1:61" x14ac:dyDescent="0.45">
      <c r="B62">
        <v>1.3</v>
      </c>
      <c r="D62">
        <f>1/B62</f>
        <v>0.76923076923076916</v>
      </c>
      <c r="E62">
        <f>I61+K61</f>
        <v>0.72290305010893241</v>
      </c>
      <c r="F62">
        <f>D62-E62</f>
        <v>4.6327719121836752E-2</v>
      </c>
    </row>
    <row r="63" spans="1:61" x14ac:dyDescent="0.45">
      <c r="I63" t="s">
        <v>343</v>
      </c>
      <c r="K63" t="s">
        <v>344</v>
      </c>
    </row>
    <row r="64" spans="1:61" x14ac:dyDescent="0.45">
      <c r="B64" t="s">
        <v>335</v>
      </c>
      <c r="D64" t="s">
        <v>342</v>
      </c>
      <c r="I64">
        <f>1/(I60+J60)</f>
        <v>1.3539823008849556</v>
      </c>
    </row>
    <row r="65" spans="2:12" x14ac:dyDescent="0.45">
      <c r="B65">
        <f>E58</f>
        <v>0.704520697167756</v>
      </c>
      <c r="D65">
        <f>1/B65</f>
        <v>1.4194047158871279</v>
      </c>
      <c r="I65" t="s">
        <v>340</v>
      </c>
    </row>
    <row r="66" spans="2:12" x14ac:dyDescent="0.45">
      <c r="B66" t="s">
        <v>336</v>
      </c>
      <c r="I66">
        <v>3.2</v>
      </c>
    </row>
    <row r="67" spans="2:12" x14ac:dyDescent="0.45">
      <c r="B67">
        <f>E60</f>
        <v>0.57257625272331159</v>
      </c>
      <c r="D67">
        <f>1/B67</f>
        <v>1.7464922711058264</v>
      </c>
    </row>
    <row r="68" spans="2:12" x14ac:dyDescent="0.45">
      <c r="B68" t="s">
        <v>337</v>
      </c>
    </row>
    <row r="69" spans="2:12" x14ac:dyDescent="0.45">
      <c r="B69">
        <f>E62</f>
        <v>0.72290305010893241</v>
      </c>
      <c r="D69">
        <f>1/B69</f>
        <v>1.3833113580712</v>
      </c>
      <c r="I69" t="s">
        <v>345</v>
      </c>
    </row>
    <row r="70" spans="2:12" x14ac:dyDescent="0.45">
      <c r="I70">
        <f>D62-K60</f>
        <v>0.45673076923076916</v>
      </c>
    </row>
    <row r="73" spans="2:12" x14ac:dyDescent="0.45">
      <c r="B73" t="s">
        <v>346</v>
      </c>
      <c r="G73" t="s">
        <v>349</v>
      </c>
      <c r="H73" t="s">
        <v>350</v>
      </c>
      <c r="I73" t="s">
        <v>351</v>
      </c>
    </row>
    <row r="74" spans="2:12" x14ac:dyDescent="0.45">
      <c r="B74">
        <v>1.1000000000000001</v>
      </c>
      <c r="D74">
        <f>1/B74</f>
        <v>0.90909090909090906</v>
      </c>
      <c r="E74">
        <f>G77+H77</f>
        <v>0.8726268285091815</v>
      </c>
      <c r="G74">
        <v>1.53</v>
      </c>
      <c r="H74">
        <v>4</v>
      </c>
      <c r="I74">
        <v>7</v>
      </c>
    </row>
    <row r="75" spans="2:12" x14ac:dyDescent="0.45">
      <c r="B75" t="s">
        <v>348</v>
      </c>
      <c r="G75">
        <f>1/G74</f>
        <v>0.65359477124183007</v>
      </c>
      <c r="H75">
        <f>1/H74</f>
        <v>0.25</v>
      </c>
      <c r="I75">
        <f>1/I74</f>
        <v>0.14285714285714285</v>
      </c>
      <c r="K75">
        <f>SUM(G75:I75)</f>
        <v>1.046451914098973</v>
      </c>
      <c r="L75">
        <f>(K75-1)/3</f>
        <v>1.5483971366324326E-2</v>
      </c>
    </row>
    <row r="76" spans="2:12" x14ac:dyDescent="0.45">
      <c r="B76">
        <v>2.37</v>
      </c>
      <c r="D76">
        <f>1/B76</f>
        <v>0.42194092827004215</v>
      </c>
      <c r="E76">
        <f>H77+I77</f>
        <v>0.36188920012449421</v>
      </c>
    </row>
    <row r="77" spans="2:12" x14ac:dyDescent="0.45">
      <c r="B77" t="s">
        <v>347</v>
      </c>
      <c r="G77">
        <f>G75-$L$75</f>
        <v>0.63811079987550579</v>
      </c>
      <c r="H77">
        <f>H75-$L$75</f>
        <v>0.23451602863367568</v>
      </c>
      <c r="I77">
        <f>I75-$L$75</f>
        <v>0.12737317149081853</v>
      </c>
    </row>
    <row r="78" spans="2:12" x14ac:dyDescent="0.45">
      <c r="B78">
        <v>1.22</v>
      </c>
      <c r="D78">
        <f>1/B78</f>
        <v>0.81967213114754101</v>
      </c>
      <c r="E78">
        <f>G77+I77</f>
        <v>0.76548397136632429</v>
      </c>
    </row>
    <row r="81" spans="1:13" x14ac:dyDescent="0.45">
      <c r="B81" t="s">
        <v>355</v>
      </c>
      <c r="C81" t="s">
        <v>354</v>
      </c>
      <c r="D81" t="s">
        <v>356</v>
      </c>
      <c r="G81" t="s">
        <v>352</v>
      </c>
      <c r="H81" t="s">
        <v>350</v>
      </c>
      <c r="I81" t="s">
        <v>353</v>
      </c>
    </row>
    <row r="82" spans="1:13" x14ac:dyDescent="0.45">
      <c r="B82">
        <v>1.66</v>
      </c>
      <c r="C82">
        <v>1.33</v>
      </c>
      <c r="D82">
        <v>1.3</v>
      </c>
      <c r="G82">
        <v>3.2</v>
      </c>
      <c r="H82">
        <v>3.3</v>
      </c>
      <c r="I82">
        <v>2</v>
      </c>
    </row>
    <row r="83" spans="1:13" x14ac:dyDescent="0.45">
      <c r="B83">
        <f>1/B82</f>
        <v>0.60240963855421692</v>
      </c>
      <c r="C83">
        <f>1/C82</f>
        <v>0.75187969924812026</v>
      </c>
      <c r="D83">
        <f>1/D82</f>
        <v>0.76923076923076916</v>
      </c>
      <c r="G83">
        <f>1/G82</f>
        <v>0.3125</v>
      </c>
      <c r="H83">
        <f>1/H82</f>
        <v>0.30303030303030304</v>
      </c>
      <c r="I83">
        <f>1/I82</f>
        <v>0.5</v>
      </c>
      <c r="K83">
        <f>SUM(G83:I83)</f>
        <v>1.115530303030303</v>
      </c>
      <c r="L83">
        <f>K83-1</f>
        <v>0.11553030303030298</v>
      </c>
      <c r="M83">
        <f>L83/3</f>
        <v>3.8510101010100994E-2</v>
      </c>
    </row>
    <row r="84" spans="1:13" x14ac:dyDescent="0.45">
      <c r="B84">
        <f>G84+H84</f>
        <v>0.53851010101010099</v>
      </c>
      <c r="C84">
        <f>H84+I84</f>
        <v>0.72601010101010099</v>
      </c>
      <c r="D84">
        <f>G84+I84</f>
        <v>0.73547979797979801</v>
      </c>
      <c r="G84">
        <f>G83-M83</f>
        <v>0.27398989898989901</v>
      </c>
      <c r="H84">
        <f>H83-M83</f>
        <v>0.26452020202020204</v>
      </c>
      <c r="I84">
        <f>I83-M83</f>
        <v>0.46148989898989901</v>
      </c>
    </row>
    <row r="86" spans="1:13" x14ac:dyDescent="0.45">
      <c r="A86">
        <v>31</v>
      </c>
      <c r="C86" t="s">
        <v>357</v>
      </c>
    </row>
    <row r="87" spans="1:13" x14ac:dyDescent="0.45">
      <c r="A87">
        <v>28</v>
      </c>
      <c r="C87" s="87">
        <f>(A86+A87)/365</f>
        <v>0.16164383561643836</v>
      </c>
    </row>
    <row r="88" spans="1:13" x14ac:dyDescent="0.45">
      <c r="A88">
        <v>31</v>
      </c>
      <c r="C88" t="s">
        <v>358</v>
      </c>
      <c r="E88" t="s">
        <v>359</v>
      </c>
      <c r="F88" t="s">
        <v>360</v>
      </c>
    </row>
    <row r="89" spans="1:13" x14ac:dyDescent="0.45">
      <c r="A89">
        <v>30</v>
      </c>
      <c r="C89" s="87">
        <f>31/365+20/365</f>
        <v>0.13972602739726026</v>
      </c>
      <c r="E89">
        <f>31/365</f>
        <v>8.4931506849315067E-2</v>
      </c>
      <c r="F89" t="s">
        <v>361</v>
      </c>
    </row>
    <row r="90" spans="1:13" x14ac:dyDescent="0.45">
      <c r="A90">
        <v>31</v>
      </c>
      <c r="C90" t="s">
        <v>363</v>
      </c>
      <c r="F90" t="s">
        <v>362</v>
      </c>
    </row>
    <row r="91" spans="1:13" x14ac:dyDescent="0.45">
      <c r="A91">
        <v>30</v>
      </c>
      <c r="C91" s="87">
        <f>(31+31+23)/365</f>
        <v>0.23287671232876711</v>
      </c>
    </row>
    <row r="92" spans="1:13" x14ac:dyDescent="0.45">
      <c r="A92">
        <v>31</v>
      </c>
      <c r="C92" t="s">
        <v>369</v>
      </c>
      <c r="E92" t="s">
        <v>368</v>
      </c>
      <c r="F92" t="s">
        <v>364</v>
      </c>
      <c r="G92" t="s">
        <v>365</v>
      </c>
      <c r="H92" t="s">
        <v>366</v>
      </c>
      <c r="I92" t="s">
        <v>367</v>
      </c>
    </row>
    <row r="93" spans="1:13" x14ac:dyDescent="0.45">
      <c r="A93">
        <v>31</v>
      </c>
      <c r="C93" s="87">
        <f>SUM(E93:I93)/365</f>
        <v>0.34246575342465752</v>
      </c>
      <c r="E93">
        <v>12</v>
      </c>
      <c r="F93">
        <v>30</v>
      </c>
      <c r="G93">
        <v>31</v>
      </c>
      <c r="H93">
        <v>30</v>
      </c>
      <c r="I93">
        <v>22</v>
      </c>
    </row>
    <row r="94" spans="1:13" x14ac:dyDescent="0.45">
      <c r="A94">
        <v>30</v>
      </c>
    </row>
    <row r="95" spans="1:13" x14ac:dyDescent="0.45">
      <c r="A95">
        <v>31</v>
      </c>
    </row>
    <row r="96" spans="1:13" x14ac:dyDescent="0.45">
      <c r="A96">
        <v>30</v>
      </c>
    </row>
    <row r="97" spans="1:13" x14ac:dyDescent="0.45">
      <c r="A97">
        <v>31</v>
      </c>
    </row>
    <row r="99" spans="1:13" x14ac:dyDescent="0.45">
      <c r="A99">
        <f>SUM(A86:A97)</f>
        <v>365</v>
      </c>
      <c r="C99" t="s">
        <v>371</v>
      </c>
      <c r="D99" t="s">
        <v>370</v>
      </c>
    </row>
    <row r="100" spans="1:13" x14ac:dyDescent="0.45">
      <c r="C100">
        <v>1.67</v>
      </c>
      <c r="D100">
        <v>2.1</v>
      </c>
    </row>
    <row r="101" spans="1:13" x14ac:dyDescent="0.45">
      <c r="C101">
        <f>1/C100</f>
        <v>0.5988023952095809</v>
      </c>
      <c r="D101">
        <f>1/D100</f>
        <v>0.47619047619047616</v>
      </c>
      <c r="F101">
        <f>SUM(C101:D101)</f>
        <v>1.0749928714000569</v>
      </c>
    </row>
    <row r="104" spans="1:13" x14ac:dyDescent="0.45">
      <c r="B104" t="s">
        <v>372</v>
      </c>
      <c r="C104" t="s">
        <v>373</v>
      </c>
      <c r="D104" t="s">
        <v>374</v>
      </c>
      <c r="G104" t="s">
        <v>49</v>
      </c>
      <c r="H104" t="s">
        <v>375</v>
      </c>
      <c r="I104" t="s">
        <v>147</v>
      </c>
    </row>
    <row r="105" spans="1:13" x14ac:dyDescent="0.45">
      <c r="B105" s="87">
        <f>G107+H107</f>
        <v>0.62672476397966581</v>
      </c>
      <c r="C105" s="87">
        <f>H107+I107</f>
        <v>0.64851125635439355</v>
      </c>
      <c r="D105" s="87">
        <f>G107+I107</f>
        <v>0.72476397966594042</v>
      </c>
      <c r="G105">
        <v>2.7</v>
      </c>
      <c r="H105">
        <v>3.4</v>
      </c>
      <c r="I105">
        <v>2.5499999999999998</v>
      </c>
    </row>
    <row r="106" spans="1:13" x14ac:dyDescent="0.45">
      <c r="G106">
        <f>1/G105</f>
        <v>0.37037037037037035</v>
      </c>
      <c r="H106">
        <f>1/H105</f>
        <v>0.29411764705882354</v>
      </c>
      <c r="I106">
        <f>1/I105</f>
        <v>0.39215686274509809</v>
      </c>
      <c r="K106">
        <f>SUM(G106:I106)</f>
        <v>1.056644880174292</v>
      </c>
      <c r="L106" s="87">
        <f>K106-1</f>
        <v>5.6644880174292034E-2</v>
      </c>
      <c r="M106">
        <f>L106/3</f>
        <v>1.8881626724764011E-2</v>
      </c>
    </row>
    <row r="107" spans="1:13" x14ac:dyDescent="0.45">
      <c r="G107" s="87">
        <f>G106-$M$106</f>
        <v>0.35148874364560634</v>
      </c>
      <c r="H107" s="87">
        <f>H106-$M$106</f>
        <v>0.27523602033405953</v>
      </c>
      <c r="I107" s="87">
        <f>I106-$M$106</f>
        <v>0.37327523602033408</v>
      </c>
      <c r="K107">
        <f>G107+H107+I107</f>
        <v>0.99999999999999989</v>
      </c>
    </row>
    <row r="110" spans="1:13" x14ac:dyDescent="0.45">
      <c r="B110" t="s">
        <v>376</v>
      </c>
      <c r="C110" t="s">
        <v>377</v>
      </c>
      <c r="D110" t="s">
        <v>378</v>
      </c>
      <c r="G110" t="s">
        <v>379</v>
      </c>
      <c r="H110" t="s">
        <v>375</v>
      </c>
      <c r="I110" t="s">
        <v>380</v>
      </c>
    </row>
    <row r="111" spans="1:13" x14ac:dyDescent="0.45">
      <c r="B111" s="87">
        <f>G113+H113</f>
        <v>0.5444525291723934</v>
      </c>
      <c r="C111" s="87">
        <f>H113+I113</f>
        <v>0.75748511062602741</v>
      </c>
      <c r="D111" s="87">
        <f>G113+I113</f>
        <v>0.69806236020157919</v>
      </c>
      <c r="G111">
        <v>3.8</v>
      </c>
      <c r="H111">
        <v>3.1</v>
      </c>
      <c r="I111">
        <v>2.1</v>
      </c>
    </row>
    <row r="112" spans="1:13" x14ac:dyDescent="0.45">
      <c r="G112">
        <f>1/G111</f>
        <v>0.26315789473684209</v>
      </c>
      <c r="H112">
        <f>1/H111</f>
        <v>0.32258064516129031</v>
      </c>
      <c r="I112">
        <f>1/I111</f>
        <v>0.47619047619047616</v>
      </c>
      <c r="K112">
        <f>SUM(G112:I112)</f>
        <v>1.0619290160886086</v>
      </c>
      <c r="L112" s="87">
        <f>K112-1</f>
        <v>6.1929016088608568E-2</v>
      </c>
      <c r="M112">
        <f>L112/3</f>
        <v>2.0643005362869522E-2</v>
      </c>
    </row>
    <row r="113" spans="7:11" x14ac:dyDescent="0.45">
      <c r="G113" s="87">
        <f>G112-$M$112</f>
        <v>0.24251488937397256</v>
      </c>
      <c r="H113" s="87">
        <f t="shared" ref="H113:I113" si="2">H112-$M$112</f>
        <v>0.30193763979842081</v>
      </c>
      <c r="I113" s="87">
        <f t="shared" si="2"/>
        <v>0.45554747082760666</v>
      </c>
      <c r="K113">
        <f>SUM(G113:I113)</f>
        <v>1</v>
      </c>
    </row>
  </sheetData>
  <sortState xmlns:xlrd2="http://schemas.microsoft.com/office/spreadsheetml/2017/richdata2" ref="F101:F119">
    <sortCondition descending="1" ref="F101:F119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FD4EF-5D11-4172-9066-061BC0C26B44}">
  <dimension ref="A1:U39"/>
  <sheetViews>
    <sheetView topLeftCell="C1" workbookViewId="0">
      <selection activeCell="E3" sqref="E3"/>
    </sheetView>
  </sheetViews>
  <sheetFormatPr defaultRowHeight="14.25" x14ac:dyDescent="0.45"/>
  <cols>
    <col min="2" max="2" width="14.73046875" bestFit="1" customWidth="1"/>
    <col min="3" max="3" width="14.59765625" bestFit="1" customWidth="1"/>
    <col min="4" max="4" width="15.19921875" bestFit="1" customWidth="1"/>
    <col min="5" max="5" width="13.33203125" bestFit="1" customWidth="1"/>
    <col min="7" max="7" width="10.19921875" bestFit="1" customWidth="1"/>
    <col min="8" max="8" width="11.59765625" customWidth="1"/>
    <col min="9" max="9" width="11.265625" customWidth="1"/>
    <col min="17" max="17" width="10.19921875" bestFit="1" customWidth="1"/>
  </cols>
  <sheetData>
    <row r="1" spans="1:21" x14ac:dyDescent="0.45">
      <c r="B1" t="s">
        <v>158</v>
      </c>
      <c r="C1" t="s">
        <v>159</v>
      </c>
      <c r="D1" t="s">
        <v>234</v>
      </c>
      <c r="E1" t="s">
        <v>272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382</v>
      </c>
      <c r="N1" t="s">
        <v>381</v>
      </c>
      <c r="O1" t="s">
        <v>131</v>
      </c>
      <c r="P1" t="s">
        <v>341</v>
      </c>
      <c r="Q1" t="s">
        <v>132</v>
      </c>
      <c r="R1" t="s">
        <v>133</v>
      </c>
      <c r="S1" t="s">
        <v>134</v>
      </c>
    </row>
    <row r="2" spans="1:21" x14ac:dyDescent="0.45">
      <c r="A2" t="s">
        <v>157</v>
      </c>
      <c r="B2">
        <f>D2</f>
        <v>3</v>
      </c>
      <c r="C2">
        <f>E2</f>
        <v>2.1114088147336232</v>
      </c>
      <c r="D2" cm="1">
        <f t="array" ref="D2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2">
        <f>IF(Table4[[#This Row],[HomeTeam]]="Barcelona",Table4[[#This Row],[OddH]]*3+Table4[[#This Row],[OddD]]*1,Table4[[#This Row],[OddA]]*3+Table4[[#This Row],[OddD]]*1)</f>
        <v>2.1114088147336232</v>
      </c>
      <c r="G2" s="75">
        <v>44105</v>
      </c>
      <c r="H2" t="s">
        <v>315</v>
      </c>
      <c r="I2" t="s">
        <v>147</v>
      </c>
      <c r="J2">
        <v>0</v>
      </c>
      <c r="K2">
        <v>3</v>
      </c>
      <c r="L2" t="s">
        <v>180</v>
      </c>
      <c r="M2">
        <f>1/Table4[[#This Row],[ProbH]]-Table4[[#This Row],[Margin]]</f>
        <v>0.15204535920648451</v>
      </c>
      <c r="N2">
        <f>1/Table4[[#This Row],[ProbD]]-Table4[[#This Row],[Margin]]</f>
        <v>0.21622755382346173</v>
      </c>
      <c r="O2">
        <f>1/Table4[[#This Row],[ProbA]]-Table4[[#This Row],[Margin]]</f>
        <v>0.63172708697005375</v>
      </c>
      <c r="P2">
        <f>(1/Table4[[#This Row],[ProbH]]+1/Table4[[#This Row],[ProbD]]+1/Table4[[#This Row],[ProbA]]-1)/3</f>
        <v>2.186768427177636E-2</v>
      </c>
      <c r="Q2">
        <v>5.75</v>
      </c>
      <c r="R2">
        <v>4.2</v>
      </c>
      <c r="S2">
        <v>1.53</v>
      </c>
      <c r="U2">
        <f>SUM(Table4[[#This Row],[OddH]:[OddA]])</f>
        <v>1</v>
      </c>
    </row>
    <row r="3" spans="1:21" x14ac:dyDescent="0.45">
      <c r="A3" t="s">
        <v>235</v>
      </c>
      <c r="B3">
        <f>B2+D3</f>
        <v>3</v>
      </c>
      <c r="C3">
        <f>C2+E3</f>
        <v>4.0453133434973934</v>
      </c>
      <c r="D3" cm="1">
        <f t="array" ref="D3">IF(Table4[[#This Row],[HomeTeam]]="Barcelona",_xlfn.IFS(Table4[[#This Row],[FTR]]="H",3,Table4[[#This Row],[FTR]]="D",1,Table4[[#This Row],[FTR]]="A",0),_xlfn.IFS(Table4[[#This Row],[FTR]]="A",3,Table4[[#This Row],[FTR]]="D",1,Table4[[#This Row],[FTR]]="H",0))</f>
        <v>0</v>
      </c>
      <c r="E3">
        <f>IF(Table4[[#This Row],[HomeTeam]]="Barcelona",Table4[[#This Row],[OddH]]*3+Table4[[#This Row],[OddD]]*1,Table4[[#This Row],[OddA]]*3+Table4[[#This Row],[OddD]]*1)</f>
        <v>1.9339045287637699</v>
      </c>
      <c r="G3" s="75">
        <v>44121</v>
      </c>
      <c r="H3" t="s">
        <v>69</v>
      </c>
      <c r="I3" t="s">
        <v>147</v>
      </c>
      <c r="J3">
        <v>1</v>
      </c>
      <c r="K3">
        <v>0</v>
      </c>
      <c r="L3" t="s">
        <v>175</v>
      </c>
      <c r="M3">
        <f>1/Table4[[#This Row],[ProbH]]-Table4[[#This Row],[Margin]]</f>
        <v>0.19216646266829862</v>
      </c>
      <c r="N3">
        <f>1/Table4[[#This Row],[ProbD]]-Table4[[#This Row],[Margin]]</f>
        <v>0.24479804161566704</v>
      </c>
      <c r="O3">
        <f>1/Table4[[#This Row],[ProbA]]-Table4[[#This Row],[Margin]]</f>
        <v>0.56303549571603428</v>
      </c>
      <c r="P3">
        <f>(1/Table4[[#This Row],[ProbH]]+1/Table4[[#This Row],[ProbD]]+1/Table4[[#This Row],[ProbA]]-1)/3</f>
        <v>1.8359853121175052E-2</v>
      </c>
      <c r="Q3">
        <v>4.75</v>
      </c>
      <c r="R3">
        <v>3.8</v>
      </c>
      <c r="S3">
        <v>1.72</v>
      </c>
      <c r="U3">
        <f>SUM(Table4[[#This Row],[OddH]:[OddA]])</f>
        <v>1</v>
      </c>
    </row>
    <row r="4" spans="1:21" x14ac:dyDescent="0.45">
      <c r="A4" t="s">
        <v>236</v>
      </c>
      <c r="B4">
        <f t="shared" ref="B4:B39" si="0">B3+D4</f>
        <v>4</v>
      </c>
      <c r="C4">
        <f t="shared" ref="C4:C39" si="1">C3+E4</f>
        <v>6.260750440513438</v>
      </c>
      <c r="D4" cm="1">
        <f t="array" ref="D4">IF(Table4[[#This Row],[HomeTeam]]="Barcelona",_xlfn.IFS(Table4[[#This Row],[FTR]]="H",3,Table4[[#This Row],[FTR]]="D",1,Table4[[#This Row],[FTR]]="A",0),_xlfn.IFS(Table4[[#This Row],[FTR]]="A",3,Table4[[#This Row],[FTR]]="D",1,Table4[[#This Row],[FTR]]="H",0))</f>
        <v>1</v>
      </c>
      <c r="E4">
        <f>IF(Table4[[#This Row],[HomeTeam]]="Barcelona",Table4[[#This Row],[OddH]]*3+Table4[[#This Row],[OddD]]*1,Table4[[#This Row],[OddA]]*3+Table4[[#This Row],[OddD]]*1)</f>
        <v>2.2154370970160446</v>
      </c>
      <c r="G4" s="75">
        <v>44135</v>
      </c>
      <c r="H4" t="s">
        <v>319</v>
      </c>
      <c r="I4" t="s">
        <v>147</v>
      </c>
      <c r="J4">
        <v>1</v>
      </c>
      <c r="K4">
        <v>1</v>
      </c>
      <c r="L4" t="s">
        <v>172</v>
      </c>
      <c r="M4">
        <f>1/Table4[[#This Row],[ProbH]]-Table4[[#This Row],[Margin]]</f>
        <v>0.13424051581946325</v>
      </c>
      <c r="N4">
        <f>1/Table4[[#This Row],[ProbD]]-Table4[[#This Row],[Margin]]</f>
        <v>0.19092067776278307</v>
      </c>
      <c r="O4">
        <f>1/Table4[[#This Row],[ProbA]]-Table4[[#This Row],[Margin]]</f>
        <v>0.67483880641775384</v>
      </c>
      <c r="P4">
        <f>(1/Table4[[#This Row],[ProbH]]+1/Table4[[#This Row],[ProbD]]+1/Table4[[#This Row],[ProbA]]-1)/3</f>
        <v>1.9605638026690613E-2</v>
      </c>
      <c r="Q4">
        <v>6.5</v>
      </c>
      <c r="R4">
        <v>4.75</v>
      </c>
      <c r="S4">
        <v>1.44</v>
      </c>
      <c r="U4">
        <f>SUM(Table4[[#This Row],[OddH]:[OddA]])</f>
        <v>1.0000000000000002</v>
      </c>
    </row>
    <row r="5" spans="1:21" x14ac:dyDescent="0.45">
      <c r="A5" t="s">
        <v>237</v>
      </c>
      <c r="B5">
        <f t="shared" si="0"/>
        <v>4</v>
      </c>
      <c r="C5">
        <f t="shared" si="1"/>
        <v>7.7423104441162174</v>
      </c>
      <c r="D5" cm="1">
        <f t="array" ref="D5">IF(Table4[[#This Row],[HomeTeam]]="Barcelona",_xlfn.IFS(Table4[[#This Row],[FTR]]="H",3,Table4[[#This Row],[FTR]]="D",1,Table4[[#This Row],[FTR]]="A",0),_xlfn.IFS(Table4[[#This Row],[FTR]]="A",3,Table4[[#This Row],[FTR]]="D",1,Table4[[#This Row],[FTR]]="H",0))</f>
        <v>0</v>
      </c>
      <c r="E5">
        <f>IF(Table4[[#This Row],[HomeTeam]]="Barcelona",Table4[[#This Row],[OddH]]*3+Table4[[#This Row],[OddD]]*1,Table4[[#This Row],[OddA]]*3+Table4[[#This Row],[OddD]]*1)</f>
        <v>1.4815600036027798</v>
      </c>
      <c r="G5" s="75">
        <v>44156</v>
      </c>
      <c r="H5" t="s">
        <v>313</v>
      </c>
      <c r="I5" t="s">
        <v>147</v>
      </c>
      <c r="J5">
        <v>1</v>
      </c>
      <c r="K5">
        <v>0</v>
      </c>
      <c r="L5" t="s">
        <v>175</v>
      </c>
      <c r="M5">
        <f>1/Table4[[#This Row],[ProbH]]-Table4[[#This Row],[Margin]]</f>
        <v>0.32733331947648847</v>
      </c>
      <c r="N5">
        <f>1/Table4[[#This Row],[ProbD]]-Table4[[#This Row],[Margin]]</f>
        <v>0.26822001898387759</v>
      </c>
      <c r="O5">
        <f>1/Table4[[#This Row],[ProbA]]-Table4[[#This Row],[Margin]]</f>
        <v>0.40444666153963404</v>
      </c>
      <c r="P5">
        <f>(1/Table4[[#This Row],[ProbH]]+1/Table4[[#This Row],[ProbD]]+1/Table4[[#This Row],[ProbA]]-1)/3</f>
        <v>1.7494266730408103E-2</v>
      </c>
      <c r="Q5">
        <v>2.9</v>
      </c>
      <c r="R5">
        <v>3.5</v>
      </c>
      <c r="S5">
        <v>2.37</v>
      </c>
      <c r="U5">
        <f>SUM(Table4[[#This Row],[OddH]:[OddA]])</f>
        <v>1</v>
      </c>
    </row>
    <row r="6" spans="1:21" x14ac:dyDescent="0.45">
      <c r="A6" t="s">
        <v>238</v>
      </c>
      <c r="B6">
        <f t="shared" si="0"/>
        <v>4</v>
      </c>
      <c r="C6">
        <f t="shared" si="1"/>
        <v>10.077604561763277</v>
      </c>
      <c r="D6" cm="1">
        <f t="array" ref="D6">IF(Table4[[#This Row],[HomeTeam]]="Barcelona",_xlfn.IFS(Table4[[#This Row],[FTR]]="H",3,Table4[[#This Row],[FTR]]="D",1,Table4[[#This Row],[FTR]]="A",0),_xlfn.IFS(Table4[[#This Row],[FTR]]="A",3,Table4[[#This Row],[FTR]]="D",1,Table4[[#This Row],[FTR]]="H",0))</f>
        <v>0</v>
      </c>
      <c r="E6">
        <f>IF(Table4[[#This Row],[HomeTeam]]="Barcelona",Table4[[#This Row],[OddH]]*3+Table4[[#This Row],[OddD]]*1,Table4[[#This Row],[OddA]]*3+Table4[[#This Row],[OddD]]*1)</f>
        <v>2.335294117647059</v>
      </c>
      <c r="G6" s="75">
        <v>44170</v>
      </c>
      <c r="H6" t="s">
        <v>321</v>
      </c>
      <c r="I6" t="s">
        <v>147</v>
      </c>
      <c r="J6">
        <v>2</v>
      </c>
      <c r="K6">
        <v>1</v>
      </c>
      <c r="L6" t="s">
        <v>175</v>
      </c>
      <c r="M6">
        <f>1/Table4[[#This Row],[ProbH]]-Table4[[#This Row],[Margin]]</f>
        <v>0.10000000000000006</v>
      </c>
      <c r="N6">
        <f>1/Table4[[#This Row],[ProbD]]-Table4[[#This Row],[Margin]]</f>
        <v>0.18235294117647066</v>
      </c>
      <c r="O6">
        <f>1/Table4[[#This Row],[ProbA]]-Table4[[#This Row],[Margin]]</f>
        <v>0.71764705882352942</v>
      </c>
      <c r="P6">
        <f>(1/Table4[[#This Row],[ProbH]]+1/Table4[[#This Row],[ProbD]]+1/Table4[[#This Row],[ProbA]]-1)/3</f>
        <v>1.7647058823529349E-2</v>
      </c>
      <c r="Q6">
        <v>8.5</v>
      </c>
      <c r="R6">
        <v>5</v>
      </c>
      <c r="S6">
        <v>1.36</v>
      </c>
      <c r="U6">
        <f>SUM(Table4[[#This Row],[OddH]:[OddA]])</f>
        <v>1</v>
      </c>
    </row>
    <row r="7" spans="1:21" x14ac:dyDescent="0.45">
      <c r="A7" t="s">
        <v>239</v>
      </c>
      <c r="B7">
        <f t="shared" si="0"/>
        <v>7</v>
      </c>
      <c r="C7">
        <f t="shared" si="1"/>
        <v>12.384223505637122</v>
      </c>
      <c r="D7" cm="1">
        <f t="array" ref="D7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7">
        <f>IF(Table4[[#This Row],[HomeTeam]]="Barcelona",Table4[[#This Row],[OddH]]*3+Table4[[#This Row],[OddD]]*1,Table4[[#This Row],[OddA]]*3+Table4[[#This Row],[OddD]]*1)</f>
        <v>2.3066189438738456</v>
      </c>
      <c r="G7" s="75">
        <v>44187</v>
      </c>
      <c r="H7" t="s">
        <v>322</v>
      </c>
      <c r="I7" t="s">
        <v>147</v>
      </c>
      <c r="J7">
        <v>0</v>
      </c>
      <c r="K7">
        <v>3</v>
      </c>
      <c r="L7" t="s">
        <v>180</v>
      </c>
      <c r="M7">
        <f>1/Table4[[#This Row],[ProbH]]-Table4[[#This Row],[Margin]]</f>
        <v>0.12174499429401392</v>
      </c>
      <c r="N7">
        <f>1/Table4[[#This Row],[ProbD]]-Table4[[#This Row],[Margin]]</f>
        <v>0.16407303662205625</v>
      </c>
      <c r="O7">
        <f>1/Table4[[#This Row],[ProbA]]-Table4[[#This Row],[Margin]]</f>
        <v>0.71418196908392984</v>
      </c>
      <c r="P7">
        <f>(1/Table4[[#This Row],[ProbH]]+1/Table4[[#This Row],[ProbD]]+1/Table4[[#This Row],[ProbA]]-1)/3</f>
        <v>2.111214856312893E-2</v>
      </c>
      <c r="Q7">
        <v>7</v>
      </c>
      <c r="R7">
        <v>5.4</v>
      </c>
      <c r="S7">
        <v>1.36</v>
      </c>
      <c r="U7">
        <f>SUM(Table4[[#This Row],[OddH]:[OddA]])</f>
        <v>1</v>
      </c>
    </row>
    <row r="8" spans="1:21" x14ac:dyDescent="0.45">
      <c r="A8" t="s">
        <v>240</v>
      </c>
      <c r="B8">
        <f t="shared" si="0"/>
        <v>10</v>
      </c>
      <c r="C8">
        <f t="shared" si="1"/>
        <v>14.599660602653167</v>
      </c>
      <c r="D8" cm="1">
        <f t="array" ref="D8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8">
        <f>IF(Table4[[#This Row],[HomeTeam]]="Barcelona",Table4[[#This Row],[OddH]]*3+Table4[[#This Row],[OddD]]*1,Table4[[#This Row],[OddA]]*3+Table4[[#This Row],[OddD]]*1)</f>
        <v>2.2154370970160446</v>
      </c>
      <c r="G8" s="75">
        <v>44199</v>
      </c>
      <c r="H8" t="s">
        <v>320</v>
      </c>
      <c r="I8" t="s">
        <v>147</v>
      </c>
      <c r="J8">
        <v>0</v>
      </c>
      <c r="K8">
        <v>1</v>
      </c>
      <c r="L8" t="s">
        <v>180</v>
      </c>
      <c r="M8">
        <f>1/Table4[[#This Row],[ProbH]]-Table4[[#This Row],[Margin]]</f>
        <v>0.13424051581946325</v>
      </c>
      <c r="N8">
        <f>1/Table4[[#This Row],[ProbD]]-Table4[[#This Row],[Margin]]</f>
        <v>0.19092067776278307</v>
      </c>
      <c r="O8">
        <f>1/Table4[[#This Row],[ProbA]]-Table4[[#This Row],[Margin]]</f>
        <v>0.67483880641775384</v>
      </c>
      <c r="P8">
        <f>(1/Table4[[#This Row],[ProbH]]+1/Table4[[#This Row],[ProbD]]+1/Table4[[#This Row],[ProbA]]-1)/3</f>
        <v>1.9605638026690613E-2</v>
      </c>
      <c r="Q8">
        <v>6.5</v>
      </c>
      <c r="R8">
        <v>4.75</v>
      </c>
      <c r="S8">
        <v>1.44</v>
      </c>
      <c r="U8">
        <f>SUM(Table4[[#This Row],[OddH]:[OddA]])</f>
        <v>1.0000000000000002</v>
      </c>
    </row>
    <row r="9" spans="1:21" x14ac:dyDescent="0.45">
      <c r="A9" t="s">
        <v>241</v>
      </c>
      <c r="B9">
        <f t="shared" si="0"/>
        <v>13</v>
      </c>
      <c r="C9">
        <f t="shared" si="1"/>
        <v>16.433687838319745</v>
      </c>
      <c r="D9" cm="1">
        <f t="array" ref="D9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9">
        <f>IF(Table4[[#This Row],[HomeTeam]]="Barcelona",Table4[[#This Row],[OddH]]*3+Table4[[#This Row],[OddD]]*1,Table4[[#This Row],[OddA]]*3+Table4[[#This Row],[OddD]]*1)</f>
        <v>1.8340272356665799</v>
      </c>
      <c r="G9" s="75">
        <v>44202</v>
      </c>
      <c r="H9" t="s">
        <v>327</v>
      </c>
      <c r="I9" t="s">
        <v>147</v>
      </c>
      <c r="J9">
        <v>2</v>
      </c>
      <c r="K9">
        <v>3</v>
      </c>
      <c r="L9" t="s">
        <v>180</v>
      </c>
      <c r="M9">
        <f>1/Table4[[#This Row],[ProbH]]-Table4[[#This Row],[Margin]]</f>
        <v>0.21732153699366816</v>
      </c>
      <c r="N9">
        <f>1/Table4[[#This Row],[ProbD]]-Table4[[#This Row],[Margin]]</f>
        <v>0.25700407667620789</v>
      </c>
      <c r="O9">
        <f>1/Table4[[#This Row],[ProbA]]-Table4[[#This Row],[Margin]]</f>
        <v>0.52567438633012398</v>
      </c>
      <c r="P9">
        <f>(1/Table4[[#This Row],[ProbH]]+1/Table4[[#This Row],[ProbD]]+1/Table4[[#This Row],[ProbA]]-1)/3</f>
        <v>2.0773701101569914E-2</v>
      </c>
      <c r="Q9">
        <v>4.2</v>
      </c>
      <c r="R9">
        <v>3.6</v>
      </c>
      <c r="S9">
        <v>1.83</v>
      </c>
      <c r="U9">
        <f>SUM(Table4[[#This Row],[OddH]:[OddA]])</f>
        <v>1</v>
      </c>
    </row>
    <row r="10" spans="1:21" x14ac:dyDescent="0.45">
      <c r="A10" t="s">
        <v>242</v>
      </c>
      <c r="B10">
        <f t="shared" si="0"/>
        <v>16</v>
      </c>
      <c r="C10">
        <f t="shared" si="1"/>
        <v>18.688877093508999</v>
      </c>
      <c r="D10" cm="1">
        <f t="array" ref="D10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10">
        <f>IF(Table4[[#This Row],[HomeTeam]]="Barcelona",Table4[[#This Row],[OddH]]*3+Table4[[#This Row],[OddD]]*1,Table4[[#This Row],[OddA]]*3+Table4[[#This Row],[OddD]]*1)</f>
        <v>2.2551892551892547</v>
      </c>
      <c r="G10" s="75">
        <v>44205</v>
      </c>
      <c r="H10" t="s">
        <v>71</v>
      </c>
      <c r="I10" t="s">
        <v>147</v>
      </c>
      <c r="J10">
        <v>0</v>
      </c>
      <c r="K10">
        <v>4</v>
      </c>
      <c r="L10" t="s">
        <v>180</v>
      </c>
      <c r="M10">
        <f>1/Table4[[#This Row],[ProbH]]-Table4[[#This Row],[Margin]]</f>
        <v>0.1343101343101343</v>
      </c>
      <c r="N10">
        <f>1/Table4[[#This Row],[ProbD]]-Table4[[#This Row],[Margin]]</f>
        <v>0.17094017094017092</v>
      </c>
      <c r="O10">
        <f>1/Table4[[#This Row],[ProbA]]-Table4[[#This Row],[Margin]]</f>
        <v>0.69474969474969472</v>
      </c>
      <c r="P10">
        <f>(1/Table4[[#This Row],[ProbH]]+1/Table4[[#This Row],[ProbD]]+1/Table4[[#This Row],[ProbA]]-1)/3</f>
        <v>1.9536019536019539E-2</v>
      </c>
      <c r="Q10">
        <v>6.5</v>
      </c>
      <c r="R10">
        <v>5.25</v>
      </c>
      <c r="S10">
        <v>1.4</v>
      </c>
      <c r="U10">
        <f>SUM(Table4[[#This Row],[OddH]:[OddA]])</f>
        <v>1</v>
      </c>
    </row>
    <row r="11" spans="1:21" x14ac:dyDescent="0.45">
      <c r="A11" t="s">
        <v>243</v>
      </c>
      <c r="B11">
        <f t="shared" si="0"/>
        <v>19</v>
      </c>
      <c r="C11">
        <f t="shared" si="1"/>
        <v>21.017541892762033</v>
      </c>
      <c r="D11" cm="1">
        <f t="array" ref="D11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11">
        <f>IF(Table4[[#This Row],[HomeTeam]]="Barcelona",Table4[[#This Row],[OddH]]*3+Table4[[#This Row],[OddD]]*1,Table4[[#This Row],[OddA]]*3+Table4[[#This Row],[OddD]]*1)</f>
        <v>2.3286647992530343</v>
      </c>
      <c r="G11" s="75">
        <v>44220</v>
      </c>
      <c r="H11" t="s">
        <v>326</v>
      </c>
      <c r="I11" t="s">
        <v>147</v>
      </c>
      <c r="J11">
        <v>0</v>
      </c>
      <c r="K11">
        <v>2</v>
      </c>
      <c r="L11" t="s">
        <v>180</v>
      </c>
      <c r="M11">
        <f>1/Table4[[#This Row],[ProbH]]-Table4[[#This Row],[Margin]]</f>
        <v>0.10807656395891696</v>
      </c>
      <c r="N11">
        <f>1/Table4[[#This Row],[ProbD]]-Table4[[#This Row],[Margin]]</f>
        <v>0.17355275443510743</v>
      </c>
      <c r="O11">
        <f>1/Table4[[#This Row],[ProbA]]-Table4[[#This Row],[Margin]]</f>
        <v>0.71837068160597572</v>
      </c>
      <c r="P11">
        <f>(1/Table4[[#This Row],[ProbH]]+1/Table4[[#This Row],[ProbD]]+1/Table4[[#This Row],[ProbA]]-1)/3</f>
        <v>1.692343604108304E-2</v>
      </c>
      <c r="Q11">
        <v>8</v>
      </c>
      <c r="R11">
        <v>5.25</v>
      </c>
      <c r="S11">
        <v>1.36</v>
      </c>
      <c r="U11">
        <f>SUM(Table4[[#This Row],[OddH]:[OddA]])</f>
        <v>1</v>
      </c>
    </row>
    <row r="12" spans="1:21" x14ac:dyDescent="0.45">
      <c r="A12" t="s">
        <v>244</v>
      </c>
      <c r="B12">
        <f t="shared" si="0"/>
        <v>22</v>
      </c>
      <c r="C12">
        <f t="shared" si="1"/>
        <v>23.157638511119522</v>
      </c>
      <c r="D12" cm="1">
        <f t="array" ref="D12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12">
        <f>IF(Table4[[#This Row],[HomeTeam]]="Barcelona",Table4[[#This Row],[OddH]]*3+Table4[[#This Row],[OddD]]*1,Table4[[#This Row],[OddA]]*3+Table4[[#This Row],[OddD]]*1)</f>
        <v>2.1400966183574881</v>
      </c>
      <c r="G12" s="75">
        <v>44234</v>
      </c>
      <c r="H12" t="s">
        <v>68</v>
      </c>
      <c r="I12" t="s">
        <v>147</v>
      </c>
      <c r="J12">
        <v>2</v>
      </c>
      <c r="K12">
        <v>3</v>
      </c>
      <c r="L12" t="s">
        <v>180</v>
      </c>
      <c r="M12">
        <f>1/Table4[[#This Row],[ProbH]]-Table4[[#This Row],[Margin]]</f>
        <v>0.15458937198067632</v>
      </c>
      <c r="N12">
        <f>1/Table4[[#This Row],[ProbD]]-Table4[[#This Row],[Margin]]</f>
        <v>0.19806763285024157</v>
      </c>
      <c r="O12">
        <f>1/Table4[[#This Row],[ProbA]]-Table4[[#This Row],[Margin]]</f>
        <v>0.64734299516908211</v>
      </c>
      <c r="P12">
        <f>(1/Table4[[#This Row],[ProbH]]+1/Table4[[#This Row],[ProbD]]+1/Table4[[#This Row],[ProbA]]-1)/3</f>
        <v>1.9323671497584554E-2</v>
      </c>
      <c r="Q12">
        <v>5.75</v>
      </c>
      <c r="R12">
        <v>4.5999999999999996</v>
      </c>
      <c r="S12">
        <v>1.5</v>
      </c>
      <c r="U12">
        <f>SUM(Table4[[#This Row],[OddH]:[OddA]])</f>
        <v>1</v>
      </c>
    </row>
    <row r="13" spans="1:21" x14ac:dyDescent="0.45">
      <c r="A13" t="s">
        <v>245</v>
      </c>
      <c r="B13">
        <f t="shared" si="0"/>
        <v>25</v>
      </c>
      <c r="C13">
        <f t="shared" si="1"/>
        <v>24.736642840123853</v>
      </c>
      <c r="D13" cm="1">
        <f t="array" ref="D13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13">
        <f>IF(Table4[[#This Row],[HomeTeam]]="Barcelona",Table4[[#This Row],[OddH]]*3+Table4[[#This Row],[OddD]]*1,Table4[[#This Row],[OddA]]*3+Table4[[#This Row],[OddD]]*1)</f>
        <v>1.5790043290043292</v>
      </c>
      <c r="G13" s="75">
        <v>44254</v>
      </c>
      <c r="H13" t="s">
        <v>317</v>
      </c>
      <c r="I13" t="s">
        <v>147</v>
      </c>
      <c r="J13">
        <v>0</v>
      </c>
      <c r="K13">
        <v>2</v>
      </c>
      <c r="L13" t="s">
        <v>180</v>
      </c>
      <c r="M13">
        <f>1/Table4[[#This Row],[ProbH]]-Table4[[#This Row],[Margin]]</f>
        <v>0.29491341991341996</v>
      </c>
      <c r="N13">
        <f>1/Table4[[#This Row],[ProbD]]-Table4[[#This Row],[Margin]]</f>
        <v>0.26812770562770566</v>
      </c>
      <c r="O13">
        <f>1/Table4[[#This Row],[ProbA]]-Table4[[#This Row],[Margin]]</f>
        <v>0.43695887445887449</v>
      </c>
      <c r="P13">
        <f>(1/Table4[[#This Row],[ProbH]]+1/Table4[[#This Row],[ProbD]]+1/Table4[[#This Row],[ProbA]]-1)/3</f>
        <v>1.7586580086580057E-2</v>
      </c>
      <c r="Q13">
        <v>3.2</v>
      </c>
      <c r="R13">
        <v>3.5</v>
      </c>
      <c r="S13">
        <v>2.2000000000000002</v>
      </c>
      <c r="U13">
        <f>SUM(Table4[[#This Row],[OddH]:[OddA]])</f>
        <v>1</v>
      </c>
    </row>
    <row r="14" spans="1:21" x14ac:dyDescent="0.45">
      <c r="A14" t="s">
        <v>246</v>
      </c>
      <c r="B14">
        <f t="shared" si="0"/>
        <v>28</v>
      </c>
      <c r="C14">
        <f t="shared" si="1"/>
        <v>26.875129152523208</v>
      </c>
      <c r="D14" cm="1">
        <f t="array" ref="D14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14">
        <f>IF(Table4[[#This Row],[HomeTeam]]="Barcelona",Table4[[#This Row],[OddH]]*3+Table4[[#This Row],[OddD]]*1,Table4[[#This Row],[OddA]]*3+Table4[[#This Row],[OddD]]*1)</f>
        <v>2.138486312399356</v>
      </c>
      <c r="G14" s="75">
        <v>44261</v>
      </c>
      <c r="H14" t="s">
        <v>318</v>
      </c>
      <c r="I14" t="s">
        <v>147</v>
      </c>
      <c r="J14">
        <v>0</v>
      </c>
      <c r="K14">
        <v>2</v>
      </c>
      <c r="L14" t="s">
        <v>180</v>
      </c>
      <c r="M14">
        <f>1/Table4[[#This Row],[ProbH]]-Table4[[#This Row],[Margin]]</f>
        <v>0.15297906602254432</v>
      </c>
      <c r="N14">
        <f>1/Table4[[#This Row],[ProbD]]-Table4[[#This Row],[Margin]]</f>
        <v>0.20128824476650567</v>
      </c>
      <c r="O14">
        <f>1/Table4[[#This Row],[ProbA]]-Table4[[#This Row],[Margin]]</f>
        <v>0.64573268921095006</v>
      </c>
      <c r="P14">
        <f>(1/Table4[[#This Row],[ProbH]]+1/Table4[[#This Row],[ProbD]]+1/Table4[[#This Row],[ProbA]]-1)/3</f>
        <v>2.093397745571653E-2</v>
      </c>
      <c r="Q14">
        <v>5.75</v>
      </c>
      <c r="R14">
        <v>4.5</v>
      </c>
      <c r="S14">
        <v>1.5</v>
      </c>
      <c r="U14">
        <f>SUM(Table4[[#This Row],[OddH]:[OddA]])</f>
        <v>1</v>
      </c>
    </row>
    <row r="15" spans="1:21" x14ac:dyDescent="0.45">
      <c r="A15" t="s">
        <v>247</v>
      </c>
      <c r="B15">
        <f t="shared" si="0"/>
        <v>31</v>
      </c>
      <c r="C15">
        <f t="shared" si="1"/>
        <v>28.605073671941412</v>
      </c>
      <c r="D15" cm="1">
        <f t="array" ref="D15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15">
        <f>IF(Table4[[#This Row],[HomeTeam]]="Barcelona",Table4[[#This Row],[OddH]]*3+Table4[[#This Row],[OddD]]*1,Table4[[#This Row],[OddA]]*3+Table4[[#This Row],[OddD]]*1)</f>
        <v>1.7299445194182035</v>
      </c>
      <c r="G15" s="75">
        <v>44276</v>
      </c>
      <c r="H15" t="s">
        <v>316</v>
      </c>
      <c r="I15" t="s">
        <v>147</v>
      </c>
      <c r="J15">
        <v>1</v>
      </c>
      <c r="K15">
        <v>6</v>
      </c>
      <c r="L15" t="s">
        <v>180</v>
      </c>
      <c r="M15">
        <f>1/Table4[[#This Row],[ProbH]]-Table4[[#This Row],[Margin]]</f>
        <v>0.25985904933273346</v>
      </c>
      <c r="N15">
        <f>1/Table4[[#This Row],[ProbD]]-Table4[[#This Row],[Margin]]</f>
        <v>0.24523916629179779</v>
      </c>
      <c r="O15">
        <f>1/Table4[[#This Row],[ProbA]]-Table4[[#This Row],[Margin]]</f>
        <v>0.49490178437546856</v>
      </c>
      <c r="P15">
        <f>(1/Table4[[#This Row],[ProbH]]+1/Table4[[#This Row],[ProbD]]+1/Table4[[#This Row],[ProbA]]-1)/3</f>
        <v>1.7918728445044312E-2</v>
      </c>
      <c r="Q15">
        <v>3.6</v>
      </c>
      <c r="R15">
        <v>3.8</v>
      </c>
      <c r="S15">
        <v>1.95</v>
      </c>
      <c r="U15">
        <f>SUM(Table4[[#This Row],[OddH]:[OddA]])</f>
        <v>0.99999999999999978</v>
      </c>
    </row>
    <row r="16" spans="1:21" x14ac:dyDescent="0.45">
      <c r="A16" t="s">
        <v>248</v>
      </c>
      <c r="B16">
        <f t="shared" si="0"/>
        <v>31</v>
      </c>
      <c r="C16">
        <f t="shared" si="1"/>
        <v>30.099134911998075</v>
      </c>
      <c r="D16" cm="1">
        <f t="array" ref="D16">IF(Table4[[#This Row],[HomeTeam]]="Barcelona",_xlfn.IFS(Table4[[#This Row],[FTR]]="H",3,Table4[[#This Row],[FTR]]="D",1,Table4[[#This Row],[FTR]]="A",0),_xlfn.IFS(Table4[[#This Row],[FTR]]="A",3,Table4[[#This Row],[FTR]]="D",1,Table4[[#This Row],[FTR]]="H",0))</f>
        <v>0</v>
      </c>
      <c r="E16">
        <f>IF(Table4[[#This Row],[HomeTeam]]="Barcelona",Table4[[#This Row],[OddH]]*3+Table4[[#This Row],[OddD]]*1,Table4[[#This Row],[OddA]]*3+Table4[[#This Row],[OddD]]*1)</f>
        <v>1.4940612400566633</v>
      </c>
      <c r="G16" s="75">
        <v>44296</v>
      </c>
      <c r="H16" t="s">
        <v>74</v>
      </c>
      <c r="I16" t="s">
        <v>147</v>
      </c>
      <c r="J16">
        <v>2</v>
      </c>
      <c r="K16">
        <v>1</v>
      </c>
      <c r="L16" t="s">
        <v>175</v>
      </c>
      <c r="M16">
        <f>1/Table4[[#This Row],[ProbH]]-Table4[[#This Row],[Margin]]</f>
        <v>0.33878173695107328</v>
      </c>
      <c r="N16">
        <f>1/Table4[[#This Row],[ProbD]]-Table4[[#This Row],[Margin]]</f>
        <v>0.24479677454505824</v>
      </c>
      <c r="O16">
        <f>1/Table4[[#This Row],[ProbA]]-Table4[[#This Row],[Margin]]</f>
        <v>0.41642148850386834</v>
      </c>
      <c r="P16">
        <f>(1/Table4[[#This Row],[ProbH]]+1/Table4[[#This Row],[ProbD]]+1/Table4[[#This Row],[ProbA]]-1)/3</f>
        <v>1.8361120191783858E-2</v>
      </c>
      <c r="Q16">
        <v>2.8</v>
      </c>
      <c r="R16">
        <v>3.8</v>
      </c>
      <c r="S16">
        <v>2.2999999999999998</v>
      </c>
      <c r="U16">
        <f>SUM(Table4[[#This Row],[OddH]:[OddA]])</f>
        <v>0.99999999999999978</v>
      </c>
    </row>
    <row r="17" spans="1:21" x14ac:dyDescent="0.45">
      <c r="A17" t="s">
        <v>249</v>
      </c>
      <c r="B17">
        <f t="shared" si="0"/>
        <v>34</v>
      </c>
      <c r="C17">
        <f t="shared" si="1"/>
        <v>32.060822933927064</v>
      </c>
      <c r="D17" cm="1">
        <f t="array" ref="D17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17">
        <f>IF(Table4[[#This Row],[HomeTeam]]="Barcelona",Table4[[#This Row],[OddH]]*3+Table4[[#This Row],[OddD]]*1,Table4[[#This Row],[OddA]]*3+Table4[[#This Row],[OddD]]*1)</f>
        <v>1.9616880219289856</v>
      </c>
      <c r="G17" s="75">
        <v>44311</v>
      </c>
      <c r="H17" t="s">
        <v>314</v>
      </c>
      <c r="I17" t="s">
        <v>147</v>
      </c>
      <c r="J17">
        <v>1</v>
      </c>
      <c r="K17">
        <v>2</v>
      </c>
      <c r="L17" t="s">
        <v>180</v>
      </c>
      <c r="M17">
        <f>1/Table4[[#This Row],[ProbH]]-Table4[[#This Row],[Margin]]</f>
        <v>0.20131318926499644</v>
      </c>
      <c r="N17">
        <f>1/Table4[[#This Row],[ProbD]]-Table4[[#This Row],[Margin]]</f>
        <v>0.21718620513801232</v>
      </c>
      <c r="O17">
        <f>1/Table4[[#This Row],[ProbA]]-Table4[[#This Row],[Margin]]</f>
        <v>0.58150060559699113</v>
      </c>
      <c r="P17">
        <f>(1/Table4[[#This Row],[ProbH]]+1/Table4[[#This Row],[ProbD]]+1/Table4[[#This Row],[ProbA]]-1)/3</f>
        <v>2.0909032957225755E-2</v>
      </c>
      <c r="Q17">
        <v>4.5</v>
      </c>
      <c r="R17">
        <v>4.2</v>
      </c>
      <c r="S17">
        <v>1.66</v>
      </c>
      <c r="U17">
        <f>SUM(Table4[[#This Row],[OddH]:[OddA]])</f>
        <v>0.99999999999999989</v>
      </c>
    </row>
    <row r="18" spans="1:21" x14ac:dyDescent="0.45">
      <c r="A18" t="s">
        <v>250</v>
      </c>
      <c r="B18">
        <f t="shared" si="0"/>
        <v>37</v>
      </c>
      <c r="C18">
        <f t="shared" si="1"/>
        <v>34.36856421225658</v>
      </c>
      <c r="D18" cm="1">
        <f t="array" ref="D18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18">
        <f>IF(Table4[[#This Row],[HomeTeam]]="Barcelona",Table4[[#This Row],[OddH]]*3+Table4[[#This Row],[OddD]]*1,Table4[[#This Row],[OddA]]*3+Table4[[#This Row],[OddD]]*1)</f>
        <v>2.3077412783295137</v>
      </c>
      <c r="G18" s="75">
        <v>44318</v>
      </c>
      <c r="H18" t="s">
        <v>323</v>
      </c>
      <c r="I18" t="s">
        <v>147</v>
      </c>
      <c r="J18">
        <v>2</v>
      </c>
      <c r="K18">
        <v>3</v>
      </c>
      <c r="L18" t="s">
        <v>180</v>
      </c>
      <c r="M18">
        <f>1/Table4[[#This Row],[ProbH]]-Table4[[#This Row],[Margin]]</f>
        <v>0.12286732874968175</v>
      </c>
      <c r="N18">
        <f>1/Table4[[#This Row],[ProbD]]-Table4[[#This Row],[Margin]]</f>
        <v>0.16182836771072071</v>
      </c>
      <c r="O18">
        <f>1/Table4[[#This Row],[ProbA]]-Table4[[#This Row],[Margin]]</f>
        <v>0.71530430353959762</v>
      </c>
      <c r="P18">
        <f>(1/Table4[[#This Row],[ProbH]]+1/Table4[[#This Row],[ProbD]]+1/Table4[[#This Row],[ProbA]]-1)/3</f>
        <v>1.9989814107461108E-2</v>
      </c>
      <c r="Q18">
        <v>7</v>
      </c>
      <c r="R18">
        <v>5.5</v>
      </c>
      <c r="S18">
        <v>1.36</v>
      </c>
      <c r="U18">
        <f>SUM(Table4[[#This Row],[OddH]:[OddA]])</f>
        <v>1</v>
      </c>
    </row>
    <row r="19" spans="1:21" x14ac:dyDescent="0.45">
      <c r="A19" t="s">
        <v>251</v>
      </c>
      <c r="B19">
        <f t="shared" si="0"/>
        <v>38</v>
      </c>
      <c r="C19">
        <f t="shared" si="1"/>
        <v>36.961549146343209</v>
      </c>
      <c r="D19" cm="1">
        <f t="array" ref="D19">IF(Table4[[#This Row],[HomeTeam]]="Barcelona",_xlfn.IFS(Table4[[#This Row],[FTR]]="H",3,Table4[[#This Row],[FTR]]="D",1,Table4[[#This Row],[FTR]]="A",0),_xlfn.IFS(Table4[[#This Row],[FTR]]="A",3,Table4[[#This Row],[FTR]]="D",1,Table4[[#This Row],[FTR]]="H",0))</f>
        <v>1</v>
      </c>
      <c r="E19">
        <f>IF(Table4[[#This Row],[HomeTeam]]="Barcelona",Table4[[#This Row],[OddH]]*3+Table4[[#This Row],[OddD]]*1,Table4[[#This Row],[OddA]]*3+Table4[[#This Row],[OddD]]*1)</f>
        <v>2.5929849340866293</v>
      </c>
      <c r="G19" s="75">
        <v>44327</v>
      </c>
      <c r="H19" t="s">
        <v>325</v>
      </c>
      <c r="I19" t="s">
        <v>147</v>
      </c>
      <c r="J19">
        <v>3</v>
      </c>
      <c r="K19">
        <v>3</v>
      </c>
      <c r="L19" t="s">
        <v>172</v>
      </c>
      <c r="M19">
        <f>1/Table4[[#This Row],[ProbH]]-Table4[[#This Row],[Margin]]</f>
        <v>6.4736346516007487E-2</v>
      </c>
      <c r="N19">
        <f>1/Table4[[#This Row],[ProbD]]-Table4[[#This Row],[Margin]]</f>
        <v>0.10640301318267416</v>
      </c>
      <c r="O19">
        <f>1/Table4[[#This Row],[ProbA]]-Table4[[#This Row],[Margin]]</f>
        <v>0.82886064030131834</v>
      </c>
      <c r="P19">
        <f>(1/Table4[[#This Row],[ProbH]]+1/Table4[[#This Row],[ProbD]]+1/Table4[[#This Row],[ProbA]]-1)/3</f>
        <v>1.8596986817325838E-2</v>
      </c>
      <c r="Q19">
        <v>12</v>
      </c>
      <c r="R19">
        <v>8</v>
      </c>
      <c r="S19">
        <v>1.18</v>
      </c>
      <c r="U19">
        <f>SUM(Table4[[#This Row],[OddH]:[OddA]])</f>
        <v>1</v>
      </c>
    </row>
    <row r="20" spans="1:21" x14ac:dyDescent="0.45">
      <c r="A20" t="s">
        <v>252</v>
      </c>
      <c r="B20">
        <f t="shared" si="0"/>
        <v>41</v>
      </c>
      <c r="C20">
        <f t="shared" si="1"/>
        <v>38.926878874891607</v>
      </c>
      <c r="D20" cm="1">
        <f t="array" ref="D20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20">
        <f>IF(Table4[[#This Row],[HomeTeam]]="Barcelona",Table4[[#This Row],[OddH]]*3+Table4[[#This Row],[OddD]]*1,Table4[[#This Row],[OddA]]*3+Table4[[#This Row],[OddD]]*1)</f>
        <v>1.9653297285483988</v>
      </c>
      <c r="G20" s="75">
        <v>44338</v>
      </c>
      <c r="H20" t="s">
        <v>324</v>
      </c>
      <c r="I20" t="s">
        <v>147</v>
      </c>
      <c r="J20">
        <v>0</v>
      </c>
      <c r="K20">
        <v>1</v>
      </c>
      <c r="L20" t="s">
        <v>180</v>
      </c>
      <c r="M20">
        <f>1/Table4[[#This Row],[ProbH]]-Table4[[#This Row],[Margin]]</f>
        <v>0.21510228086136679</v>
      </c>
      <c r="N20">
        <f>1/Table4[[#This Row],[ProbD]]-Table4[[#This Row],[Margin]]</f>
        <v>0.1946817144337504</v>
      </c>
      <c r="O20">
        <f>1/Table4[[#This Row],[ProbA]]-Table4[[#This Row],[Margin]]</f>
        <v>0.59021600470488278</v>
      </c>
      <c r="P20">
        <f>(1/Table4[[#This Row],[ProbH]]+1/Table4[[#This Row],[ProbD]]+1/Table4[[#This Row],[ProbA]]-1)/3</f>
        <v>1.584460135572326E-2</v>
      </c>
      <c r="Q20">
        <v>4.33</v>
      </c>
      <c r="R20">
        <v>4.75</v>
      </c>
      <c r="S20">
        <v>1.65</v>
      </c>
      <c r="U20">
        <f>SUM(Table4[[#This Row],[OddH]:[OddA]])</f>
        <v>1</v>
      </c>
    </row>
    <row r="21" spans="1:21" x14ac:dyDescent="0.45">
      <c r="A21" t="s">
        <v>253</v>
      </c>
      <c r="B21">
        <f t="shared" si="0"/>
        <v>44</v>
      </c>
      <c r="C21">
        <f t="shared" si="1"/>
        <v>41.050332310666739</v>
      </c>
      <c r="D21" cm="1">
        <f t="array" ref="D21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21">
        <f>IF(Table4[[#This Row],[HomeTeam]]="Barcelona",Table4[[#This Row],[OddH]]*3+Table4[[#This Row],[OddD]]*1,Table4[[#This Row],[OddA]]*3+Table4[[#This Row],[OddD]]*1)</f>
        <v>2.1234534357751311</v>
      </c>
      <c r="G21" s="75">
        <v>44101</v>
      </c>
      <c r="H21" t="s">
        <v>147</v>
      </c>
      <c r="I21" t="s">
        <v>314</v>
      </c>
      <c r="J21">
        <v>4</v>
      </c>
      <c r="K21">
        <v>0</v>
      </c>
      <c r="L21" t="s">
        <v>175</v>
      </c>
      <c r="M21">
        <f>1/Table4[[#This Row],[ProbH]]-Table4[[#This Row],[Margin]]</f>
        <v>0.63652533119996779</v>
      </c>
      <c r="N21">
        <f>1/Table4[[#This Row],[ProbD]]-Table4[[#This Row],[Margin]]</f>
        <v>0.21387744217522778</v>
      </c>
      <c r="O21">
        <f>1/Table4[[#This Row],[ProbA]]-Table4[[#This Row],[Margin]]</f>
        <v>0.14959722662480437</v>
      </c>
      <c r="P21">
        <f>(1/Table4[[#This Row],[ProbH]]+1/Table4[[#This Row],[ProbD]]+1/Table4[[#This Row],[ProbA]]-1)/3</f>
        <v>1.7069440041862283E-2</v>
      </c>
      <c r="Q21">
        <v>1.53</v>
      </c>
      <c r="R21">
        <v>4.33</v>
      </c>
      <c r="S21">
        <v>6</v>
      </c>
      <c r="U21">
        <f>SUM(Table4[[#This Row],[OddH]:[OddA]])</f>
        <v>0.99999999999999989</v>
      </c>
    </row>
    <row r="22" spans="1:21" x14ac:dyDescent="0.45">
      <c r="A22" t="s">
        <v>254</v>
      </c>
      <c r="B22">
        <f t="shared" si="0"/>
        <v>45</v>
      </c>
      <c r="C22">
        <f t="shared" si="1"/>
        <v>43.114286221224845</v>
      </c>
      <c r="D22" cm="1">
        <f t="array" ref="D22">IF(Table4[[#This Row],[HomeTeam]]="Barcelona",_xlfn.IFS(Table4[[#This Row],[FTR]]="H",3,Table4[[#This Row],[FTR]]="D",1,Table4[[#This Row],[FTR]]="A",0),_xlfn.IFS(Table4[[#This Row],[FTR]]="A",3,Table4[[#This Row],[FTR]]="D",1,Table4[[#This Row],[FTR]]="H",0))</f>
        <v>1</v>
      </c>
      <c r="E22">
        <f>IF(Table4[[#This Row],[HomeTeam]]="Barcelona",Table4[[#This Row],[OddH]]*3+Table4[[#This Row],[OddD]]*1,Table4[[#This Row],[OddA]]*3+Table4[[#This Row],[OddD]]*1)</f>
        <v>2.0639539105581086</v>
      </c>
      <c r="G22" s="75">
        <v>44108</v>
      </c>
      <c r="H22" t="s">
        <v>147</v>
      </c>
      <c r="I22" t="s">
        <v>317</v>
      </c>
      <c r="J22">
        <v>1</v>
      </c>
      <c r="K22">
        <v>1</v>
      </c>
      <c r="L22" t="s">
        <v>172</v>
      </c>
      <c r="M22">
        <f>1/Table4[[#This Row],[ProbH]]-Table4[[#This Row],[Margin]]</f>
        <v>0.61748742587506356</v>
      </c>
      <c r="N22">
        <f>1/Table4[[#This Row],[ProbD]]-Table4[[#This Row],[Margin]]</f>
        <v>0.21149163293291801</v>
      </c>
      <c r="O22">
        <f>1/Table4[[#This Row],[ProbA]]-Table4[[#This Row],[Margin]]</f>
        <v>0.17102094119201841</v>
      </c>
      <c r="P22">
        <f>(1/Table4[[#This Row],[ProbH]]+1/Table4[[#This Row],[ProbD]]+1/Table4[[#This Row],[ProbA]]-1)/3</f>
        <v>1.9455249284172044E-2</v>
      </c>
      <c r="Q22">
        <v>1.57</v>
      </c>
      <c r="R22">
        <v>4.33</v>
      </c>
      <c r="S22">
        <v>5.25</v>
      </c>
      <c r="U22">
        <f>SUM(Table4[[#This Row],[OddH]:[OddA]])</f>
        <v>0.99999999999999989</v>
      </c>
    </row>
    <row r="23" spans="1:21" x14ac:dyDescent="0.45">
      <c r="A23" t="s">
        <v>255</v>
      </c>
      <c r="B23">
        <f t="shared" si="0"/>
        <v>45</v>
      </c>
      <c r="C23">
        <f t="shared" si="1"/>
        <v>44.817989924928547</v>
      </c>
      <c r="D23" cm="1">
        <f t="array" ref="D23">IF(Table4[[#This Row],[HomeTeam]]="Barcelona",_xlfn.IFS(Table4[[#This Row],[FTR]]="H",3,Table4[[#This Row],[FTR]]="D",1,Table4[[#This Row],[FTR]]="A",0),_xlfn.IFS(Table4[[#This Row],[FTR]]="A",3,Table4[[#This Row],[FTR]]="D",1,Table4[[#This Row],[FTR]]="H",0))</f>
        <v>0</v>
      </c>
      <c r="E23">
        <f>IF(Table4[[#This Row],[HomeTeam]]="Barcelona",Table4[[#This Row],[OddH]]*3+Table4[[#This Row],[OddD]]*1,Table4[[#This Row],[OddA]]*3+Table4[[#This Row],[OddD]]*1)</f>
        <v>1.7037037037037037</v>
      </c>
      <c r="G23" s="75">
        <v>44128</v>
      </c>
      <c r="H23" t="s">
        <v>147</v>
      </c>
      <c r="I23" t="s">
        <v>74</v>
      </c>
      <c r="J23">
        <v>1</v>
      </c>
      <c r="K23">
        <v>3</v>
      </c>
      <c r="L23" t="s">
        <v>180</v>
      </c>
      <c r="M23">
        <f>1/Table4[[#This Row],[ProbH]]-Table4[[#This Row],[Margin]]</f>
        <v>0.48148148148148145</v>
      </c>
      <c r="N23">
        <f>1/Table4[[#This Row],[ProbD]]-Table4[[#This Row],[Margin]]</f>
        <v>0.25925925925925924</v>
      </c>
      <c r="O23">
        <f>1/Table4[[#This Row],[ProbA]]-Table4[[#This Row],[Margin]]</f>
        <v>0.25925925925925924</v>
      </c>
      <c r="P23">
        <f>(1/Table4[[#This Row],[ProbH]]+1/Table4[[#This Row],[ProbD]]+1/Table4[[#This Row],[ProbA]]-1)/3</f>
        <v>1.8518518518518528E-2</v>
      </c>
      <c r="Q23">
        <v>2</v>
      </c>
      <c r="R23">
        <v>3.6</v>
      </c>
      <c r="S23">
        <v>3.6</v>
      </c>
      <c r="U23">
        <f>SUM(Table4[[#This Row],[OddH]:[OddA]])</f>
        <v>1</v>
      </c>
    </row>
    <row r="24" spans="1:21" x14ac:dyDescent="0.45">
      <c r="A24" t="s">
        <v>256</v>
      </c>
      <c r="B24">
        <f t="shared" si="0"/>
        <v>48</v>
      </c>
      <c r="C24">
        <f t="shared" si="1"/>
        <v>47.097355004293625</v>
      </c>
      <c r="D24" cm="1">
        <f t="array" ref="D24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24">
        <f>IF(Table4[[#This Row],[HomeTeam]]="Barcelona",Table4[[#This Row],[OddH]]*3+Table4[[#This Row],[OddD]]*1,Table4[[#This Row],[OddA]]*3+Table4[[#This Row],[OddD]]*1)</f>
        <v>2.2793650793650788</v>
      </c>
      <c r="G24" s="75">
        <v>44142</v>
      </c>
      <c r="H24" t="s">
        <v>147</v>
      </c>
      <c r="I24" t="s">
        <v>68</v>
      </c>
      <c r="J24">
        <v>5</v>
      </c>
      <c r="K24">
        <v>2</v>
      </c>
      <c r="L24" t="s">
        <v>175</v>
      </c>
      <c r="M24">
        <f>1/Table4[[#This Row],[ProbH]]-Table4[[#This Row],[Margin]]</f>
        <v>0.69841269841269837</v>
      </c>
      <c r="N24">
        <f>1/Table4[[#This Row],[ProbD]]-Table4[[#This Row],[Margin]]</f>
        <v>0.18412698412698411</v>
      </c>
      <c r="O24">
        <f>1/Table4[[#This Row],[ProbA]]-Table4[[#This Row],[Margin]]</f>
        <v>0.11746031746031745</v>
      </c>
      <c r="P24">
        <f>(1/Table4[[#This Row],[ProbH]]+1/Table4[[#This Row],[ProbD]]+1/Table4[[#This Row],[ProbA]]-1)/3</f>
        <v>1.5873015873015889E-2</v>
      </c>
      <c r="Q24">
        <v>1.4</v>
      </c>
      <c r="R24">
        <v>5</v>
      </c>
      <c r="S24">
        <v>7.5</v>
      </c>
      <c r="U24">
        <f>SUM(Table4[[#This Row],[OddH]:[OddA]])</f>
        <v>1</v>
      </c>
    </row>
    <row r="25" spans="1:21" x14ac:dyDescent="0.45">
      <c r="A25" t="s">
        <v>257</v>
      </c>
      <c r="B25">
        <f t="shared" si="0"/>
        <v>51</v>
      </c>
      <c r="C25">
        <f t="shared" si="1"/>
        <v>49.587253994192615</v>
      </c>
      <c r="D25" cm="1">
        <f t="array" ref="D25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25">
        <f>IF(Table4[[#This Row],[HomeTeam]]="Barcelona",Table4[[#This Row],[OddH]]*3+Table4[[#This Row],[OddD]]*1,Table4[[#This Row],[OddA]]*3+Table4[[#This Row],[OddD]]*1)</f>
        <v>2.4898989898989901</v>
      </c>
      <c r="G25" s="75">
        <v>44164</v>
      </c>
      <c r="H25" t="s">
        <v>147</v>
      </c>
      <c r="I25" t="s">
        <v>318</v>
      </c>
      <c r="J25">
        <v>4</v>
      </c>
      <c r="K25">
        <v>0</v>
      </c>
      <c r="L25" t="s">
        <v>175</v>
      </c>
      <c r="M25">
        <f>1/Table4[[#This Row],[ProbH]]-Table4[[#This Row],[Margin]]</f>
        <v>0.78080808080808084</v>
      </c>
      <c r="N25">
        <f>1/Table4[[#This Row],[ProbD]]-Table4[[#This Row],[Margin]]</f>
        <v>0.14747474747474745</v>
      </c>
      <c r="O25">
        <f>1/Table4[[#This Row],[ProbA]]-Table4[[#This Row],[Margin]]</f>
        <v>7.1717171717171707E-2</v>
      </c>
      <c r="P25">
        <f>(1/Table4[[#This Row],[ProbH]]+1/Table4[[#This Row],[ProbD]]+1/Table4[[#This Row],[ProbA]]-1)/3</f>
        <v>1.9191919191919204E-2</v>
      </c>
      <c r="Q25">
        <v>1.25</v>
      </c>
      <c r="R25">
        <v>6</v>
      </c>
      <c r="S25">
        <v>11</v>
      </c>
      <c r="U25">
        <f>SUM(Table4[[#This Row],[OddH]:[OddA]])</f>
        <v>1</v>
      </c>
    </row>
    <row r="26" spans="1:21" x14ac:dyDescent="0.45">
      <c r="A26" t="s">
        <v>258</v>
      </c>
      <c r="B26">
        <f t="shared" si="0"/>
        <v>54</v>
      </c>
      <c r="C26">
        <f t="shared" si="1"/>
        <v>52.117876377274015</v>
      </c>
      <c r="D26" cm="1">
        <f t="array" ref="D26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26">
        <f>IF(Table4[[#This Row],[HomeTeam]]="Barcelona",Table4[[#This Row],[OddH]]*3+Table4[[#This Row],[OddD]]*1,Table4[[#This Row],[OddA]]*3+Table4[[#This Row],[OddD]]*1)</f>
        <v>2.5306223830813996</v>
      </c>
      <c r="G26" s="75">
        <v>44178</v>
      </c>
      <c r="H26" t="s">
        <v>147</v>
      </c>
      <c r="I26" t="s">
        <v>325</v>
      </c>
      <c r="J26">
        <v>1</v>
      </c>
      <c r="K26">
        <v>0</v>
      </c>
      <c r="L26" t="s">
        <v>175</v>
      </c>
      <c r="M26">
        <f>1/Table4[[#This Row],[ProbH]]-Table4[[#This Row],[Margin]]</f>
        <v>0.80185934284294946</v>
      </c>
      <c r="N26">
        <f>1/Table4[[#This Row],[ProbD]]-Table4[[#This Row],[Margin]]</f>
        <v>0.12504435455255131</v>
      </c>
      <c r="O26">
        <f>1/Table4[[#This Row],[ProbA]]-Table4[[#This Row],[Margin]]</f>
        <v>7.3096302604499369E-2</v>
      </c>
      <c r="P26">
        <f>(1/Table4[[#This Row],[ProbH]]+1/Table4[[#This Row],[ProbD]]+1/Table4[[#This Row],[ProbA]]-1)/3</f>
        <v>1.7812788304591542E-2</v>
      </c>
      <c r="Q26">
        <v>1.22</v>
      </c>
      <c r="R26">
        <v>7</v>
      </c>
      <c r="S26">
        <v>11</v>
      </c>
      <c r="U26">
        <f>SUM(Table4[[#This Row],[OddH]:[OddA]])</f>
        <v>1</v>
      </c>
    </row>
    <row r="27" spans="1:21" x14ac:dyDescent="0.45">
      <c r="A27" t="s">
        <v>259</v>
      </c>
      <c r="B27">
        <f t="shared" si="0"/>
        <v>57</v>
      </c>
      <c r="C27">
        <f t="shared" si="1"/>
        <v>54.152135636533274</v>
      </c>
      <c r="D27" cm="1">
        <f t="array" ref="D27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27">
        <f>IF(Table4[[#This Row],[HomeTeam]]="Barcelona",Table4[[#This Row],[OddH]]*3+Table4[[#This Row],[OddD]]*1,Table4[[#This Row],[OddA]]*3+Table4[[#This Row],[OddD]]*1)</f>
        <v>2.0342592592592594</v>
      </c>
      <c r="G27" s="75">
        <v>44181</v>
      </c>
      <c r="H27" t="s">
        <v>147</v>
      </c>
      <c r="I27" t="s">
        <v>316</v>
      </c>
      <c r="J27">
        <v>2</v>
      </c>
      <c r="K27">
        <v>1</v>
      </c>
      <c r="L27" t="s">
        <v>175</v>
      </c>
      <c r="M27">
        <f>1/Table4[[#This Row],[ProbH]]-Table4[[#This Row],[Margin]]</f>
        <v>0.60925925925925928</v>
      </c>
      <c r="N27">
        <f>1/Table4[[#This Row],[ProbD]]-Table4[[#This Row],[Margin]]</f>
        <v>0.20648148148148146</v>
      </c>
      <c r="O27">
        <f>1/Table4[[#This Row],[ProbA]]-Table4[[#This Row],[Margin]]</f>
        <v>0.18425925925925926</v>
      </c>
      <c r="P27">
        <f>(1/Table4[[#This Row],[ProbH]]+1/Table4[[#This Row],[ProbD]]+1/Table4[[#This Row],[ProbA]]-1)/3</f>
        <v>1.574074074074076E-2</v>
      </c>
      <c r="Q27">
        <v>1.6</v>
      </c>
      <c r="R27">
        <v>4.5</v>
      </c>
      <c r="S27">
        <v>5</v>
      </c>
      <c r="U27">
        <f>SUM(Table4[[#This Row],[OddH]:[OddA]])</f>
        <v>1</v>
      </c>
    </row>
    <row r="28" spans="1:21" x14ac:dyDescent="0.45">
      <c r="A28" t="s">
        <v>260</v>
      </c>
      <c r="B28">
        <f t="shared" si="0"/>
        <v>58</v>
      </c>
      <c r="C28">
        <f t="shared" si="1"/>
        <v>56.555101951264291</v>
      </c>
      <c r="D28" cm="1">
        <f t="array" ref="D28">IF(Table4[[#This Row],[HomeTeam]]="Barcelona",_xlfn.IFS(Table4[[#This Row],[FTR]]="H",3,Table4[[#This Row],[FTR]]="D",1,Table4[[#This Row],[FTR]]="A",0),_xlfn.IFS(Table4[[#This Row],[FTR]]="A",3,Table4[[#This Row],[FTR]]="D",1,Table4[[#This Row],[FTR]]="H",0))</f>
        <v>1</v>
      </c>
      <c r="E28">
        <f>IF(Table4[[#This Row],[HomeTeam]]="Barcelona",Table4[[#This Row],[OddH]]*3+Table4[[#This Row],[OddD]]*1,Table4[[#This Row],[OddA]]*3+Table4[[#This Row],[OddD]]*1)</f>
        <v>2.4029663147310205</v>
      </c>
      <c r="G28" s="75">
        <v>44184</v>
      </c>
      <c r="H28" t="s">
        <v>147</v>
      </c>
      <c r="I28" t="s">
        <v>323</v>
      </c>
      <c r="J28">
        <v>2</v>
      </c>
      <c r="K28">
        <v>2</v>
      </c>
      <c r="L28" t="s">
        <v>172</v>
      </c>
      <c r="M28">
        <f>1/Table4[[#This Row],[ProbH]]-Table4[[#This Row],[Margin]]</f>
        <v>0.75138260432378079</v>
      </c>
      <c r="N28">
        <f>1/Table4[[#This Row],[ProbD]]-Table4[[#This Row],[Margin]]</f>
        <v>0.14881850175967828</v>
      </c>
      <c r="O28">
        <f>1/Table4[[#This Row],[ProbA]]-Table4[[#This Row],[Margin]]</f>
        <v>9.9798893916541037E-2</v>
      </c>
      <c r="P28">
        <f>(1/Table4[[#This Row],[ProbH]]+1/Table4[[#This Row],[ProbD]]+1/Table4[[#This Row],[ProbA]]-1)/3</f>
        <v>1.7848164906988373E-2</v>
      </c>
      <c r="Q28">
        <v>1.3</v>
      </c>
      <c r="R28">
        <v>6</v>
      </c>
      <c r="S28">
        <v>8.5</v>
      </c>
      <c r="U28">
        <f>SUM(Table4[[#This Row],[OddH]:[OddA]])</f>
        <v>1</v>
      </c>
    </row>
    <row r="29" spans="1:21" x14ac:dyDescent="0.45">
      <c r="A29" t="s">
        <v>261</v>
      </c>
      <c r="B29">
        <f t="shared" si="0"/>
        <v>59</v>
      </c>
      <c r="C29">
        <f t="shared" si="1"/>
        <v>58.992196726245218</v>
      </c>
      <c r="D29" cm="1">
        <f t="array" ref="D29">IF(Table4[[#This Row],[HomeTeam]]="Barcelona",_xlfn.IFS(Table4[[#This Row],[FTR]]="H",3,Table4[[#This Row],[FTR]]="D",1,Table4[[#This Row],[FTR]]="A",0),_xlfn.IFS(Table4[[#This Row],[FTR]]="A",3,Table4[[#This Row],[FTR]]="D",1,Table4[[#This Row],[FTR]]="H",0))</f>
        <v>1</v>
      </c>
      <c r="E29">
        <f>IF(Table4[[#This Row],[HomeTeam]]="Barcelona",Table4[[#This Row],[OddH]]*3+Table4[[#This Row],[OddD]]*1,Table4[[#This Row],[OddA]]*3+Table4[[#This Row],[OddD]]*1)</f>
        <v>2.4370947749809306</v>
      </c>
      <c r="G29" s="75">
        <v>44194</v>
      </c>
      <c r="H29" t="s">
        <v>147</v>
      </c>
      <c r="I29" t="s">
        <v>324</v>
      </c>
      <c r="J29">
        <v>1</v>
      </c>
      <c r="K29">
        <v>1</v>
      </c>
      <c r="L29" t="s">
        <v>172</v>
      </c>
      <c r="M29">
        <f>1/Table4[[#This Row],[ProbH]]-Table4[[#This Row],[Margin]]</f>
        <v>0.76110793287566747</v>
      </c>
      <c r="N29">
        <f>1/Table4[[#This Row],[ProbD]]-Table4[[#This Row],[Margin]]</f>
        <v>0.15377097635392831</v>
      </c>
      <c r="O29">
        <f>1/Table4[[#This Row],[ProbA]]-Table4[[#This Row],[Margin]]</f>
        <v>8.5121090770404265E-2</v>
      </c>
      <c r="P29">
        <f>(1/Table4[[#This Row],[ProbH]]+1/Table4[[#This Row],[ProbD]]+1/Table4[[#This Row],[ProbA]]-1)/3</f>
        <v>2.0142067124332568E-2</v>
      </c>
      <c r="Q29">
        <v>1.28</v>
      </c>
      <c r="R29">
        <v>5.75</v>
      </c>
      <c r="S29">
        <v>9.5</v>
      </c>
      <c r="U29">
        <f>SUM(Table4[[#This Row],[OddH]:[OddA]])</f>
        <v>1</v>
      </c>
    </row>
    <row r="30" spans="1:21" x14ac:dyDescent="0.45">
      <c r="A30" t="s">
        <v>262</v>
      </c>
      <c r="B30">
        <f t="shared" si="0"/>
        <v>62</v>
      </c>
      <c r="C30">
        <f t="shared" si="1"/>
        <v>61.309750414387139</v>
      </c>
      <c r="D30" cm="1">
        <f t="array" ref="D30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30">
        <f>IF(Table4[[#This Row],[HomeTeam]]="Barcelona",Table4[[#This Row],[OddH]]*3+Table4[[#This Row],[OddD]]*1,Table4[[#This Row],[OddA]]*3+Table4[[#This Row],[OddD]]*1)</f>
        <v>2.3175536881419228</v>
      </c>
      <c r="G30" s="75">
        <v>44227</v>
      </c>
      <c r="H30" t="s">
        <v>147</v>
      </c>
      <c r="I30" t="s">
        <v>327</v>
      </c>
      <c r="J30">
        <v>2</v>
      </c>
      <c r="K30">
        <v>1</v>
      </c>
      <c r="L30" t="s">
        <v>175</v>
      </c>
      <c r="M30">
        <f>1/Table4[[#This Row],[ProbH]]-Table4[[#This Row],[Margin]]</f>
        <v>0.71559290382819785</v>
      </c>
      <c r="N30">
        <f>1/Table4[[#This Row],[ProbD]]-Table4[[#This Row],[Margin]]</f>
        <v>0.17077497665732957</v>
      </c>
      <c r="O30">
        <f>1/Table4[[#This Row],[ProbA]]-Table4[[#This Row],[Margin]]</f>
        <v>0.11363211951447245</v>
      </c>
      <c r="P30">
        <f>(1/Table4[[#This Row],[ProbH]]+1/Table4[[#This Row],[ProbD]]+1/Table4[[#This Row],[ProbA]]-1)/3</f>
        <v>1.9701213818860881E-2</v>
      </c>
      <c r="Q30">
        <v>1.36</v>
      </c>
      <c r="R30">
        <v>5.25</v>
      </c>
      <c r="S30">
        <v>7.5</v>
      </c>
      <c r="U30">
        <f>SUM(Table4[[#This Row],[OddH]:[OddA]])</f>
        <v>0.99999999999999989</v>
      </c>
    </row>
    <row r="31" spans="1:21" x14ac:dyDescent="0.45">
      <c r="A31" t="s">
        <v>263</v>
      </c>
      <c r="B31">
        <f t="shared" si="0"/>
        <v>65</v>
      </c>
      <c r="C31">
        <f t="shared" si="1"/>
        <v>63.741463377350101</v>
      </c>
      <c r="D31" cm="1">
        <f t="array" ref="D31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31">
        <f>IF(Table4[[#This Row],[HomeTeam]]="Barcelona",Table4[[#This Row],[OddH]]*3+Table4[[#This Row],[OddD]]*1,Table4[[#This Row],[OddA]]*3+Table4[[#This Row],[OddD]]*1)</f>
        <v>2.4317129629629632</v>
      </c>
      <c r="G31" s="75">
        <v>44240</v>
      </c>
      <c r="H31" t="s">
        <v>147</v>
      </c>
      <c r="I31" t="s">
        <v>319</v>
      </c>
      <c r="J31">
        <v>5</v>
      </c>
      <c r="K31">
        <v>1</v>
      </c>
      <c r="L31" t="s">
        <v>175</v>
      </c>
      <c r="M31">
        <f>1/Table4[[#This Row],[ProbH]]-Table4[[#This Row],[Margin]]</f>
        <v>0.76157407407407407</v>
      </c>
      <c r="N31">
        <f>1/Table4[[#This Row],[ProbD]]-Table4[[#This Row],[Margin]]</f>
        <v>0.14699074074074076</v>
      </c>
      <c r="O31">
        <f>1/Table4[[#This Row],[ProbA]]-Table4[[#This Row],[Margin]]</f>
        <v>9.1435185185185217E-2</v>
      </c>
      <c r="P31">
        <f>(1/Table4[[#This Row],[ProbH]]+1/Table4[[#This Row],[ProbD]]+1/Table4[[#This Row],[ProbA]]-1)/3</f>
        <v>1.9675925925925892E-2</v>
      </c>
      <c r="Q31">
        <v>1.28</v>
      </c>
      <c r="R31">
        <v>6</v>
      </c>
      <c r="S31">
        <v>9</v>
      </c>
      <c r="U31">
        <f>SUM(Table4[[#This Row],[OddH]:[OddA]])</f>
        <v>1</v>
      </c>
    </row>
    <row r="32" spans="1:21" x14ac:dyDescent="0.45">
      <c r="A32" t="s">
        <v>264</v>
      </c>
      <c r="B32">
        <f t="shared" si="0"/>
        <v>66</v>
      </c>
      <c r="C32">
        <f t="shared" si="1"/>
        <v>66.367347550648063</v>
      </c>
      <c r="D32" cm="1">
        <f t="array" ref="D32">IF(Table4[[#This Row],[HomeTeam]]="Barcelona",_xlfn.IFS(Table4[[#This Row],[FTR]]="H",3,Table4[[#This Row],[FTR]]="D",1,Table4[[#This Row],[FTR]]="A",0),_xlfn.IFS(Table4[[#This Row],[FTR]]="A",3,Table4[[#This Row],[FTR]]="D",1,Table4[[#This Row],[FTR]]="H",0))</f>
        <v>1</v>
      </c>
      <c r="E32">
        <f>IF(Table4[[#This Row],[HomeTeam]]="Barcelona",Table4[[#This Row],[OddH]]*3+Table4[[#This Row],[OddD]]*1,Table4[[#This Row],[OddA]]*3+Table4[[#This Row],[OddD]]*1)</f>
        <v>2.6258841732979663</v>
      </c>
      <c r="G32" s="75">
        <v>44248</v>
      </c>
      <c r="H32" t="s">
        <v>147</v>
      </c>
      <c r="I32" t="s">
        <v>321</v>
      </c>
      <c r="J32">
        <v>1</v>
      </c>
      <c r="K32">
        <v>1</v>
      </c>
      <c r="L32" t="s">
        <v>172</v>
      </c>
      <c r="M32">
        <f>1/Table4[[#This Row],[ProbH]]-Table4[[#This Row],[Margin]]</f>
        <v>0.84073828470380196</v>
      </c>
      <c r="N32">
        <f>1/Table4[[#This Row],[ProbD]]-Table4[[#This Row],[Margin]]</f>
        <v>0.10366931918656053</v>
      </c>
      <c r="O32">
        <f>1/Table4[[#This Row],[ProbA]]-Table4[[#This Row],[Margin]]</f>
        <v>5.5592396109637454E-2</v>
      </c>
      <c r="P32">
        <f>(1/Table4[[#This Row],[ProbH]]+1/Table4[[#This Row],[ProbD]]+1/Table4[[#This Row],[ProbA]]-1)/3</f>
        <v>2.1330680813439473E-2</v>
      </c>
      <c r="Q32">
        <v>1.1599999999999999</v>
      </c>
      <c r="R32">
        <v>8</v>
      </c>
      <c r="S32">
        <v>13</v>
      </c>
      <c r="U32">
        <f>SUM(Table4[[#This Row],[OddH]:[OddA]])</f>
        <v>1</v>
      </c>
    </row>
    <row r="33" spans="1:21" x14ac:dyDescent="0.45">
      <c r="A33" t="s">
        <v>265</v>
      </c>
      <c r="B33">
        <f t="shared" si="0"/>
        <v>69</v>
      </c>
      <c r="C33">
        <f t="shared" si="1"/>
        <v>69.081563646443101</v>
      </c>
      <c r="D33" cm="1">
        <f t="array" ref="D33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33">
        <f>IF(Table4[[#This Row],[HomeTeam]]="Barcelona",Table4[[#This Row],[OddH]]*3+Table4[[#This Row],[OddD]]*1,Table4[[#This Row],[OddA]]*3+Table4[[#This Row],[OddD]]*1)</f>
        <v>2.714216095795043</v>
      </c>
      <c r="G33" s="75">
        <v>44251</v>
      </c>
      <c r="H33" t="s">
        <v>147</v>
      </c>
      <c r="I33" t="s">
        <v>326</v>
      </c>
      <c r="J33">
        <v>3</v>
      </c>
      <c r="K33">
        <v>0</v>
      </c>
      <c r="L33" t="s">
        <v>175</v>
      </c>
      <c r="M33">
        <f>1/Table4[[#This Row],[ProbH]]-Table4[[#This Row],[Margin]]</f>
        <v>0.87399053188526865</v>
      </c>
      <c r="N33">
        <f>1/Table4[[#This Row],[ProbD]]-Table4[[#This Row],[Margin]]</f>
        <v>9.2244500139237004E-2</v>
      </c>
      <c r="O33">
        <f>1/Table4[[#This Row],[ProbA]]-Table4[[#This Row],[Margin]]</f>
        <v>3.3764967975494317E-2</v>
      </c>
      <c r="P33">
        <f>(1/Table4[[#This Row],[ProbH]]+1/Table4[[#This Row],[ProbD]]+1/Table4[[#This Row],[ProbA]]-1)/3</f>
        <v>1.8866610971874104E-2</v>
      </c>
      <c r="Q33">
        <v>1.1200000000000001</v>
      </c>
      <c r="R33">
        <v>9</v>
      </c>
      <c r="S33">
        <v>19</v>
      </c>
      <c r="U33">
        <f>SUM(Table4[[#This Row],[OddH]:[OddA]])</f>
        <v>1</v>
      </c>
    </row>
    <row r="34" spans="1:21" x14ac:dyDescent="0.45">
      <c r="A34" t="s">
        <v>266</v>
      </c>
      <c r="B34">
        <f t="shared" si="0"/>
        <v>72</v>
      </c>
      <c r="C34">
        <f t="shared" si="1"/>
        <v>71.680317811298963</v>
      </c>
      <c r="D34" cm="1">
        <f t="array" ref="D34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34">
        <f>IF(Table4[[#This Row],[HomeTeam]]="Barcelona",Table4[[#This Row],[OddH]]*3+Table4[[#This Row],[OddD]]*1,Table4[[#This Row],[OddA]]*3+Table4[[#This Row],[OddD]]*1)</f>
        <v>2.5987541648558601</v>
      </c>
      <c r="G34" s="75">
        <v>44270</v>
      </c>
      <c r="H34" t="s">
        <v>147</v>
      </c>
      <c r="I34" t="s">
        <v>320</v>
      </c>
      <c r="J34">
        <v>4</v>
      </c>
      <c r="K34">
        <v>1</v>
      </c>
      <c r="L34" t="s">
        <v>175</v>
      </c>
      <c r="M34">
        <f>1/Table4[[#This Row],[ProbH]]-Table4[[#This Row],[Margin]]</f>
        <v>0.8282196146602927</v>
      </c>
      <c r="N34">
        <f>1/Table4[[#This Row],[ProbD]]-Table4[[#This Row],[Margin]]</f>
        <v>0.11409532087498185</v>
      </c>
      <c r="O34">
        <f>1/Table4[[#This Row],[ProbA]]-Table4[[#This Row],[Margin]]</f>
        <v>5.7685064464725447E-2</v>
      </c>
      <c r="P34">
        <f>(1/Table4[[#This Row],[ProbH]]+1/Table4[[#This Row],[ProbD]]+1/Table4[[#This Row],[ProbA]]-1)/3</f>
        <v>1.9238012458351477E-2</v>
      </c>
      <c r="Q34">
        <v>1.18</v>
      </c>
      <c r="R34">
        <v>7.5</v>
      </c>
      <c r="S34">
        <v>13</v>
      </c>
      <c r="U34">
        <f>SUM(Table4[[#This Row],[OddH]:[OddA]])</f>
        <v>1</v>
      </c>
    </row>
    <row r="35" spans="1:21" x14ac:dyDescent="0.45">
      <c r="A35" t="s">
        <v>267</v>
      </c>
      <c r="B35">
        <f t="shared" si="0"/>
        <v>75</v>
      </c>
      <c r="C35">
        <f t="shared" si="1"/>
        <v>74.394533907094001</v>
      </c>
      <c r="D35" cm="1">
        <f t="array" ref="D35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35">
        <f>IF(Table4[[#This Row],[HomeTeam]]="Barcelona",Table4[[#This Row],[OddH]]*3+Table4[[#This Row],[OddD]]*1,Table4[[#This Row],[OddA]]*3+Table4[[#This Row],[OddD]]*1)</f>
        <v>2.714216095795043</v>
      </c>
      <c r="G35" s="75">
        <v>44291</v>
      </c>
      <c r="H35" t="s">
        <v>147</v>
      </c>
      <c r="I35" t="s">
        <v>322</v>
      </c>
      <c r="J35">
        <v>1</v>
      </c>
      <c r="K35">
        <v>0</v>
      </c>
      <c r="L35" t="s">
        <v>175</v>
      </c>
      <c r="M35">
        <f>1/Table4[[#This Row],[ProbH]]-Table4[[#This Row],[Margin]]</f>
        <v>0.87399053188526865</v>
      </c>
      <c r="N35">
        <f>1/Table4[[#This Row],[ProbD]]-Table4[[#This Row],[Margin]]</f>
        <v>9.2244500139237004E-2</v>
      </c>
      <c r="O35">
        <f>1/Table4[[#This Row],[ProbA]]-Table4[[#This Row],[Margin]]</f>
        <v>3.3764967975494317E-2</v>
      </c>
      <c r="P35">
        <f>(1/Table4[[#This Row],[ProbH]]+1/Table4[[#This Row],[ProbD]]+1/Table4[[#This Row],[ProbA]]-1)/3</f>
        <v>1.8866610971874104E-2</v>
      </c>
      <c r="Q35">
        <v>1.1200000000000001</v>
      </c>
      <c r="R35">
        <v>9</v>
      </c>
      <c r="S35">
        <v>19</v>
      </c>
      <c r="U35">
        <f>SUM(Table4[[#This Row],[OddH]:[OddA]])</f>
        <v>1</v>
      </c>
    </row>
    <row r="36" spans="1:21" x14ac:dyDescent="0.45">
      <c r="A36" t="s">
        <v>268</v>
      </c>
      <c r="B36">
        <f t="shared" si="0"/>
        <v>78</v>
      </c>
      <c r="C36">
        <f t="shared" si="1"/>
        <v>76.900665456703805</v>
      </c>
      <c r="D36" cm="1">
        <f t="array" ref="D36">IF(Table4[[#This Row],[HomeTeam]]="Barcelona",_xlfn.IFS(Table4[[#This Row],[FTR]]="H",3,Table4[[#This Row],[FTR]]="D",1,Table4[[#This Row],[FTR]]="A",0),_xlfn.IFS(Table4[[#This Row],[FTR]]="A",3,Table4[[#This Row],[FTR]]="D",1,Table4[[#This Row],[FTR]]="H",0))</f>
        <v>3</v>
      </c>
      <c r="E36">
        <f>IF(Table4[[#This Row],[HomeTeam]]="Barcelona",Table4[[#This Row],[OddH]]*3+Table4[[#This Row],[OddD]]*1,Table4[[#This Row],[OddA]]*3+Table4[[#This Row],[OddD]]*1)</f>
        <v>2.5061315496098104</v>
      </c>
      <c r="G36" s="75">
        <v>44308</v>
      </c>
      <c r="H36" t="s">
        <v>147</v>
      </c>
      <c r="I36" t="s">
        <v>69</v>
      </c>
      <c r="J36">
        <v>5</v>
      </c>
      <c r="K36">
        <v>2</v>
      </c>
      <c r="L36" t="s">
        <v>175</v>
      </c>
      <c r="M36">
        <f>1/Table4[[#This Row],[ProbH]]-Table4[[#This Row],[Margin]]</f>
        <v>0.78305462653288738</v>
      </c>
      <c r="N36">
        <f>1/Table4[[#This Row],[ProbD]]-Table4[[#This Row],[Margin]]</f>
        <v>0.15696767001114822</v>
      </c>
      <c r="O36">
        <f>1/Table4[[#This Row],[ProbA]]-Table4[[#This Row],[Margin]]</f>
        <v>5.9977703455964301E-2</v>
      </c>
      <c r="P36">
        <f>(1/Table4[[#This Row],[ProbH]]+1/Table4[[#This Row],[ProbD]]+1/Table4[[#This Row],[ProbA]]-1)/3</f>
        <v>1.694537346711263E-2</v>
      </c>
      <c r="Q36">
        <v>1.25</v>
      </c>
      <c r="R36">
        <v>5.75</v>
      </c>
      <c r="S36">
        <v>13</v>
      </c>
      <c r="U36">
        <f>SUM(Table4[[#This Row],[OddH]:[OddA]])</f>
        <v>0.99999999999999989</v>
      </c>
    </row>
    <row r="37" spans="1:21" x14ac:dyDescent="0.45">
      <c r="A37" t="s">
        <v>269</v>
      </c>
      <c r="B37">
        <f t="shared" si="0"/>
        <v>78</v>
      </c>
      <c r="C37">
        <f t="shared" si="1"/>
        <v>79.575889054915024</v>
      </c>
      <c r="D37" cm="1">
        <f t="array" ref="D37">IF(Table4[[#This Row],[HomeTeam]]="Barcelona",_xlfn.IFS(Table4[[#This Row],[FTR]]="H",3,Table4[[#This Row],[FTR]]="D",1,Table4[[#This Row],[FTR]]="A",0),_xlfn.IFS(Table4[[#This Row],[FTR]]="A",3,Table4[[#This Row],[FTR]]="D",1,Table4[[#This Row],[FTR]]="H",0))</f>
        <v>0</v>
      </c>
      <c r="E37">
        <f>IF(Table4[[#This Row],[HomeTeam]]="Barcelona",Table4[[#This Row],[OddH]]*3+Table4[[#This Row],[OddD]]*1,Table4[[#This Row],[OddA]]*3+Table4[[#This Row],[OddD]]*1)</f>
        <v>2.6752235982112142</v>
      </c>
      <c r="G37" s="75">
        <v>44315</v>
      </c>
      <c r="H37" t="s">
        <v>147</v>
      </c>
      <c r="I37" t="s">
        <v>71</v>
      </c>
      <c r="J37">
        <v>1</v>
      </c>
      <c r="K37">
        <v>2</v>
      </c>
      <c r="L37" t="s">
        <v>180</v>
      </c>
      <c r="M37">
        <f>1/Table4[[#This Row],[ProbH]]-Table4[[#This Row],[Margin]]</f>
        <v>0.85685414516683867</v>
      </c>
      <c r="N37">
        <f>1/Table4[[#This Row],[ProbD]]-Table4[[#This Row],[Margin]]</f>
        <v>0.10466116271069829</v>
      </c>
      <c r="O37">
        <f>1/Table4[[#This Row],[ProbA]]-Table4[[#This Row],[Margin]]</f>
        <v>3.8484692122462999E-2</v>
      </c>
      <c r="P37">
        <f>(1/Table4[[#This Row],[ProbH]]+1/Table4[[#This Row],[ProbD]]+1/Table4[[#This Row],[ProbA]]-1)/3</f>
        <v>2.033883728930171E-2</v>
      </c>
      <c r="Q37">
        <v>1.1399999999999999</v>
      </c>
      <c r="R37">
        <v>8</v>
      </c>
      <c r="S37">
        <v>17</v>
      </c>
      <c r="U37">
        <f>SUM(Table4[[#This Row],[OddH]:[OddA]])</f>
        <v>0.99999999999999989</v>
      </c>
    </row>
    <row r="38" spans="1:21" x14ac:dyDescent="0.45">
      <c r="A38" t="s">
        <v>270</v>
      </c>
      <c r="B38">
        <f t="shared" si="0"/>
        <v>79</v>
      </c>
      <c r="C38">
        <f t="shared" si="1"/>
        <v>81.477587746087394</v>
      </c>
      <c r="D38" cm="1">
        <f t="array" ref="D38">IF(Table4[[#This Row],[HomeTeam]]="Barcelona",_xlfn.IFS(Table4[[#This Row],[FTR]]="H",3,Table4[[#This Row],[FTR]]="D",1,Table4[[#This Row],[FTR]]="A",0),_xlfn.IFS(Table4[[#This Row],[FTR]]="A",3,Table4[[#This Row],[FTR]]="D",1,Table4[[#This Row],[FTR]]="H",0))</f>
        <v>1</v>
      </c>
      <c r="E38">
        <f>IF(Table4[[#This Row],[HomeTeam]]="Barcelona",Table4[[#This Row],[OddH]]*3+Table4[[#This Row],[OddD]]*1,Table4[[#This Row],[OddA]]*3+Table4[[#This Row],[OddD]]*1)</f>
        <v>1.9016986911723759</v>
      </c>
      <c r="G38" s="75">
        <v>44324</v>
      </c>
      <c r="H38" t="s">
        <v>147</v>
      </c>
      <c r="I38" t="s">
        <v>313</v>
      </c>
      <c r="J38">
        <v>0</v>
      </c>
      <c r="K38">
        <v>0</v>
      </c>
      <c r="L38" t="s">
        <v>172</v>
      </c>
      <c r="M38">
        <f>1/Table4[[#This Row],[ProbH]]-Table4[[#This Row],[Margin]]</f>
        <v>0.55249234196602626</v>
      </c>
      <c r="N38">
        <f>1/Table4[[#This Row],[ProbD]]-Table4[[#This Row],[Margin]]</f>
        <v>0.24422166527429692</v>
      </c>
      <c r="O38">
        <f>1/Table4[[#This Row],[ProbA]]-Table4[[#This Row],[Margin]]</f>
        <v>0.20328599275967704</v>
      </c>
      <c r="P38">
        <f>(1/Table4[[#This Row],[ProbH]]+1/Table4[[#This Row],[ProbD]]+1/Table4[[#This Row],[ProbA]]-1)/3</f>
        <v>1.8936229462545178E-2</v>
      </c>
      <c r="Q38">
        <v>1.75</v>
      </c>
      <c r="R38">
        <v>3.8</v>
      </c>
      <c r="S38">
        <v>4.5</v>
      </c>
      <c r="U38">
        <f>SUM(Table4[[#This Row],[OddH]:[OddA]])</f>
        <v>1.0000000000000002</v>
      </c>
    </row>
    <row r="39" spans="1:21" x14ac:dyDescent="0.45">
      <c r="A39" t="s">
        <v>271</v>
      </c>
      <c r="B39">
        <f t="shared" si="0"/>
        <v>79</v>
      </c>
      <c r="C39">
        <f t="shared" si="1"/>
        <v>84.034153402653047</v>
      </c>
      <c r="D39" cm="1">
        <f t="array" ref="D39">IF(Table4[[#This Row],[HomeTeam]]="Barcelona",_xlfn.IFS(Table4[[#This Row],[FTR]]="H",3,Table4[[#This Row],[FTR]]="D",1,Table4[[#This Row],[FTR]]="A",0),_xlfn.IFS(Table4[[#This Row],[FTR]]="A",3,Table4[[#This Row],[FTR]]="D",1,Table4[[#This Row],[FTR]]="H",0))</f>
        <v>0</v>
      </c>
      <c r="E39">
        <f>IF(Table4[[#This Row],[HomeTeam]]="Barcelona",Table4[[#This Row],[OddH]]*3+Table4[[#This Row],[OddD]]*1,Table4[[#This Row],[OddA]]*3+Table4[[#This Row],[OddD]]*1)</f>
        <v>2.5565656565656565</v>
      </c>
      <c r="G39" s="75">
        <v>44332</v>
      </c>
      <c r="H39" t="s">
        <v>147</v>
      </c>
      <c r="I39" t="s">
        <v>315</v>
      </c>
      <c r="J39">
        <v>1</v>
      </c>
      <c r="K39">
        <v>2</v>
      </c>
      <c r="L39" t="s">
        <v>180</v>
      </c>
      <c r="M39">
        <f>1/Table4[[#This Row],[ProbH]]-Table4[[#This Row],[Margin]]</f>
        <v>0.81414141414141417</v>
      </c>
      <c r="N39">
        <f>1/Table4[[#This Row],[ProbD]]-Table4[[#This Row],[Margin]]</f>
        <v>0.11414141414141413</v>
      </c>
      <c r="O39">
        <f>1/Table4[[#This Row],[ProbA]]-Table4[[#This Row],[Margin]]</f>
        <v>7.1717171717171707E-2</v>
      </c>
      <c r="P39">
        <f>(1/Table4[[#This Row],[ProbH]]+1/Table4[[#This Row],[ProbD]]+1/Table4[[#This Row],[ProbA]]-1)/3</f>
        <v>1.9191919191919204E-2</v>
      </c>
      <c r="Q39">
        <v>1.2</v>
      </c>
      <c r="R39">
        <v>7.5</v>
      </c>
      <c r="S39">
        <v>11</v>
      </c>
      <c r="U39">
        <f>SUM(Table4[[#This Row],[OddH]:[OddA]])</f>
        <v>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3B2E3-66DE-43BD-B004-67BE0AAAFA76}">
  <dimension ref="A1:U39"/>
  <sheetViews>
    <sheetView workbookViewId="0">
      <selection activeCell="E3" sqref="E3"/>
    </sheetView>
  </sheetViews>
  <sheetFormatPr defaultRowHeight="14.25" x14ac:dyDescent="0.45"/>
  <cols>
    <col min="2" max="2" width="14.73046875" bestFit="1" customWidth="1"/>
    <col min="3" max="3" width="14.59765625" bestFit="1" customWidth="1"/>
    <col min="4" max="4" width="15.19921875" bestFit="1" customWidth="1"/>
    <col min="5" max="5" width="13.33203125" bestFit="1" customWidth="1"/>
    <col min="7" max="7" width="10.19921875" bestFit="1" customWidth="1"/>
    <col min="8" max="8" width="11.59765625" customWidth="1"/>
    <col min="9" max="9" width="11.265625" customWidth="1"/>
  </cols>
  <sheetData>
    <row r="1" spans="1:21" x14ac:dyDescent="0.45">
      <c r="B1" t="s">
        <v>158</v>
      </c>
      <c r="C1" t="s">
        <v>159</v>
      </c>
      <c r="D1" t="s">
        <v>234</v>
      </c>
      <c r="E1" t="s">
        <v>272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382</v>
      </c>
      <c r="N1" t="s">
        <v>381</v>
      </c>
      <c r="O1" t="s">
        <v>131</v>
      </c>
      <c r="P1" t="s">
        <v>341</v>
      </c>
      <c r="Q1" t="s">
        <v>132</v>
      </c>
      <c r="R1" t="s">
        <v>133</v>
      </c>
      <c r="S1" t="s">
        <v>134</v>
      </c>
    </row>
    <row r="2" spans="1:21" x14ac:dyDescent="0.45">
      <c r="A2" t="s">
        <v>157</v>
      </c>
      <c r="B2">
        <f>D2</f>
        <v>3</v>
      </c>
      <c r="C2">
        <f>E2</f>
        <v>1.9544662309368195</v>
      </c>
      <c r="D2" cm="1">
        <f t="array" ref="D2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2">
        <f>IF(Table5[[#This Row],[HomeTeam]]="Sevilla",Table5[[#This Row],[OddH]]*3+Table5[[#This Row],[OddD]]*1,Table5[[#This Row],[OddA]]*3+Table5[[#This Row],[OddD]]*1)</f>
        <v>1.9544662309368195</v>
      </c>
      <c r="G2" s="75">
        <v>44101</v>
      </c>
      <c r="H2" t="s">
        <v>321</v>
      </c>
      <c r="I2" t="s">
        <v>317</v>
      </c>
      <c r="J2">
        <v>1</v>
      </c>
      <c r="K2">
        <v>3</v>
      </c>
      <c r="L2" t="s">
        <v>180</v>
      </c>
      <c r="M2">
        <f>1/Table5[[#This Row],[ProbH]]-Table5[[#This Row],[Margin]]</f>
        <v>0.17799564270152507</v>
      </c>
      <c r="N2">
        <f>1/Table5[[#This Row],[ProbD]]-Table5[[#This Row],[Margin]]</f>
        <v>0.25577342047930285</v>
      </c>
      <c r="O2">
        <f>1/Table5[[#This Row],[ProbA]]-Table5[[#This Row],[Margin]]</f>
        <v>0.56623093681917214</v>
      </c>
      <c r="P2">
        <f>(1/Table5[[#This Row],[ProbH]]+1/Table5[[#This Row],[ProbD]]+1/Table5[[#This Row],[ProbA]]-1)/3</f>
        <v>2.2004357298474941E-2</v>
      </c>
      <c r="Q2">
        <v>5</v>
      </c>
      <c r="R2">
        <v>3.6</v>
      </c>
      <c r="S2">
        <v>1.7</v>
      </c>
      <c r="U2">
        <f>SUM(Table5[[#This Row],[OddH]:[OddA]])</f>
        <v>1</v>
      </c>
    </row>
    <row r="3" spans="1:21" x14ac:dyDescent="0.45">
      <c r="A3" t="s">
        <v>235</v>
      </c>
      <c r="B3">
        <f>B2+D3</f>
        <v>6</v>
      </c>
      <c r="C3">
        <f>C2+E3</f>
        <v>4.2264239028944921</v>
      </c>
      <c r="D3" cm="1">
        <f t="array" ref="D3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3">
        <f>IF(Table5[[#This Row],[HomeTeam]]="Sevilla",Table5[[#This Row],[OddH]]*3+Table5[[#This Row],[OddD]]*1,Table5[[#This Row],[OddA]]*3+Table5[[#This Row],[OddD]]*1)</f>
        <v>2.2719576719576722</v>
      </c>
      <c r="G3" s="75">
        <v>44105</v>
      </c>
      <c r="H3" t="s">
        <v>317</v>
      </c>
      <c r="I3" t="s">
        <v>325</v>
      </c>
      <c r="J3">
        <v>1</v>
      </c>
      <c r="K3">
        <v>0</v>
      </c>
      <c r="L3" t="s">
        <v>175</v>
      </c>
      <c r="M3">
        <f>1/Table5[[#This Row],[ProbH]]-Table5[[#This Row],[Margin]]</f>
        <v>0.69100529100529107</v>
      </c>
      <c r="N3">
        <f>1/Table5[[#This Row],[ProbD]]-Table5[[#This Row],[Margin]]</f>
        <v>0.19894179894179895</v>
      </c>
      <c r="O3">
        <f>1/Table5[[#This Row],[ProbA]]-Table5[[#This Row],[Margin]]</f>
        <v>0.11005291005291006</v>
      </c>
      <c r="P3">
        <f>(1/Table5[[#This Row],[ProbH]]+1/Table5[[#This Row],[ProbD]]+1/Table5[[#This Row],[ProbA]]-1)/3</f>
        <v>2.3280423280423273E-2</v>
      </c>
      <c r="Q3">
        <v>1.4</v>
      </c>
      <c r="R3">
        <v>4.5</v>
      </c>
      <c r="S3">
        <v>7.5</v>
      </c>
      <c r="U3">
        <f>SUM(Table5[[#This Row],[OddH]:[OddA]])</f>
        <v>1</v>
      </c>
    </row>
    <row r="4" spans="1:21" x14ac:dyDescent="0.45">
      <c r="A4" t="s">
        <v>236</v>
      </c>
      <c r="B4">
        <f t="shared" ref="B4:B39" si="0">B3+D4</f>
        <v>7</v>
      </c>
      <c r="C4">
        <f t="shared" ref="C4:C39" si="1">C3+E4</f>
        <v>4.9509783594034653</v>
      </c>
      <c r="D4" cm="1">
        <f t="array" ref="D4">IF(Table5[[#This Row],[HomeTeam]]="Sevilla",_xlfn.IFS(Table5[[#This Row],[FTR]]="H",3,Table5[[#This Row],[FTR]]="D",1,Table5[[#This Row],[FTR]]="A",0),_xlfn.IFS(Table5[[#This Row],[FTR]]="A",3,Table5[[#This Row],[FTR]]="D",1,Table5[[#This Row],[FTR]]="H",0))</f>
        <v>1</v>
      </c>
      <c r="E4">
        <f>IF(Table5[[#This Row],[HomeTeam]]="Sevilla",Table5[[#This Row],[OddH]]*3+Table5[[#This Row],[OddD]]*1,Table5[[#This Row],[OddA]]*3+Table5[[#This Row],[OddD]]*1)</f>
        <v>0.72455445650897321</v>
      </c>
      <c r="G4" s="75">
        <v>44108</v>
      </c>
      <c r="H4" t="s">
        <v>147</v>
      </c>
      <c r="I4" t="s">
        <v>317</v>
      </c>
      <c r="J4">
        <v>1</v>
      </c>
      <c r="K4">
        <v>1</v>
      </c>
      <c r="L4" t="s">
        <v>172</v>
      </c>
      <c r="M4">
        <f>1/Table5[[#This Row],[ProbH]]-Table5[[#This Row],[Margin]]</f>
        <v>0.61748742587506356</v>
      </c>
      <c r="N4">
        <f>1/Table5[[#This Row],[ProbD]]-Table5[[#This Row],[Margin]]</f>
        <v>0.21149163293291801</v>
      </c>
      <c r="O4">
        <f>1/Table5[[#This Row],[ProbA]]-Table5[[#This Row],[Margin]]</f>
        <v>0.17102094119201841</v>
      </c>
      <c r="P4">
        <f>(1/Table5[[#This Row],[ProbH]]+1/Table5[[#This Row],[ProbD]]+1/Table5[[#This Row],[ProbA]]-1)/3</f>
        <v>1.9455249284172044E-2</v>
      </c>
      <c r="Q4">
        <v>1.57</v>
      </c>
      <c r="R4">
        <v>4.33</v>
      </c>
      <c r="S4">
        <v>5.25</v>
      </c>
      <c r="U4">
        <f>SUM(Table5[[#This Row],[OddH]:[OddA]])</f>
        <v>0.99999999999999989</v>
      </c>
    </row>
    <row r="5" spans="1:21" x14ac:dyDescent="0.45">
      <c r="A5" t="s">
        <v>237</v>
      </c>
      <c r="B5">
        <f t="shared" si="0"/>
        <v>7</v>
      </c>
      <c r="C5">
        <f t="shared" si="1"/>
        <v>6.7460051420463465</v>
      </c>
      <c r="D5" cm="1">
        <f t="array" ref="D5">IF(Table5[[#This Row],[HomeTeam]]="Sevilla",_xlfn.IFS(Table5[[#This Row],[FTR]]="H",3,Table5[[#This Row],[FTR]]="D",1,Table5[[#This Row],[FTR]]="A",0),_xlfn.IFS(Table5[[#This Row],[FTR]]="A",3,Table5[[#This Row],[FTR]]="D",1,Table5[[#This Row],[FTR]]="H",0))</f>
        <v>0</v>
      </c>
      <c r="E5">
        <f>IF(Table5[[#This Row],[HomeTeam]]="Sevilla",Table5[[#This Row],[OddH]]*3+Table5[[#This Row],[OddD]]*1,Table5[[#This Row],[OddA]]*3+Table5[[#This Row],[OddD]]*1)</f>
        <v>1.7950267826428816</v>
      </c>
      <c r="G5" s="75">
        <v>44121</v>
      </c>
      <c r="H5" t="s">
        <v>71</v>
      </c>
      <c r="I5" t="s">
        <v>317</v>
      </c>
      <c r="J5">
        <v>1</v>
      </c>
      <c r="K5">
        <v>0</v>
      </c>
      <c r="L5" t="s">
        <v>175</v>
      </c>
      <c r="M5">
        <f>1/Table5[[#This Row],[ProbH]]-Table5[[#This Row],[Margin]]</f>
        <v>0.21858567988598948</v>
      </c>
      <c r="N5">
        <f>1/Table5[[#This Row],[ProbD]]-Table5[[#This Row],[Margin]]</f>
        <v>0.27460808884957494</v>
      </c>
      <c r="O5">
        <f>1/Table5[[#This Row],[ProbA]]-Table5[[#This Row],[Margin]]</f>
        <v>0.50680623126443558</v>
      </c>
      <c r="P5">
        <f>(1/Table5[[#This Row],[ProbH]]+1/Table5[[#This Row],[ProbD]]+1/Table5[[#This Row],[ProbA]]-1)/3</f>
        <v>1.9509558209248601E-2</v>
      </c>
      <c r="Q5">
        <v>4.2</v>
      </c>
      <c r="R5">
        <v>3.4</v>
      </c>
      <c r="S5">
        <v>1.9</v>
      </c>
      <c r="U5">
        <f>SUM(Table5[[#This Row],[OddH]:[OddA]])</f>
        <v>1</v>
      </c>
    </row>
    <row r="6" spans="1:21" x14ac:dyDescent="0.45">
      <c r="A6" t="s">
        <v>238</v>
      </c>
      <c r="B6">
        <f t="shared" si="0"/>
        <v>7</v>
      </c>
      <c r="C6">
        <f t="shared" si="1"/>
        <v>8.9740036908858603</v>
      </c>
      <c r="D6" cm="1">
        <f t="array" ref="D6">IF(Table5[[#This Row],[HomeTeam]]="Sevilla",_xlfn.IFS(Table5[[#This Row],[FTR]]="H",3,Table5[[#This Row],[FTR]]="D",1,Table5[[#This Row],[FTR]]="A",0),_xlfn.IFS(Table5[[#This Row],[FTR]]="A",3,Table5[[#This Row],[FTR]]="D",1,Table5[[#This Row],[FTR]]="H",0))</f>
        <v>0</v>
      </c>
      <c r="E6">
        <f>IF(Table5[[#This Row],[HomeTeam]]="Sevilla",Table5[[#This Row],[OddH]]*3+Table5[[#This Row],[OddD]]*1,Table5[[#This Row],[OddA]]*3+Table5[[#This Row],[OddD]]*1)</f>
        <v>2.2279985488395138</v>
      </c>
      <c r="G6" s="75">
        <v>44128</v>
      </c>
      <c r="H6" t="s">
        <v>317</v>
      </c>
      <c r="I6" t="s">
        <v>324</v>
      </c>
      <c r="J6">
        <v>0</v>
      </c>
      <c r="K6">
        <v>1</v>
      </c>
      <c r="L6" t="s">
        <v>180</v>
      </c>
      <c r="M6">
        <f>1/Table5[[#This Row],[ProbH]]-Table5[[#This Row],[Margin]]</f>
        <v>0.67167670975905425</v>
      </c>
      <c r="N6">
        <f>1/Table5[[#This Row],[ProbD]]-Table5[[#This Row],[Margin]]</f>
        <v>0.21296841956235119</v>
      </c>
      <c r="O6">
        <f>1/Table5[[#This Row],[ProbA]]-Table5[[#This Row],[Margin]]</f>
        <v>0.11535487067859447</v>
      </c>
      <c r="P6">
        <f>(1/Table5[[#This Row],[ProbH]]+1/Table5[[#This Row],[ProbD]]+1/Table5[[#This Row],[ProbA]]-1)/3</f>
        <v>1.7978462654738864E-2</v>
      </c>
      <c r="Q6">
        <v>1.45</v>
      </c>
      <c r="R6">
        <v>4.33</v>
      </c>
      <c r="S6">
        <v>7.5</v>
      </c>
      <c r="U6">
        <f>SUM(Table5[[#This Row],[OddH]:[OddA]])</f>
        <v>1</v>
      </c>
    </row>
    <row r="7" spans="1:21" x14ac:dyDescent="0.45">
      <c r="A7" t="s">
        <v>239</v>
      </c>
      <c r="B7">
        <f t="shared" si="0"/>
        <v>7</v>
      </c>
      <c r="C7">
        <f t="shared" si="1"/>
        <v>10.392807109689279</v>
      </c>
      <c r="D7" cm="1">
        <f t="array" ref="D7">IF(Table5[[#This Row],[HomeTeam]]="Sevilla",_xlfn.IFS(Table5[[#This Row],[FTR]]="H",3,Table5[[#This Row],[FTR]]="D",1,Table5[[#This Row],[FTR]]="A",0),_xlfn.IFS(Table5[[#This Row],[FTR]]="A",3,Table5[[#This Row],[FTR]]="D",1,Table5[[#This Row],[FTR]]="H",0))</f>
        <v>0</v>
      </c>
      <c r="E7">
        <f>IF(Table5[[#This Row],[HomeTeam]]="Sevilla",Table5[[#This Row],[OddH]]*3+Table5[[#This Row],[OddD]]*1,Table5[[#This Row],[OddA]]*3+Table5[[#This Row],[OddD]]*1)</f>
        <v>1.4188034188034189</v>
      </c>
      <c r="G7" s="75">
        <v>44135</v>
      </c>
      <c r="H7" t="s">
        <v>327</v>
      </c>
      <c r="I7" t="s">
        <v>317</v>
      </c>
      <c r="J7">
        <v>2</v>
      </c>
      <c r="K7">
        <v>1</v>
      </c>
      <c r="L7" t="s">
        <v>175</v>
      </c>
      <c r="M7">
        <f>1/Table5[[#This Row],[ProbH]]-Table5[[#This Row],[Margin]]</f>
        <v>0.31623931623931628</v>
      </c>
      <c r="N7">
        <f>1/Table5[[#This Row],[ProbD]]-Table5[[#This Row],[Margin]]</f>
        <v>0.31623931623931628</v>
      </c>
      <c r="O7">
        <f>1/Table5[[#This Row],[ProbA]]-Table5[[#This Row],[Margin]]</f>
        <v>0.36752136752136755</v>
      </c>
      <c r="P7">
        <f>(1/Table5[[#This Row],[ProbH]]+1/Table5[[#This Row],[ProbD]]+1/Table5[[#This Row],[ProbA]]-1)/3</f>
        <v>1.7094017094017033E-2</v>
      </c>
      <c r="Q7">
        <v>3</v>
      </c>
      <c r="R7">
        <v>3</v>
      </c>
      <c r="S7">
        <v>2.6</v>
      </c>
      <c r="U7">
        <f>SUM(Table5[[#This Row],[OddH]:[OddA]])</f>
        <v>1</v>
      </c>
    </row>
    <row r="8" spans="1:21" x14ac:dyDescent="0.45">
      <c r="A8" t="s">
        <v>240</v>
      </c>
      <c r="B8">
        <f t="shared" si="0"/>
        <v>10</v>
      </c>
      <c r="C8">
        <f t="shared" si="1"/>
        <v>12.5634420303242</v>
      </c>
      <c r="D8" cm="1">
        <f t="array" ref="D8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8">
        <f>IF(Table5[[#This Row],[HomeTeam]]="Sevilla",Table5[[#This Row],[OddH]]*3+Table5[[#This Row],[OddD]]*1,Table5[[#This Row],[OddA]]*3+Table5[[#This Row],[OddD]]*1)</f>
        <v>2.1706349206349205</v>
      </c>
      <c r="G8" s="75">
        <v>44142</v>
      </c>
      <c r="H8" t="s">
        <v>317</v>
      </c>
      <c r="I8" t="s">
        <v>318</v>
      </c>
      <c r="J8">
        <v>1</v>
      </c>
      <c r="K8">
        <v>0</v>
      </c>
      <c r="L8" t="s">
        <v>175</v>
      </c>
      <c r="M8">
        <f>1/Table5[[#This Row],[ProbH]]-Table5[[#This Row],[Margin]]</f>
        <v>0.64682539682539675</v>
      </c>
      <c r="N8">
        <f>1/Table5[[#This Row],[ProbD]]-Table5[[#This Row],[Margin]]</f>
        <v>0.23015873015873015</v>
      </c>
      <c r="O8">
        <f>1/Table5[[#This Row],[ProbA]]-Table5[[#This Row],[Margin]]</f>
        <v>0.12301587301587301</v>
      </c>
      <c r="P8">
        <f>(1/Table5[[#This Row],[ProbH]]+1/Table5[[#This Row],[ProbD]]+1/Table5[[#This Row],[ProbA]]-1)/3</f>
        <v>1.9841269841269844E-2</v>
      </c>
      <c r="Q8">
        <v>1.5</v>
      </c>
      <c r="R8">
        <v>4</v>
      </c>
      <c r="S8">
        <v>7</v>
      </c>
      <c r="U8">
        <f>SUM(Table5[[#This Row],[OddH]:[OddA]])</f>
        <v>0.99999999999999989</v>
      </c>
    </row>
    <row r="9" spans="1:21" x14ac:dyDescent="0.45">
      <c r="A9" t="s">
        <v>241</v>
      </c>
      <c r="B9">
        <f t="shared" si="0"/>
        <v>13</v>
      </c>
      <c r="C9">
        <f t="shared" si="1"/>
        <v>14.519206765158703</v>
      </c>
      <c r="D9" cm="1">
        <f t="array" ref="D9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9">
        <f>IF(Table5[[#This Row],[HomeTeam]]="Sevilla",Table5[[#This Row],[OddH]]*3+Table5[[#This Row],[OddD]]*1,Table5[[#This Row],[OddA]]*3+Table5[[#This Row],[OddD]]*1)</f>
        <v>1.9557647348345022</v>
      </c>
      <c r="G9" s="75">
        <v>44156</v>
      </c>
      <c r="H9" t="s">
        <v>317</v>
      </c>
      <c r="I9" t="s">
        <v>315</v>
      </c>
      <c r="J9">
        <v>4</v>
      </c>
      <c r="K9">
        <v>2</v>
      </c>
      <c r="L9" t="s">
        <v>175</v>
      </c>
      <c r="M9">
        <f>1/Table5[[#This Row],[ProbH]]-Table5[[#This Row],[Margin]]</f>
        <v>0.56484557647348344</v>
      </c>
      <c r="N9">
        <f>1/Table5[[#This Row],[ProbD]]-Table5[[#This Row],[Margin]]</f>
        <v>0.26122800541405194</v>
      </c>
      <c r="O9">
        <f>1/Table5[[#This Row],[ProbA]]-Table5[[#This Row],[Margin]]</f>
        <v>0.17392641811246459</v>
      </c>
      <c r="P9">
        <f>(1/Table5[[#This Row],[ProbH]]+1/Table5[[#This Row],[ProbD]]+1/Table5[[#This Row],[ProbA]]-1)/3</f>
        <v>1.6549772363725863E-2</v>
      </c>
      <c r="Q9">
        <v>1.72</v>
      </c>
      <c r="R9">
        <v>3.6</v>
      </c>
      <c r="S9">
        <v>5.25</v>
      </c>
      <c r="U9">
        <f>SUM(Table5[[#This Row],[OddH]:[OddA]])</f>
        <v>0.99999999999999989</v>
      </c>
    </row>
    <row r="10" spans="1:21" x14ac:dyDescent="0.45">
      <c r="A10" t="s">
        <v>242</v>
      </c>
      <c r="B10">
        <f t="shared" si="0"/>
        <v>16</v>
      </c>
      <c r="C10">
        <f t="shared" si="1"/>
        <v>16.251529997481935</v>
      </c>
      <c r="D10" cm="1">
        <f t="array" ref="D10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10">
        <f>IF(Table5[[#This Row],[HomeTeam]]="Sevilla",Table5[[#This Row],[OddH]]*3+Table5[[#This Row],[OddD]]*1,Table5[[#This Row],[OddA]]*3+Table5[[#This Row],[OddD]]*1)</f>
        <v>1.7323232323232323</v>
      </c>
      <c r="G10" s="75">
        <v>44163</v>
      </c>
      <c r="H10" t="s">
        <v>320</v>
      </c>
      <c r="I10" t="s">
        <v>317</v>
      </c>
      <c r="J10">
        <v>0</v>
      </c>
      <c r="K10">
        <v>1</v>
      </c>
      <c r="L10" t="s">
        <v>180</v>
      </c>
      <c r="M10">
        <f>1/Table5[[#This Row],[ProbH]]-Table5[[#This Row],[Margin]]</f>
        <v>0.23232323232323235</v>
      </c>
      <c r="N10">
        <f>1/Table5[[#This Row],[ProbD]]-Table5[[#This Row],[Margin]]</f>
        <v>0.28535353535353536</v>
      </c>
      <c r="O10">
        <f>1/Table5[[#This Row],[ProbA]]-Table5[[#This Row],[Margin]]</f>
        <v>0.48232323232323232</v>
      </c>
      <c r="P10">
        <f>(1/Table5[[#This Row],[ProbH]]+1/Table5[[#This Row],[ProbD]]+1/Table5[[#This Row],[ProbA]]-1)/3</f>
        <v>1.7676767676767662E-2</v>
      </c>
      <c r="Q10">
        <v>4</v>
      </c>
      <c r="R10">
        <v>3.3</v>
      </c>
      <c r="S10">
        <v>2</v>
      </c>
      <c r="U10">
        <f>SUM(Table5[[#This Row],[OddH]:[OddA]])</f>
        <v>1</v>
      </c>
    </row>
    <row r="11" spans="1:21" x14ac:dyDescent="0.45">
      <c r="A11" t="s">
        <v>243</v>
      </c>
      <c r="B11">
        <f t="shared" si="0"/>
        <v>16</v>
      </c>
      <c r="C11">
        <f t="shared" si="1"/>
        <v>17.662464741750014</v>
      </c>
      <c r="D11" cm="1">
        <f t="array" ref="D11">IF(Table5[[#This Row],[HomeTeam]]="Sevilla",_xlfn.IFS(Table5[[#This Row],[FTR]]="H",3,Table5[[#This Row],[FTR]]="D",1,Table5[[#This Row],[FTR]]="A",0),_xlfn.IFS(Table5[[#This Row],[FTR]]="A",3,Table5[[#This Row],[FTR]]="D",1,Table5[[#This Row],[FTR]]="H",0))</f>
        <v>0</v>
      </c>
      <c r="E11">
        <f>IF(Table5[[#This Row],[HomeTeam]]="Sevilla",Table5[[#This Row],[OddH]]*3+Table5[[#This Row],[OddD]]*1,Table5[[#This Row],[OddA]]*3+Table5[[#This Row],[OddD]]*1)</f>
        <v>1.4109347442680775</v>
      </c>
      <c r="G11" s="75">
        <v>44170</v>
      </c>
      <c r="H11" t="s">
        <v>317</v>
      </c>
      <c r="I11" t="s">
        <v>74</v>
      </c>
      <c r="J11">
        <v>0</v>
      </c>
      <c r="K11">
        <v>1</v>
      </c>
      <c r="L11" t="s">
        <v>180</v>
      </c>
      <c r="M11">
        <f>1/Table5[[#This Row],[ProbH]]-Table5[[#This Row],[Margin]]</f>
        <v>0.38130511463844796</v>
      </c>
      <c r="N11">
        <f>1/Table5[[#This Row],[ProbD]]-Table5[[#This Row],[Margin]]</f>
        <v>0.26701940035273364</v>
      </c>
      <c r="O11">
        <f>1/Table5[[#This Row],[ProbA]]-Table5[[#This Row],[Margin]]</f>
        <v>0.35167548500881829</v>
      </c>
      <c r="P11">
        <f>(1/Table5[[#This Row],[ProbH]]+1/Table5[[#This Row],[ProbD]]+1/Table5[[#This Row],[ProbA]]-1)/3</f>
        <v>1.869488536155206E-2</v>
      </c>
      <c r="Q11">
        <v>2.5</v>
      </c>
      <c r="R11">
        <v>3.5</v>
      </c>
      <c r="S11">
        <v>2.7</v>
      </c>
      <c r="U11">
        <f>SUM(Table5[[#This Row],[OddH]:[OddA]])</f>
        <v>0.99999999999999989</v>
      </c>
    </row>
    <row r="12" spans="1:21" x14ac:dyDescent="0.45">
      <c r="A12" t="s">
        <v>244</v>
      </c>
      <c r="B12">
        <f t="shared" si="0"/>
        <v>19</v>
      </c>
      <c r="C12">
        <f t="shared" si="1"/>
        <v>19.329726646511919</v>
      </c>
      <c r="D12" cm="1">
        <f t="array" ref="D12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12">
        <f>IF(Table5[[#This Row],[HomeTeam]]="Sevilla",Table5[[#This Row],[OddH]]*3+Table5[[#This Row],[OddD]]*1,Table5[[#This Row],[OddA]]*3+Table5[[#This Row],[OddD]]*1)</f>
        <v>1.6672619047619048</v>
      </c>
      <c r="G12" s="75">
        <v>44177</v>
      </c>
      <c r="H12" t="s">
        <v>69</v>
      </c>
      <c r="I12" t="s">
        <v>317</v>
      </c>
      <c r="J12">
        <v>0</v>
      </c>
      <c r="K12">
        <v>1</v>
      </c>
      <c r="L12" t="s">
        <v>180</v>
      </c>
      <c r="M12">
        <f>1/Table5[[#This Row],[ProbH]]-Table5[[#This Row],[Margin]]</f>
        <v>0.24821428571428569</v>
      </c>
      <c r="N12">
        <f>1/Table5[[#This Row],[ProbD]]-Table5[[#This Row],[Margin]]</f>
        <v>0.29404761904761906</v>
      </c>
      <c r="O12">
        <f>1/Table5[[#This Row],[ProbA]]-Table5[[#This Row],[Margin]]</f>
        <v>0.45773809523809522</v>
      </c>
      <c r="P12">
        <f>(1/Table5[[#This Row],[ProbH]]+1/Table5[[#This Row],[ProbD]]+1/Table5[[#This Row],[ProbA]]-1)/3</f>
        <v>1.845238095238096E-2</v>
      </c>
      <c r="Q12">
        <v>3.75</v>
      </c>
      <c r="R12">
        <v>3.2</v>
      </c>
      <c r="S12">
        <v>2.1</v>
      </c>
      <c r="U12">
        <f>SUM(Table5[[#This Row],[OddH]:[OddA]])</f>
        <v>1</v>
      </c>
    </row>
    <row r="13" spans="1:21" x14ac:dyDescent="0.45">
      <c r="A13" t="s">
        <v>245</v>
      </c>
      <c r="B13">
        <f t="shared" si="0"/>
        <v>20</v>
      </c>
      <c r="C13">
        <f t="shared" si="1"/>
        <v>21.485717931914969</v>
      </c>
      <c r="D13" cm="1">
        <f t="array" ref="D13">IF(Table5[[#This Row],[HomeTeam]]="Sevilla",_xlfn.IFS(Table5[[#This Row],[FTR]]="H",3,Table5[[#This Row],[FTR]]="D",1,Table5[[#This Row],[FTR]]="A",0),_xlfn.IFS(Table5[[#This Row],[FTR]]="A",3,Table5[[#This Row],[FTR]]="D",1,Table5[[#This Row],[FTR]]="H",0))</f>
        <v>1</v>
      </c>
      <c r="E13">
        <f>IF(Table5[[#This Row],[HomeTeam]]="Sevilla",Table5[[#This Row],[OddH]]*3+Table5[[#This Row],[OddD]]*1,Table5[[#This Row],[OddA]]*3+Table5[[#This Row],[OddD]]*1)</f>
        <v>2.1559912854030503</v>
      </c>
      <c r="G13" s="75">
        <v>44184</v>
      </c>
      <c r="H13" t="s">
        <v>317</v>
      </c>
      <c r="I13" t="s">
        <v>322</v>
      </c>
      <c r="J13">
        <v>1</v>
      </c>
      <c r="K13">
        <v>1</v>
      </c>
      <c r="L13" t="s">
        <v>172</v>
      </c>
      <c r="M13">
        <f>1/Table5[[#This Row],[ProbH]]-Table5[[#This Row],[Margin]]</f>
        <v>0.63572984749455341</v>
      </c>
      <c r="N13">
        <f>1/Table5[[#This Row],[ProbD]]-Table5[[#This Row],[Margin]]</f>
        <v>0.24880174291938997</v>
      </c>
      <c r="O13">
        <f>1/Table5[[#This Row],[ProbA]]-Table5[[#This Row],[Margin]]</f>
        <v>0.11546840958605663</v>
      </c>
      <c r="P13">
        <f>(1/Table5[[#This Row],[ProbH]]+1/Table5[[#This Row],[ProbD]]+1/Table5[[#This Row],[ProbA]]-1)/3</f>
        <v>1.78649237472767E-2</v>
      </c>
      <c r="Q13">
        <v>1.53</v>
      </c>
      <c r="R13">
        <v>3.75</v>
      </c>
      <c r="S13">
        <v>7.5</v>
      </c>
      <c r="U13">
        <f>SUM(Table5[[#This Row],[OddH]:[OddA]])</f>
        <v>1</v>
      </c>
    </row>
    <row r="14" spans="1:21" x14ac:dyDescent="0.45">
      <c r="A14" t="s">
        <v>246</v>
      </c>
      <c r="B14">
        <f t="shared" si="0"/>
        <v>23</v>
      </c>
      <c r="C14">
        <f t="shared" si="1"/>
        <v>23.198789827339805</v>
      </c>
      <c r="D14" cm="1">
        <f t="array" ref="D14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14">
        <f>IF(Table5[[#This Row],[HomeTeam]]="Sevilla",Table5[[#This Row],[OddH]]*3+Table5[[#This Row],[OddD]]*1,Table5[[#This Row],[OddA]]*3+Table5[[#This Row],[OddD]]*1)</f>
        <v>1.7130718954248367</v>
      </c>
      <c r="G14" s="75">
        <v>44187</v>
      </c>
      <c r="H14" t="s">
        <v>323</v>
      </c>
      <c r="I14" t="s">
        <v>317</v>
      </c>
      <c r="J14">
        <v>0</v>
      </c>
      <c r="K14">
        <v>1</v>
      </c>
      <c r="L14" t="s">
        <v>180</v>
      </c>
      <c r="M14">
        <f>1/Table5[[#This Row],[ProbH]]-Table5[[#This Row],[Margin]]</f>
        <v>0.24640522875816992</v>
      </c>
      <c r="N14">
        <f>1/Table5[[#This Row],[ProbD]]-Table5[[#This Row],[Margin]]</f>
        <v>0.27385620915032682</v>
      </c>
      <c r="O14">
        <f>1/Table5[[#This Row],[ProbA]]-Table5[[#This Row],[Margin]]</f>
        <v>0.47973856209150328</v>
      </c>
      <c r="P14">
        <f>(1/Table5[[#This Row],[ProbH]]+1/Table5[[#This Row],[ProbD]]+1/Table5[[#This Row],[ProbA]]-1)/3</f>
        <v>2.0261437908496733E-2</v>
      </c>
      <c r="Q14">
        <v>3.75</v>
      </c>
      <c r="R14">
        <v>3.4</v>
      </c>
      <c r="S14">
        <v>2</v>
      </c>
      <c r="U14">
        <f>SUM(Table5[[#This Row],[OddH]:[OddA]])</f>
        <v>1</v>
      </c>
    </row>
    <row r="15" spans="1:21" x14ac:dyDescent="0.45">
      <c r="A15" t="s">
        <v>247</v>
      </c>
      <c r="B15">
        <f t="shared" si="0"/>
        <v>26</v>
      </c>
      <c r="C15">
        <f t="shared" si="1"/>
        <v>24.761597390147369</v>
      </c>
      <c r="D15" cm="1">
        <f t="array" ref="D15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15">
        <f>IF(Table5[[#This Row],[HomeTeam]]="Sevilla",Table5[[#This Row],[OddH]]*3+Table5[[#This Row],[OddD]]*1,Table5[[#This Row],[OddA]]*3+Table5[[#This Row],[OddD]]*1)</f>
        <v>1.5628075628075628</v>
      </c>
      <c r="G15" s="75">
        <v>44194</v>
      </c>
      <c r="H15" t="s">
        <v>317</v>
      </c>
      <c r="I15" t="s">
        <v>314</v>
      </c>
      <c r="J15">
        <v>2</v>
      </c>
      <c r="K15">
        <v>0</v>
      </c>
      <c r="L15" t="s">
        <v>175</v>
      </c>
      <c r="M15">
        <f>1/Table5[[#This Row],[ProbH]]-Table5[[#This Row],[Margin]]</f>
        <v>0.42605542605542607</v>
      </c>
      <c r="N15">
        <f>1/Table5[[#This Row],[ProbD]]-Table5[[#This Row],[Margin]]</f>
        <v>0.28464128464128469</v>
      </c>
      <c r="O15">
        <f>1/Table5[[#This Row],[ProbA]]-Table5[[#This Row],[Margin]]</f>
        <v>0.28930328930328936</v>
      </c>
      <c r="P15">
        <f>(1/Table5[[#This Row],[ProbH]]+1/Table5[[#This Row],[ProbD]]+1/Table5[[#This Row],[ProbA]]-1)/3</f>
        <v>1.838901838901837E-2</v>
      </c>
      <c r="Q15">
        <v>2.25</v>
      </c>
      <c r="R15">
        <v>3.3</v>
      </c>
      <c r="S15">
        <v>3.25</v>
      </c>
      <c r="U15">
        <f>SUM(Table5[[#This Row],[OddH]:[OddA]])</f>
        <v>1.0000000000000002</v>
      </c>
    </row>
    <row r="16" spans="1:21" x14ac:dyDescent="0.45">
      <c r="A16" t="s">
        <v>248</v>
      </c>
      <c r="B16">
        <f t="shared" si="0"/>
        <v>27</v>
      </c>
      <c r="C16">
        <f t="shared" si="1"/>
        <v>26.512513141063121</v>
      </c>
      <c r="D16" cm="1">
        <f t="array" ref="D16">IF(Table5[[#This Row],[HomeTeam]]="Sevilla",_xlfn.IFS(Table5[[#This Row],[FTR]]="H",3,Table5[[#This Row],[FTR]]="D",1,Table5[[#This Row],[FTR]]="A",0),_xlfn.IFS(Table5[[#This Row],[FTR]]="A",3,Table5[[#This Row],[FTR]]="D",1,Table5[[#This Row],[FTR]]="H",0))</f>
        <v>1</v>
      </c>
      <c r="E16">
        <f>IF(Table5[[#This Row],[HomeTeam]]="Sevilla",Table5[[#This Row],[OddH]]*3+Table5[[#This Row],[OddD]]*1,Table5[[#This Row],[OddA]]*3+Table5[[#This Row],[OddD]]*1)</f>
        <v>1.7509157509157507</v>
      </c>
      <c r="G16" s="75">
        <v>44198</v>
      </c>
      <c r="H16" t="s">
        <v>68</v>
      </c>
      <c r="I16" t="s">
        <v>317</v>
      </c>
      <c r="J16">
        <v>1</v>
      </c>
      <c r="K16">
        <v>1</v>
      </c>
      <c r="L16" t="s">
        <v>172</v>
      </c>
      <c r="M16">
        <f>1/Table5[[#This Row],[ProbH]]-Table5[[#This Row],[Margin]]</f>
        <v>0.23809523809523805</v>
      </c>
      <c r="N16">
        <f>1/Table5[[#This Row],[ProbD]]-Table5[[#This Row],[Margin]]</f>
        <v>0.26739926739926728</v>
      </c>
      <c r="O16">
        <f>1/Table5[[#This Row],[ProbA]]-Table5[[#This Row],[Margin]]</f>
        <v>0.49450549450549447</v>
      </c>
      <c r="P16">
        <f>(1/Table5[[#This Row],[ProbH]]+1/Table5[[#This Row],[ProbD]]+1/Table5[[#This Row],[ProbA]]-1)/3</f>
        <v>1.8315018315018399E-2</v>
      </c>
      <c r="Q16">
        <v>3.9</v>
      </c>
      <c r="R16">
        <v>3.5</v>
      </c>
      <c r="S16">
        <v>1.95</v>
      </c>
      <c r="U16">
        <f>SUM(Table5[[#This Row],[OddH]:[OddA]])</f>
        <v>0.99999999999999978</v>
      </c>
    </row>
    <row r="17" spans="1:21" x14ac:dyDescent="0.45">
      <c r="A17" t="s">
        <v>249</v>
      </c>
      <c r="B17">
        <f t="shared" si="0"/>
        <v>30</v>
      </c>
      <c r="C17">
        <f t="shared" si="1"/>
        <v>28.125524979881412</v>
      </c>
      <c r="D17" cm="1">
        <f t="array" ref="D17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17">
        <f>IF(Table5[[#This Row],[HomeTeam]]="Sevilla",Table5[[#This Row],[OddH]]*3+Table5[[#This Row],[OddD]]*1,Table5[[#This Row],[OddA]]*3+Table5[[#This Row],[OddD]]*1)</f>
        <v>1.6130118388182901</v>
      </c>
      <c r="G17" s="75">
        <v>44205</v>
      </c>
      <c r="H17" t="s">
        <v>317</v>
      </c>
      <c r="I17" t="s">
        <v>316</v>
      </c>
      <c r="J17">
        <v>3</v>
      </c>
      <c r="K17">
        <v>2</v>
      </c>
      <c r="L17" t="s">
        <v>175</v>
      </c>
      <c r="M17">
        <f>1/Table5[[#This Row],[ProbH]]-Table5[[#This Row],[Margin]]</f>
        <v>0.43624416205061362</v>
      </c>
      <c r="N17">
        <f>1/Table5[[#This Row],[ProbD]]-Table5[[#This Row],[Margin]]</f>
        <v>0.3042793526664494</v>
      </c>
      <c r="O17">
        <f>1/Table5[[#This Row],[ProbA]]-Table5[[#This Row],[Margin]]</f>
        <v>0.25947648528293688</v>
      </c>
      <c r="P17">
        <f>(1/Table5[[#This Row],[ProbH]]+1/Table5[[#This Row],[ProbD]]+1/Table5[[#This Row],[ProbA]]-1)/3</f>
        <v>1.8301292494840915E-2</v>
      </c>
      <c r="Q17">
        <v>2.2000000000000002</v>
      </c>
      <c r="R17">
        <v>3.1</v>
      </c>
      <c r="S17">
        <v>3.6</v>
      </c>
      <c r="U17">
        <f>SUM(Table5[[#This Row],[OddH]:[OddA]])</f>
        <v>0.99999999999999989</v>
      </c>
    </row>
    <row r="18" spans="1:21" x14ac:dyDescent="0.45">
      <c r="A18" t="s">
        <v>250</v>
      </c>
      <c r="B18">
        <f t="shared" si="0"/>
        <v>30</v>
      </c>
      <c r="C18">
        <f t="shared" si="1"/>
        <v>29.023307630953536</v>
      </c>
      <c r="D18" cm="1">
        <f t="array" ref="D18">IF(Table5[[#This Row],[HomeTeam]]="Sevilla",_xlfn.IFS(Table5[[#This Row],[FTR]]="H",3,Table5[[#This Row],[FTR]]="D",1,Table5[[#This Row],[FTR]]="A",0),_xlfn.IFS(Table5[[#This Row],[FTR]]="A",3,Table5[[#This Row],[FTR]]="D",1,Table5[[#This Row],[FTR]]="H",0))</f>
        <v>0</v>
      </c>
      <c r="E18">
        <f>IF(Table5[[#This Row],[HomeTeam]]="Sevilla",Table5[[#This Row],[OddH]]*3+Table5[[#This Row],[OddD]]*1,Table5[[#This Row],[OddA]]*3+Table5[[#This Row],[OddD]]*1)</f>
        <v>0.89778265107212474</v>
      </c>
      <c r="G18" s="75">
        <v>44208</v>
      </c>
      <c r="H18" t="s">
        <v>313</v>
      </c>
      <c r="I18" t="s">
        <v>317</v>
      </c>
      <c r="J18">
        <v>2</v>
      </c>
      <c r="K18">
        <v>0</v>
      </c>
      <c r="L18" t="s">
        <v>175</v>
      </c>
      <c r="M18">
        <f>1/Table5[[#This Row],[ProbH]]-Table5[[#This Row],[Margin]]</f>
        <v>0.50596978557504868</v>
      </c>
      <c r="N18">
        <f>1/Table5[[#This Row],[ProbD]]-Table5[[#This Row],[Margin]]</f>
        <v>0.29215399610136455</v>
      </c>
      <c r="O18">
        <f>1/Table5[[#This Row],[ProbA]]-Table5[[#This Row],[Margin]]</f>
        <v>0.20187621832358674</v>
      </c>
      <c r="P18">
        <f>(1/Table5[[#This Row],[ProbH]]+1/Table5[[#This Row],[ProbD]]+1/Table5[[#This Row],[ProbA]]-1)/3</f>
        <v>2.0346003898635463E-2</v>
      </c>
      <c r="Q18">
        <v>1.9</v>
      </c>
      <c r="R18">
        <v>3.2</v>
      </c>
      <c r="S18">
        <v>4.5</v>
      </c>
      <c r="U18">
        <f>SUM(Table5[[#This Row],[OddH]:[OddA]])</f>
        <v>1</v>
      </c>
    </row>
    <row r="19" spans="1:21" x14ac:dyDescent="0.45">
      <c r="A19" t="s">
        <v>251</v>
      </c>
      <c r="B19">
        <f t="shared" si="0"/>
        <v>33</v>
      </c>
      <c r="C19">
        <f t="shared" si="1"/>
        <v>31.02564019352706</v>
      </c>
      <c r="D19" cm="1">
        <f t="array" ref="D19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19">
        <f>IF(Table5[[#This Row],[HomeTeam]]="Sevilla",Table5[[#This Row],[OddH]]*3+Table5[[#This Row],[OddD]]*1,Table5[[#This Row],[OddA]]*3+Table5[[#This Row],[OddD]]*1)</f>
        <v>2.0023325625735264</v>
      </c>
      <c r="G19" s="75">
        <v>44215</v>
      </c>
      <c r="H19" t="s">
        <v>319</v>
      </c>
      <c r="I19" t="s">
        <v>317</v>
      </c>
      <c r="J19">
        <v>1</v>
      </c>
      <c r="K19">
        <v>2</v>
      </c>
      <c r="L19" t="s">
        <v>180</v>
      </c>
      <c r="M19">
        <f>1/Table5[[#This Row],[ProbH]]-Table5[[#This Row],[Margin]]</f>
        <v>0.16114964910145629</v>
      </c>
      <c r="N19">
        <f>1/Table5[[#This Row],[ProbD]]-Table5[[#This Row],[Margin]]</f>
        <v>0.25710924506105226</v>
      </c>
      <c r="O19">
        <f>1/Table5[[#This Row],[ProbA]]-Table5[[#This Row],[Margin]]</f>
        <v>0.58174110583749139</v>
      </c>
      <c r="P19">
        <f>(1/Table5[[#This Row],[ProbH]]+1/Table5[[#This Row],[ProbD]]+1/Table5[[#This Row],[ProbA]]-1)/3</f>
        <v>2.0668532716725529E-2</v>
      </c>
      <c r="Q19">
        <v>5.5</v>
      </c>
      <c r="R19">
        <v>3.6</v>
      </c>
      <c r="S19">
        <v>1.66</v>
      </c>
      <c r="U19">
        <f>SUM(Table5[[#This Row],[OddH]:[OddA]])</f>
        <v>1</v>
      </c>
    </row>
    <row r="20" spans="1:21" x14ac:dyDescent="0.45">
      <c r="A20" t="s">
        <v>252</v>
      </c>
      <c r="B20">
        <f t="shared" si="0"/>
        <v>36</v>
      </c>
      <c r="C20">
        <f t="shared" si="1"/>
        <v>33.262367068184972</v>
      </c>
      <c r="D20" cm="1">
        <f t="array" ref="D20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20">
        <f>IF(Table5[[#This Row],[HomeTeam]]="Sevilla",Table5[[#This Row],[OddH]]*3+Table5[[#This Row],[OddD]]*1,Table5[[#This Row],[OddA]]*3+Table5[[#This Row],[OddD]]*1)</f>
        <v>2.2367268746579092</v>
      </c>
      <c r="G20" s="75">
        <v>44219</v>
      </c>
      <c r="H20" t="s">
        <v>317</v>
      </c>
      <c r="I20" t="s">
        <v>321</v>
      </c>
      <c r="J20">
        <v>3</v>
      </c>
      <c r="K20">
        <v>0</v>
      </c>
      <c r="L20" t="s">
        <v>175</v>
      </c>
      <c r="M20">
        <f>1/Table5[[#This Row],[ProbH]]-Table5[[#This Row],[Margin]]</f>
        <v>0.67207170224411605</v>
      </c>
      <c r="N20">
        <f>1/Table5[[#This Row],[ProbD]]-Table5[[#This Row],[Margin]]</f>
        <v>0.22051176792556099</v>
      </c>
      <c r="O20">
        <f>1/Table5[[#This Row],[ProbA]]-Table5[[#This Row],[Margin]]</f>
        <v>0.1074165298303229</v>
      </c>
      <c r="P20">
        <f>(1/Table5[[#This Row],[ProbH]]+1/Table5[[#This Row],[ProbD]]+1/Table5[[#This Row],[ProbA]]-1)/3</f>
        <v>1.7583470169677096E-2</v>
      </c>
      <c r="Q20">
        <v>1.45</v>
      </c>
      <c r="R20">
        <v>4.2</v>
      </c>
      <c r="S20">
        <v>8</v>
      </c>
      <c r="U20">
        <f>SUM(Table5[[#This Row],[OddH]:[OddA]])</f>
        <v>1</v>
      </c>
    </row>
    <row r="21" spans="1:21" x14ac:dyDescent="0.45">
      <c r="A21" t="s">
        <v>253</v>
      </c>
      <c r="B21">
        <f t="shared" si="0"/>
        <v>39</v>
      </c>
      <c r="C21">
        <f t="shared" si="1"/>
        <v>34.993136298954205</v>
      </c>
      <c r="D21" cm="1">
        <f t="array" ref="D21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21">
        <f>IF(Table5[[#This Row],[HomeTeam]]="Sevilla",Table5[[#This Row],[OddH]]*3+Table5[[#This Row],[OddD]]*1,Table5[[#This Row],[OddA]]*3+Table5[[#This Row],[OddD]]*1)</f>
        <v>1.7307692307692308</v>
      </c>
      <c r="G21" s="75">
        <v>44226</v>
      </c>
      <c r="H21" t="s">
        <v>324</v>
      </c>
      <c r="I21" t="s">
        <v>317</v>
      </c>
      <c r="J21">
        <v>0</v>
      </c>
      <c r="K21">
        <v>2</v>
      </c>
      <c r="L21" t="s">
        <v>180</v>
      </c>
      <c r="M21">
        <f>1/Table5[[#This Row],[ProbH]]-Table5[[#This Row],[Margin]]</f>
        <v>0.23076923076923075</v>
      </c>
      <c r="N21">
        <f>1/Table5[[#This Row],[ProbD]]-Table5[[#This Row],[Margin]]</f>
        <v>0.28846153846153849</v>
      </c>
      <c r="O21">
        <f>1/Table5[[#This Row],[ProbA]]-Table5[[#This Row],[Margin]]</f>
        <v>0.48076923076923078</v>
      </c>
      <c r="P21">
        <f>(1/Table5[[#This Row],[ProbH]]+1/Table5[[#This Row],[ProbD]]+1/Table5[[#This Row],[ProbA]]-1)/3</f>
        <v>1.9230769230769235E-2</v>
      </c>
      <c r="Q21">
        <v>4</v>
      </c>
      <c r="R21">
        <v>3.25</v>
      </c>
      <c r="S21">
        <v>2</v>
      </c>
      <c r="U21">
        <f>SUM(Table5[[#This Row],[OddH]:[OddA]])</f>
        <v>1</v>
      </c>
    </row>
    <row r="22" spans="1:21" x14ac:dyDescent="0.45">
      <c r="A22" t="s">
        <v>254</v>
      </c>
      <c r="B22">
        <f t="shared" si="0"/>
        <v>42</v>
      </c>
      <c r="C22">
        <f t="shared" si="1"/>
        <v>36.922167533370995</v>
      </c>
      <c r="D22" cm="1">
        <f t="array" ref="D22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22">
        <f>IF(Table5[[#This Row],[HomeTeam]]="Sevilla",Table5[[#This Row],[OddH]]*3+Table5[[#This Row],[OddD]]*1,Table5[[#This Row],[OddA]]*3+Table5[[#This Row],[OddD]]*1)</f>
        <v>1.9290312344167913</v>
      </c>
      <c r="G22" s="75">
        <v>44233</v>
      </c>
      <c r="H22" t="s">
        <v>317</v>
      </c>
      <c r="I22" t="s">
        <v>69</v>
      </c>
      <c r="J22">
        <v>3</v>
      </c>
      <c r="K22">
        <v>0</v>
      </c>
      <c r="L22" t="s">
        <v>175</v>
      </c>
      <c r="M22">
        <f>1/Table5[[#This Row],[ProbH]]-Table5[[#This Row],[Margin]]</f>
        <v>0.5581622013690557</v>
      </c>
      <c r="N22">
        <f>1/Table5[[#This Row],[ProbD]]-Table5[[#This Row],[Margin]]</f>
        <v>0.25454463030962421</v>
      </c>
      <c r="O22">
        <f>1/Table5[[#This Row],[ProbA]]-Table5[[#This Row],[Margin]]</f>
        <v>0.18729316832132006</v>
      </c>
      <c r="P22">
        <f>(1/Table5[[#This Row],[ProbH]]+1/Table5[[#This Row],[ProbD]]+1/Table5[[#This Row],[ProbA]]-1)/3</f>
        <v>2.3233147468153598E-2</v>
      </c>
      <c r="Q22">
        <v>1.72</v>
      </c>
      <c r="R22">
        <v>3.6</v>
      </c>
      <c r="S22">
        <v>4.75</v>
      </c>
      <c r="U22">
        <f>SUM(Table5[[#This Row],[OddH]:[OddA]])</f>
        <v>0.99999999999999989</v>
      </c>
    </row>
    <row r="23" spans="1:21" x14ac:dyDescent="0.45">
      <c r="A23" t="s">
        <v>255</v>
      </c>
      <c r="B23">
        <f t="shared" si="0"/>
        <v>45</v>
      </c>
      <c r="C23">
        <f t="shared" si="1"/>
        <v>39.103364114567576</v>
      </c>
      <c r="D23" cm="1">
        <f t="array" ref="D23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23">
        <f>IF(Table5[[#This Row],[HomeTeam]]="Sevilla",Table5[[#This Row],[OddH]]*3+Table5[[#This Row],[OddD]]*1,Table5[[#This Row],[OddA]]*3+Table5[[#This Row],[OddD]]*1)</f>
        <v>2.181196581196581</v>
      </c>
      <c r="G23" s="75">
        <v>44240</v>
      </c>
      <c r="H23" t="s">
        <v>317</v>
      </c>
      <c r="I23" t="s">
        <v>320</v>
      </c>
      <c r="J23">
        <v>1</v>
      </c>
      <c r="K23">
        <v>0</v>
      </c>
      <c r="L23" t="s">
        <v>175</v>
      </c>
      <c r="M23">
        <f>1/Table5[[#This Row],[ProbH]]-Table5[[#This Row],[Margin]]</f>
        <v>0.64786324786324778</v>
      </c>
      <c r="N23">
        <f>1/Table5[[#This Row],[ProbD]]-Table5[[#This Row],[Margin]]</f>
        <v>0.23760683760683762</v>
      </c>
      <c r="O23">
        <f>1/Table5[[#This Row],[ProbA]]-Table5[[#This Row],[Margin]]</f>
        <v>0.11452991452991453</v>
      </c>
      <c r="P23">
        <f>(1/Table5[[#This Row],[ProbH]]+1/Table5[[#This Row],[ProbD]]+1/Table5[[#This Row],[ProbA]]-1)/3</f>
        <v>1.8803418803418809E-2</v>
      </c>
      <c r="Q23">
        <v>1.5</v>
      </c>
      <c r="R23">
        <v>3.9</v>
      </c>
      <c r="S23">
        <v>7.5</v>
      </c>
      <c r="U23">
        <f>SUM(Table5[[#This Row],[OddH]:[OddA]])</f>
        <v>1</v>
      </c>
    </row>
    <row r="24" spans="1:21" x14ac:dyDescent="0.45">
      <c r="A24" t="s">
        <v>256</v>
      </c>
      <c r="B24">
        <f t="shared" si="0"/>
        <v>48</v>
      </c>
      <c r="C24">
        <f t="shared" si="1"/>
        <v>40.835687346890808</v>
      </c>
      <c r="D24" cm="1">
        <f t="array" ref="D24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24">
        <f>IF(Table5[[#This Row],[HomeTeam]]="Sevilla",Table5[[#This Row],[OddH]]*3+Table5[[#This Row],[OddD]]*1,Table5[[#This Row],[OddA]]*3+Table5[[#This Row],[OddD]]*1)</f>
        <v>1.7323232323232323</v>
      </c>
      <c r="G24" s="75">
        <v>44249</v>
      </c>
      <c r="H24" t="s">
        <v>318</v>
      </c>
      <c r="I24" t="s">
        <v>317</v>
      </c>
      <c r="J24">
        <v>0</v>
      </c>
      <c r="K24">
        <v>2</v>
      </c>
      <c r="L24" t="s">
        <v>180</v>
      </c>
      <c r="M24">
        <f>1/Table5[[#This Row],[ProbH]]-Table5[[#This Row],[Margin]]</f>
        <v>0.23232323232323235</v>
      </c>
      <c r="N24">
        <f>1/Table5[[#This Row],[ProbD]]-Table5[[#This Row],[Margin]]</f>
        <v>0.28535353535353536</v>
      </c>
      <c r="O24">
        <f>1/Table5[[#This Row],[ProbA]]-Table5[[#This Row],[Margin]]</f>
        <v>0.48232323232323232</v>
      </c>
      <c r="P24">
        <f>(1/Table5[[#This Row],[ProbH]]+1/Table5[[#This Row],[ProbD]]+1/Table5[[#This Row],[ProbA]]-1)/3</f>
        <v>1.7676767676767662E-2</v>
      </c>
      <c r="Q24">
        <v>4</v>
      </c>
      <c r="R24">
        <v>3.3</v>
      </c>
      <c r="S24">
        <v>2</v>
      </c>
      <c r="U24">
        <f>SUM(Table5[[#This Row],[OddH]:[OddA]])</f>
        <v>1</v>
      </c>
    </row>
    <row r="25" spans="1:21" x14ac:dyDescent="0.45">
      <c r="A25" t="s">
        <v>257</v>
      </c>
      <c r="B25">
        <f t="shared" si="0"/>
        <v>48</v>
      </c>
      <c r="C25">
        <f t="shared" si="1"/>
        <v>41.988555312258775</v>
      </c>
      <c r="D25" cm="1">
        <f t="array" ref="D25">IF(Table5[[#This Row],[HomeTeam]]="Sevilla",_xlfn.IFS(Table5[[#This Row],[FTR]]="H",3,Table5[[#This Row],[FTR]]="D",1,Table5[[#This Row],[FTR]]="A",0),_xlfn.IFS(Table5[[#This Row],[FTR]]="A",3,Table5[[#This Row],[FTR]]="D",1,Table5[[#This Row],[FTR]]="H",0))</f>
        <v>0</v>
      </c>
      <c r="E25">
        <f>IF(Table5[[#This Row],[HomeTeam]]="Sevilla",Table5[[#This Row],[OddH]]*3+Table5[[#This Row],[OddD]]*1,Table5[[#This Row],[OddA]]*3+Table5[[#This Row],[OddD]]*1)</f>
        <v>1.1528679653679654</v>
      </c>
      <c r="G25" s="75">
        <v>44254</v>
      </c>
      <c r="H25" t="s">
        <v>317</v>
      </c>
      <c r="I25" t="s">
        <v>147</v>
      </c>
      <c r="J25">
        <v>0</v>
      </c>
      <c r="K25">
        <v>2</v>
      </c>
      <c r="L25" t="s">
        <v>180</v>
      </c>
      <c r="M25">
        <f>1/Table5[[#This Row],[ProbH]]-Table5[[#This Row],[Margin]]</f>
        <v>0.29491341991341996</v>
      </c>
      <c r="N25">
        <f>1/Table5[[#This Row],[ProbD]]-Table5[[#This Row],[Margin]]</f>
        <v>0.26812770562770566</v>
      </c>
      <c r="O25">
        <f>1/Table5[[#This Row],[ProbA]]-Table5[[#This Row],[Margin]]</f>
        <v>0.43695887445887449</v>
      </c>
      <c r="P25">
        <f>(1/Table5[[#This Row],[ProbH]]+1/Table5[[#This Row],[ProbD]]+1/Table5[[#This Row],[ProbA]]-1)/3</f>
        <v>1.7586580086580057E-2</v>
      </c>
      <c r="Q25">
        <v>3.2</v>
      </c>
      <c r="R25">
        <v>3.5</v>
      </c>
      <c r="S25">
        <v>2.2000000000000002</v>
      </c>
      <c r="U25">
        <f>SUM(Table5[[#This Row],[OddH]:[OddA]])</f>
        <v>1</v>
      </c>
    </row>
    <row r="26" spans="1:21" x14ac:dyDescent="0.45">
      <c r="A26" t="s">
        <v>258</v>
      </c>
      <c r="B26">
        <f t="shared" si="0"/>
        <v>48</v>
      </c>
      <c r="C26">
        <f t="shared" si="1"/>
        <v>44.065834514537976</v>
      </c>
      <c r="D26" cm="1">
        <f t="array" ref="D26">IF(Table5[[#This Row],[HomeTeam]]="Sevilla",_xlfn.IFS(Table5[[#This Row],[FTR]]="H",3,Table5[[#This Row],[FTR]]="D",1,Table5[[#This Row],[FTR]]="A",0),_xlfn.IFS(Table5[[#This Row],[FTR]]="A",3,Table5[[#This Row],[FTR]]="D",1,Table5[[#This Row],[FTR]]="H",0))</f>
        <v>0</v>
      </c>
      <c r="E26">
        <f>IF(Table5[[#This Row],[HomeTeam]]="Sevilla",Table5[[#This Row],[OddH]]*3+Table5[[#This Row],[OddD]]*1,Table5[[#This Row],[OddA]]*3+Table5[[#This Row],[OddD]]*1)</f>
        <v>2.0772792022792022</v>
      </c>
      <c r="G26" s="75">
        <v>44261</v>
      </c>
      <c r="H26" t="s">
        <v>326</v>
      </c>
      <c r="I26" t="s">
        <v>317</v>
      </c>
      <c r="J26">
        <v>2</v>
      </c>
      <c r="K26">
        <v>1</v>
      </c>
      <c r="L26" t="s">
        <v>175</v>
      </c>
      <c r="M26">
        <f>1/Table5[[#This Row],[ProbH]]-Table5[[#This Row],[Margin]]</f>
        <v>0.13497150997150997</v>
      </c>
      <c r="N26">
        <f>1/Table5[[#This Row],[ProbD]]-Table5[[#This Row],[Margin]]</f>
        <v>0.25890313390313391</v>
      </c>
      <c r="O26">
        <f>1/Table5[[#This Row],[ProbA]]-Table5[[#This Row],[Margin]]</f>
        <v>0.60612535612535612</v>
      </c>
      <c r="P26">
        <f>(1/Table5[[#This Row],[ProbH]]+1/Table5[[#This Row],[ProbD]]+1/Table5[[#This Row],[ProbA]]-1)/3</f>
        <v>1.8874643874643882E-2</v>
      </c>
      <c r="Q26">
        <v>6.5</v>
      </c>
      <c r="R26">
        <v>3.6</v>
      </c>
      <c r="S26">
        <v>1.6</v>
      </c>
      <c r="U26">
        <f>SUM(Table5[[#This Row],[OddH]:[OddA]])</f>
        <v>1</v>
      </c>
    </row>
    <row r="27" spans="1:21" x14ac:dyDescent="0.45">
      <c r="A27" t="s">
        <v>259</v>
      </c>
      <c r="B27">
        <f t="shared" si="0"/>
        <v>51</v>
      </c>
      <c r="C27">
        <f t="shared" si="1"/>
        <v>45.778906409962815</v>
      </c>
      <c r="D27" cm="1">
        <f t="array" ref="D27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27">
        <f>IF(Table5[[#This Row],[HomeTeam]]="Sevilla",Table5[[#This Row],[OddH]]*3+Table5[[#This Row],[OddD]]*1,Table5[[#This Row],[OddA]]*3+Table5[[#This Row],[OddD]]*1)</f>
        <v>1.7130718954248367</v>
      </c>
      <c r="G27" s="75">
        <v>44269</v>
      </c>
      <c r="H27" t="s">
        <v>317</v>
      </c>
      <c r="I27" t="s">
        <v>68</v>
      </c>
      <c r="J27">
        <v>1</v>
      </c>
      <c r="K27">
        <v>0</v>
      </c>
      <c r="L27" t="s">
        <v>175</v>
      </c>
      <c r="M27">
        <f>1/Table5[[#This Row],[ProbH]]-Table5[[#This Row],[Margin]]</f>
        <v>0.47973856209150328</v>
      </c>
      <c r="N27">
        <f>1/Table5[[#This Row],[ProbD]]-Table5[[#This Row],[Margin]]</f>
        <v>0.27385620915032682</v>
      </c>
      <c r="O27">
        <f>1/Table5[[#This Row],[ProbA]]-Table5[[#This Row],[Margin]]</f>
        <v>0.24640522875816992</v>
      </c>
      <c r="P27">
        <f>(1/Table5[[#This Row],[ProbH]]+1/Table5[[#This Row],[ProbD]]+1/Table5[[#This Row],[ProbA]]-1)/3</f>
        <v>2.0261437908496733E-2</v>
      </c>
      <c r="Q27">
        <v>2</v>
      </c>
      <c r="R27">
        <v>3.4</v>
      </c>
      <c r="S27">
        <v>3.75</v>
      </c>
      <c r="U27">
        <f>SUM(Table5[[#This Row],[OddH]:[OddA]])</f>
        <v>1</v>
      </c>
    </row>
    <row r="28" spans="1:21" x14ac:dyDescent="0.45">
      <c r="A28" t="s">
        <v>260</v>
      </c>
      <c r="B28">
        <f t="shared" si="0"/>
        <v>54</v>
      </c>
      <c r="C28">
        <f t="shared" si="1"/>
        <v>48.0619751930316</v>
      </c>
      <c r="D28" cm="1">
        <f t="array" ref="D28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28">
        <f>IF(Table5[[#This Row],[HomeTeam]]="Sevilla",Table5[[#This Row],[OddH]]*3+Table5[[#This Row],[OddD]]*1,Table5[[#This Row],[OddA]]*3+Table5[[#This Row],[OddD]]*1)</f>
        <v>2.2830687830687832</v>
      </c>
      <c r="G28" s="75">
        <v>44272</v>
      </c>
      <c r="H28" t="s">
        <v>317</v>
      </c>
      <c r="I28" t="s">
        <v>326</v>
      </c>
      <c r="J28">
        <v>2</v>
      </c>
      <c r="K28">
        <v>0</v>
      </c>
      <c r="L28" t="s">
        <v>175</v>
      </c>
      <c r="M28">
        <f>1/Table5[[#This Row],[ProbH]]-Table5[[#This Row],[Margin]]</f>
        <v>0.69378306878306883</v>
      </c>
      <c r="N28">
        <f>1/Table5[[#This Row],[ProbD]]-Table5[[#This Row],[Margin]]</f>
        <v>0.20171957671957672</v>
      </c>
      <c r="O28">
        <f>1/Table5[[#This Row],[ProbA]]-Table5[[#This Row],[Margin]]</f>
        <v>0.10449735449735449</v>
      </c>
      <c r="P28">
        <f>(1/Table5[[#This Row],[ProbH]]+1/Table5[[#This Row],[ProbD]]+1/Table5[[#This Row],[ProbA]]-1)/3</f>
        <v>2.0502645502645505E-2</v>
      </c>
      <c r="Q28">
        <v>1.4</v>
      </c>
      <c r="R28">
        <v>4.5</v>
      </c>
      <c r="S28">
        <v>8</v>
      </c>
      <c r="U28">
        <f>SUM(Table5[[#This Row],[OddH]:[OddA]])</f>
        <v>1</v>
      </c>
    </row>
    <row r="29" spans="1:21" x14ac:dyDescent="0.45">
      <c r="A29" t="s">
        <v>261</v>
      </c>
      <c r="B29">
        <f t="shared" si="0"/>
        <v>55</v>
      </c>
      <c r="C29">
        <f t="shared" si="1"/>
        <v>49.902888067223543</v>
      </c>
      <c r="D29" cm="1">
        <f t="array" ref="D29">IF(Table5[[#This Row],[HomeTeam]]="Sevilla",_xlfn.IFS(Table5[[#This Row],[FTR]]="H",3,Table5[[#This Row],[FTR]]="D",1,Table5[[#This Row],[FTR]]="A",0),_xlfn.IFS(Table5[[#This Row],[FTR]]="A",3,Table5[[#This Row],[FTR]]="D",1,Table5[[#This Row],[FTR]]="H",0))</f>
        <v>1</v>
      </c>
      <c r="E29">
        <f>IF(Table5[[#This Row],[HomeTeam]]="Sevilla",Table5[[#This Row],[OddH]]*3+Table5[[#This Row],[OddD]]*1,Table5[[#This Row],[OddA]]*3+Table5[[#This Row],[OddD]]*1)</f>
        <v>1.8409128741919414</v>
      </c>
      <c r="G29" s="75">
        <v>44275</v>
      </c>
      <c r="H29" t="s">
        <v>322</v>
      </c>
      <c r="I29" t="s">
        <v>317</v>
      </c>
      <c r="J29">
        <v>1</v>
      </c>
      <c r="K29">
        <v>1</v>
      </c>
      <c r="L29" t="s">
        <v>172</v>
      </c>
      <c r="M29">
        <f>1/Table5[[#This Row],[ProbH]]-Table5[[#This Row],[Margin]]</f>
        <v>0.20991046376273351</v>
      </c>
      <c r="N29">
        <f>1/Table5[[#This Row],[ProbD]]-Table5[[#This Row],[Margin]]</f>
        <v>0.26467786725992914</v>
      </c>
      <c r="O29">
        <f>1/Table5[[#This Row],[ProbA]]-Table5[[#This Row],[Margin]]</f>
        <v>0.52541166897733738</v>
      </c>
      <c r="P29">
        <f>(1/Table5[[#This Row],[ProbH]]+1/Table5[[#This Row],[ProbD]]+1/Table5[[#This Row],[ProbA]]-1)/3</f>
        <v>2.1036418454356554E-2</v>
      </c>
      <c r="Q29">
        <v>4.33</v>
      </c>
      <c r="R29">
        <v>3.5</v>
      </c>
      <c r="S29">
        <v>1.83</v>
      </c>
      <c r="U29">
        <f>SUM(Table5[[#This Row],[OddH]:[OddA]])</f>
        <v>1</v>
      </c>
    </row>
    <row r="30" spans="1:21" x14ac:dyDescent="0.45">
      <c r="A30" t="s">
        <v>262</v>
      </c>
      <c r="B30">
        <f t="shared" si="0"/>
        <v>58</v>
      </c>
      <c r="C30">
        <f t="shared" si="1"/>
        <v>51.205995772630096</v>
      </c>
      <c r="D30" cm="1">
        <f t="array" ref="D30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30">
        <f>IF(Table5[[#This Row],[HomeTeam]]="Sevilla",Table5[[#This Row],[OddH]]*3+Table5[[#This Row],[OddD]]*1,Table5[[#This Row],[OddA]]*3+Table5[[#This Row],[OddD]]*1)</f>
        <v>1.3031077054065563</v>
      </c>
      <c r="G30" s="75">
        <v>44290</v>
      </c>
      <c r="H30" t="s">
        <v>317</v>
      </c>
      <c r="I30" t="s">
        <v>313</v>
      </c>
      <c r="J30">
        <v>1</v>
      </c>
      <c r="K30">
        <v>0</v>
      </c>
      <c r="L30" t="s">
        <v>175</v>
      </c>
      <c r="M30">
        <f>1/Table5[[#This Row],[ProbH]]-Table5[[#This Row],[Margin]]</f>
        <v>0.3286504895700299</v>
      </c>
      <c r="N30">
        <f>1/Table5[[#This Row],[ProbD]]-Table5[[#This Row],[Margin]]</f>
        <v>0.31715623669646664</v>
      </c>
      <c r="O30">
        <f>1/Table5[[#This Row],[ProbA]]-Table5[[#This Row],[Margin]]</f>
        <v>0.35419327373350368</v>
      </c>
      <c r="P30">
        <f>(1/Table5[[#This Row],[ProbH]]+1/Table5[[#This Row],[ProbD]]+1/Table5[[#This Row],[ProbA]]-1)/3</f>
        <v>1.617709663686669E-2</v>
      </c>
      <c r="Q30">
        <v>2.9</v>
      </c>
      <c r="R30">
        <v>3</v>
      </c>
      <c r="S30">
        <v>2.7</v>
      </c>
      <c r="U30">
        <f>SUM(Table5[[#This Row],[OddH]:[OddA]])</f>
        <v>1.0000000000000002</v>
      </c>
    </row>
    <row r="31" spans="1:21" x14ac:dyDescent="0.45">
      <c r="A31" t="s">
        <v>263</v>
      </c>
      <c r="B31">
        <f t="shared" si="0"/>
        <v>61</v>
      </c>
      <c r="C31">
        <f t="shared" si="1"/>
        <v>52.832560422450562</v>
      </c>
      <c r="D31" cm="1">
        <f t="array" ref="D31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31">
        <f>IF(Table5[[#This Row],[HomeTeam]]="Sevilla",Table5[[#This Row],[OddH]]*3+Table5[[#This Row],[OddD]]*1,Table5[[#This Row],[OddA]]*3+Table5[[#This Row],[OddD]]*1)</f>
        <v>1.6265646498204638</v>
      </c>
      <c r="G31" s="75">
        <v>44298</v>
      </c>
      <c r="H31" t="s">
        <v>315</v>
      </c>
      <c r="I31" t="s">
        <v>317</v>
      </c>
      <c r="J31">
        <v>3</v>
      </c>
      <c r="K31">
        <v>4</v>
      </c>
      <c r="L31" t="s">
        <v>180</v>
      </c>
      <c r="M31">
        <f>1/Table5[[#This Row],[ProbH]]-Table5[[#This Row],[Margin]]</f>
        <v>0.26776066310950031</v>
      </c>
      <c r="N31">
        <f>1/Table5[[#This Row],[ProbD]]-Table5[[#This Row],[Margin]]</f>
        <v>0.28507668042551765</v>
      </c>
      <c r="O31">
        <f>1/Table5[[#This Row],[ProbA]]-Table5[[#This Row],[Margin]]</f>
        <v>0.44716265646498204</v>
      </c>
      <c r="P31">
        <f>(1/Table5[[#This Row],[ProbH]]+1/Table5[[#This Row],[ProbD]]+1/Table5[[#This Row],[ProbA]]-1)/3</f>
        <v>1.7953622604785391E-2</v>
      </c>
      <c r="Q31">
        <v>3.5</v>
      </c>
      <c r="R31">
        <v>3.3</v>
      </c>
      <c r="S31">
        <v>2.15</v>
      </c>
      <c r="U31">
        <f>SUM(Table5[[#This Row],[OddH]:[OddA]])</f>
        <v>1</v>
      </c>
    </row>
    <row r="32" spans="1:21" x14ac:dyDescent="0.45">
      <c r="A32" t="s">
        <v>264</v>
      </c>
      <c r="B32">
        <f t="shared" si="0"/>
        <v>64</v>
      </c>
      <c r="C32">
        <f t="shared" si="1"/>
        <v>54.283831647120799</v>
      </c>
      <c r="D32" cm="1">
        <f t="array" ref="D32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32">
        <f>IF(Table5[[#This Row],[HomeTeam]]="Sevilla",Table5[[#This Row],[OddH]]*3+Table5[[#This Row],[OddD]]*1,Table5[[#This Row],[OddA]]*3+Table5[[#This Row],[OddD]]*1)</f>
        <v>1.4512712246702395</v>
      </c>
      <c r="G32" s="75">
        <v>44304</v>
      </c>
      <c r="H32" t="s">
        <v>316</v>
      </c>
      <c r="I32" t="s">
        <v>317</v>
      </c>
      <c r="J32">
        <v>1</v>
      </c>
      <c r="K32">
        <v>2</v>
      </c>
      <c r="L32" t="s">
        <v>180</v>
      </c>
      <c r="M32">
        <f>1/Table5[[#This Row],[ProbH]]-Table5[[#This Row],[Margin]]</f>
        <v>0.32459986647178768</v>
      </c>
      <c r="N32">
        <f>1/Table5[[#This Row],[ProbD]]-Table5[[#This Row],[Margin]]</f>
        <v>0.28746458795719881</v>
      </c>
      <c r="O32">
        <f>1/Table5[[#This Row],[ProbA]]-Table5[[#This Row],[Margin]]</f>
        <v>0.38793554557101351</v>
      </c>
      <c r="P32">
        <f>(1/Table5[[#This Row],[ProbH]]+1/Table5[[#This Row],[ProbD]]+1/Table5[[#This Row],[ProbA]]-1)/3</f>
        <v>2.0227719735108913E-2</v>
      </c>
      <c r="Q32">
        <v>2.9</v>
      </c>
      <c r="R32">
        <v>3.25</v>
      </c>
      <c r="S32">
        <v>2.4500000000000002</v>
      </c>
      <c r="U32">
        <f>SUM(Table5[[#This Row],[OddH]:[OddA]])</f>
        <v>1</v>
      </c>
    </row>
    <row r="33" spans="1:21" x14ac:dyDescent="0.45">
      <c r="A33" t="s">
        <v>265</v>
      </c>
      <c r="B33">
        <f t="shared" si="0"/>
        <v>67</v>
      </c>
      <c r="C33">
        <f t="shared" si="1"/>
        <v>56.306329921792987</v>
      </c>
      <c r="D33" cm="1">
        <f t="array" ref="D33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33">
        <f>IF(Table5[[#This Row],[HomeTeam]]="Sevilla",Table5[[#This Row],[OddH]]*3+Table5[[#This Row],[OddD]]*1,Table5[[#This Row],[OddA]]*3+Table5[[#This Row],[OddD]]*1)</f>
        <v>2.0224982746721878</v>
      </c>
      <c r="G33" s="75">
        <v>44307</v>
      </c>
      <c r="H33" t="s">
        <v>325</v>
      </c>
      <c r="I33" t="s">
        <v>317</v>
      </c>
      <c r="J33">
        <v>0</v>
      </c>
      <c r="K33">
        <v>1</v>
      </c>
      <c r="L33" t="s">
        <v>180</v>
      </c>
      <c r="M33">
        <f>1/Table5[[#This Row],[ProbH]]-Table5[[#This Row],[Margin]]</f>
        <v>0.18026224982746722</v>
      </c>
      <c r="N33">
        <f>1/Table5[[#This Row],[ProbD]]-Table5[[#This Row],[Margin]]</f>
        <v>0.21835748792270529</v>
      </c>
      <c r="O33">
        <f>1/Table5[[#This Row],[ProbA]]-Table5[[#This Row],[Margin]]</f>
        <v>0.60138026224982744</v>
      </c>
      <c r="P33">
        <f>(1/Table5[[#This Row],[ProbH]]+1/Table5[[#This Row],[ProbD]]+1/Table5[[#This Row],[ProbA]]-1)/3</f>
        <v>1.9737750172532802E-2</v>
      </c>
      <c r="Q33">
        <v>5</v>
      </c>
      <c r="R33">
        <v>4.2</v>
      </c>
      <c r="S33">
        <v>1.61</v>
      </c>
      <c r="U33">
        <f>SUM(Table5[[#This Row],[OddH]:[OddA]])</f>
        <v>1</v>
      </c>
    </row>
    <row r="34" spans="1:21" x14ac:dyDescent="0.45">
      <c r="A34" t="s">
        <v>266</v>
      </c>
      <c r="B34">
        <f t="shared" si="0"/>
        <v>70</v>
      </c>
      <c r="C34">
        <f t="shared" si="1"/>
        <v>58.582186229228242</v>
      </c>
      <c r="D34" cm="1">
        <f t="array" ref="D34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34">
        <f>IF(Table5[[#This Row],[HomeTeam]]="Sevilla",Table5[[#This Row],[OddH]]*3+Table5[[#This Row],[OddD]]*1,Table5[[#This Row],[OddA]]*3+Table5[[#This Row],[OddD]]*1)</f>
        <v>2.2758563074352547</v>
      </c>
      <c r="G34" s="75">
        <v>44311</v>
      </c>
      <c r="H34" t="s">
        <v>317</v>
      </c>
      <c r="I34" t="s">
        <v>71</v>
      </c>
      <c r="J34">
        <v>2</v>
      </c>
      <c r="K34">
        <v>1</v>
      </c>
      <c r="L34" t="s">
        <v>175</v>
      </c>
      <c r="M34">
        <f>1/Table5[[#This Row],[ProbH]]-Table5[[#This Row],[Margin]]</f>
        <v>0.6949039264828738</v>
      </c>
      <c r="N34">
        <f>1/Table5[[#This Row],[ProbD]]-Table5[[#This Row],[Margin]]</f>
        <v>0.1911445279866332</v>
      </c>
      <c r="O34">
        <f>1/Table5[[#This Row],[ProbA]]-Table5[[#This Row],[Margin]]</f>
        <v>0.11395154553049287</v>
      </c>
      <c r="P34">
        <f>(1/Table5[[#This Row],[ProbH]]+1/Table5[[#This Row],[ProbD]]+1/Table5[[#This Row],[ProbA]]-1)/3</f>
        <v>1.9381787802840462E-2</v>
      </c>
      <c r="Q34">
        <v>1.4</v>
      </c>
      <c r="R34">
        <v>4.75</v>
      </c>
      <c r="S34">
        <v>7.5</v>
      </c>
      <c r="U34">
        <f>SUM(Table5[[#This Row],[OddH]:[OddA]])</f>
        <v>0.99999999999999989</v>
      </c>
    </row>
    <row r="35" spans="1:21" x14ac:dyDescent="0.45">
      <c r="A35" t="s">
        <v>267</v>
      </c>
      <c r="B35">
        <f t="shared" si="0"/>
        <v>70</v>
      </c>
      <c r="C35">
        <f t="shared" si="1"/>
        <v>60.661873296522622</v>
      </c>
      <c r="D35" cm="1">
        <f t="array" ref="D35">IF(Table5[[#This Row],[HomeTeam]]="Sevilla",_xlfn.IFS(Table5[[#This Row],[FTR]]="H",3,Table5[[#This Row],[FTR]]="D",1,Table5[[#This Row],[FTR]]="A",0),_xlfn.IFS(Table5[[#This Row],[FTR]]="A",3,Table5[[#This Row],[FTR]]="D",1,Table5[[#This Row],[FTR]]="H",0))</f>
        <v>0</v>
      </c>
      <c r="E35">
        <f>IF(Table5[[#This Row],[HomeTeam]]="Sevilla",Table5[[#This Row],[OddH]]*3+Table5[[#This Row],[OddD]]*1,Table5[[#This Row],[OddA]]*3+Table5[[#This Row],[OddD]]*1)</f>
        <v>2.0796870672943779</v>
      </c>
      <c r="G35" s="75">
        <v>44319</v>
      </c>
      <c r="H35" t="s">
        <v>317</v>
      </c>
      <c r="I35" t="s">
        <v>327</v>
      </c>
      <c r="J35">
        <v>0</v>
      </c>
      <c r="K35">
        <v>1</v>
      </c>
      <c r="L35" t="s">
        <v>180</v>
      </c>
      <c r="M35">
        <f>1/Table5[[#This Row],[ProbH]]-Table5[[#This Row],[Margin]]</f>
        <v>0.61665743561340347</v>
      </c>
      <c r="N35">
        <f>1/Table5[[#This Row],[ProbD]]-Table5[[#This Row],[Margin]]</f>
        <v>0.22971476045416783</v>
      </c>
      <c r="O35">
        <f>1/Table5[[#This Row],[ProbA]]-Table5[[#This Row],[Margin]]</f>
        <v>0.1536278039324287</v>
      </c>
      <c r="P35">
        <f>(1/Table5[[#This Row],[ProbH]]+1/Table5[[#This Row],[ProbD]]+1/Table5[[#This Row],[ProbA]]-1)/3</f>
        <v>2.0285239545832168E-2</v>
      </c>
      <c r="Q35">
        <v>1.57</v>
      </c>
      <c r="R35">
        <v>4</v>
      </c>
      <c r="S35">
        <v>5.75</v>
      </c>
      <c r="U35">
        <f>SUM(Table5[[#This Row],[OddH]:[OddA]])</f>
        <v>1</v>
      </c>
    </row>
    <row r="36" spans="1:21" x14ac:dyDescent="0.45">
      <c r="A36" t="s">
        <v>268</v>
      </c>
      <c r="B36">
        <f t="shared" si="0"/>
        <v>71</v>
      </c>
      <c r="C36">
        <f t="shared" si="1"/>
        <v>61.649007799446601</v>
      </c>
      <c r="D36" cm="1">
        <f t="array" ref="D36">IF(Table5[[#This Row],[HomeTeam]]="Sevilla",_xlfn.IFS(Table5[[#This Row],[FTR]]="H",3,Table5[[#This Row],[FTR]]="D",1,Table5[[#This Row],[FTR]]="A",0),_xlfn.IFS(Table5[[#This Row],[FTR]]="A",3,Table5[[#This Row],[FTR]]="D",1,Table5[[#This Row],[FTR]]="H",0))</f>
        <v>1</v>
      </c>
      <c r="E36">
        <f>IF(Table5[[#This Row],[HomeTeam]]="Sevilla",Table5[[#This Row],[OddH]]*3+Table5[[#This Row],[OddD]]*1,Table5[[#This Row],[OddA]]*3+Table5[[#This Row],[OddD]]*1)</f>
        <v>0.98713450292397664</v>
      </c>
      <c r="G36" s="75">
        <v>44325</v>
      </c>
      <c r="H36" t="s">
        <v>74</v>
      </c>
      <c r="I36" t="s">
        <v>317</v>
      </c>
      <c r="J36">
        <v>2</v>
      </c>
      <c r="K36">
        <v>2</v>
      </c>
      <c r="L36" t="s">
        <v>172</v>
      </c>
      <c r="M36">
        <f>1/Table5[[#This Row],[ProbH]]-Table5[[#This Row],[Margin]]</f>
        <v>0.50643274853801168</v>
      </c>
      <c r="N36">
        <f>1/Table5[[#This Row],[ProbD]]-Table5[[#This Row],[Margin]]</f>
        <v>0.24678362573099416</v>
      </c>
      <c r="O36">
        <f>1/Table5[[#This Row],[ProbA]]-Table5[[#This Row],[Margin]]</f>
        <v>0.24678362573099416</v>
      </c>
      <c r="P36">
        <f>(1/Table5[[#This Row],[ProbH]]+1/Table5[[#This Row],[ProbD]]+1/Table5[[#This Row],[ProbA]]-1)/3</f>
        <v>1.9883040935672502E-2</v>
      </c>
      <c r="Q36">
        <v>1.9</v>
      </c>
      <c r="R36">
        <v>3.75</v>
      </c>
      <c r="S36">
        <v>3.75</v>
      </c>
      <c r="U36">
        <f>SUM(Table5[[#This Row],[OddH]:[OddA]])</f>
        <v>1</v>
      </c>
    </row>
    <row r="37" spans="1:21" x14ac:dyDescent="0.45">
      <c r="A37" t="s">
        <v>269</v>
      </c>
      <c r="B37">
        <f t="shared" si="0"/>
        <v>74</v>
      </c>
      <c r="C37">
        <f t="shared" si="1"/>
        <v>63.875198275637075</v>
      </c>
      <c r="D37" cm="1">
        <f t="array" ref="D37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37">
        <f>IF(Table5[[#This Row],[HomeTeam]]="Sevilla",Table5[[#This Row],[OddH]]*3+Table5[[#This Row],[OddD]]*1,Table5[[#This Row],[OddA]]*3+Table5[[#This Row],[OddD]]*1)</f>
        <v>2.2261904761904763</v>
      </c>
      <c r="G37" s="75">
        <v>44328</v>
      </c>
      <c r="H37" t="s">
        <v>317</v>
      </c>
      <c r="I37" t="s">
        <v>323</v>
      </c>
      <c r="J37">
        <v>1</v>
      </c>
      <c r="K37">
        <v>0</v>
      </c>
      <c r="L37" t="s">
        <v>175</v>
      </c>
      <c r="M37">
        <f>1/Table5[[#This Row],[ProbH]]-Table5[[#This Row],[Margin]]</f>
        <v>0.67460317460317454</v>
      </c>
      <c r="N37">
        <f>1/Table5[[#This Row],[ProbD]]-Table5[[#This Row],[Margin]]</f>
        <v>0.20238095238095236</v>
      </c>
      <c r="O37">
        <f>1/Table5[[#This Row],[ProbA]]-Table5[[#This Row],[Margin]]</f>
        <v>0.12301587301587301</v>
      </c>
      <c r="P37">
        <f>(1/Table5[[#This Row],[ProbH]]+1/Table5[[#This Row],[ProbD]]+1/Table5[[#This Row],[ProbA]]-1)/3</f>
        <v>1.9841269841269844E-2</v>
      </c>
      <c r="Q37">
        <v>1.44</v>
      </c>
      <c r="R37">
        <v>4.5</v>
      </c>
      <c r="S37">
        <v>7</v>
      </c>
      <c r="U37">
        <f>SUM(Table5[[#This Row],[OddH]:[OddA]])</f>
        <v>0.99999999999999989</v>
      </c>
    </row>
    <row r="38" spans="1:21" x14ac:dyDescent="0.45">
      <c r="A38" t="s">
        <v>270</v>
      </c>
      <c r="B38">
        <f t="shared" si="0"/>
        <v>74</v>
      </c>
      <c r="C38">
        <f t="shared" si="1"/>
        <v>65.12862458183929</v>
      </c>
      <c r="D38" cm="1">
        <f t="array" ref="D38">IF(Table5[[#This Row],[HomeTeam]]="Sevilla",_xlfn.IFS(Table5[[#This Row],[FTR]]="H",3,Table5[[#This Row],[FTR]]="D",1,Table5[[#This Row],[FTR]]="A",0),_xlfn.IFS(Table5[[#This Row],[FTR]]="A",3,Table5[[#This Row],[FTR]]="D",1,Table5[[#This Row],[FTR]]="H",0))</f>
        <v>0</v>
      </c>
      <c r="E38">
        <f>IF(Table5[[#This Row],[HomeTeam]]="Sevilla",Table5[[#This Row],[OddH]]*3+Table5[[#This Row],[OddD]]*1,Table5[[#This Row],[OddA]]*3+Table5[[#This Row],[OddD]]*1)</f>
        <v>1.2534263062022173</v>
      </c>
      <c r="G38" s="75">
        <v>44332</v>
      </c>
      <c r="H38" t="s">
        <v>314</v>
      </c>
      <c r="I38" t="s">
        <v>317</v>
      </c>
      <c r="J38">
        <v>4</v>
      </c>
      <c r="K38">
        <v>0</v>
      </c>
      <c r="L38" t="s">
        <v>175</v>
      </c>
      <c r="M38">
        <f>1/Table5[[#This Row],[ProbH]]-Table5[[#This Row],[Margin]]</f>
        <v>0.40044405124404392</v>
      </c>
      <c r="N38">
        <f>1/Table5[[#This Row],[ProbD]]-Table5[[#This Row],[Margin]]</f>
        <v>0.27262077003282531</v>
      </c>
      <c r="O38">
        <f>1/Table5[[#This Row],[ProbA]]-Table5[[#This Row],[Margin]]</f>
        <v>0.32693517872313066</v>
      </c>
      <c r="P38">
        <f>(1/Table5[[#This Row],[ProbH]]+1/Table5[[#This Row],[ProbD]]+1/Table5[[#This Row],[ProbA]]-1)/3</f>
        <v>2.1496877025998229E-2</v>
      </c>
      <c r="Q38">
        <v>2.37</v>
      </c>
      <c r="R38">
        <v>3.4</v>
      </c>
      <c r="S38">
        <v>2.87</v>
      </c>
      <c r="U38">
        <f>SUM(Table5[[#This Row],[OddH]:[OddA]])</f>
        <v>1</v>
      </c>
    </row>
    <row r="39" spans="1:21" x14ac:dyDescent="0.45">
      <c r="A39" t="s">
        <v>271</v>
      </c>
      <c r="B39">
        <f t="shared" si="0"/>
        <v>77</v>
      </c>
      <c r="C39">
        <f t="shared" si="1"/>
        <v>67.290958527083163</v>
      </c>
      <c r="D39" cm="1">
        <f t="array" ref="D39">IF(Table5[[#This Row],[HomeTeam]]="Sevilla",_xlfn.IFS(Table5[[#This Row],[FTR]]="H",3,Table5[[#This Row],[FTR]]="D",1,Table5[[#This Row],[FTR]]="A",0),_xlfn.IFS(Table5[[#This Row],[FTR]]="A",3,Table5[[#This Row],[FTR]]="D",1,Table5[[#This Row],[FTR]]="H",0))</f>
        <v>3</v>
      </c>
      <c r="E39">
        <f>IF(Table5[[#This Row],[HomeTeam]]="Sevilla",Table5[[#This Row],[OddH]]*3+Table5[[#This Row],[OddD]]*1,Table5[[#This Row],[OddA]]*3+Table5[[#This Row],[OddD]]*1)</f>
        <v>2.1623339452438759</v>
      </c>
      <c r="G39" s="75">
        <v>44339</v>
      </c>
      <c r="H39" t="s">
        <v>317</v>
      </c>
      <c r="I39" t="s">
        <v>319</v>
      </c>
      <c r="J39">
        <v>1</v>
      </c>
      <c r="K39">
        <v>0</v>
      </c>
      <c r="L39" t="s">
        <v>175</v>
      </c>
      <c r="M39">
        <f>1/Table5[[#This Row],[ProbH]]-Table5[[#This Row],[Margin]]</f>
        <v>0.64951343242336312</v>
      </c>
      <c r="N39">
        <f>1/Table5[[#This Row],[ProbD]]-Table5[[#This Row],[Margin]]</f>
        <v>0.21379364797378653</v>
      </c>
      <c r="O39">
        <f>1/Table5[[#This Row],[ProbA]]-Table5[[#This Row],[Margin]]</f>
        <v>0.13669291960285032</v>
      </c>
      <c r="P39">
        <f>(1/Table5[[#This Row],[ProbH]]+1/Table5[[#This Row],[ProbD]]+1/Table5[[#This Row],[ProbA]]-1)/3</f>
        <v>1.7153234243303544E-2</v>
      </c>
      <c r="Q39">
        <v>1.5</v>
      </c>
      <c r="R39">
        <v>4.33</v>
      </c>
      <c r="S39">
        <v>6.5</v>
      </c>
      <c r="U39">
        <f>SUM(Table5[[#This Row],[OddH]:[OddA]])</f>
        <v>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7D879-19B1-4111-9FC5-AEA3F0DC5E7B}">
  <dimension ref="A1:CC56"/>
  <sheetViews>
    <sheetView zoomScale="60" zoomScaleNormal="60" workbookViewId="0">
      <selection activeCell="H45" sqref="H45"/>
    </sheetView>
  </sheetViews>
  <sheetFormatPr defaultRowHeight="14.25" x14ac:dyDescent="0.45"/>
  <cols>
    <col min="2" max="2" width="8.796875" bestFit="1" customWidth="1"/>
    <col min="3" max="3" width="8.6640625" bestFit="1" customWidth="1"/>
  </cols>
  <sheetData>
    <row r="1" spans="1:9" s="25" customFormat="1" ht="42.75" customHeight="1" x14ac:dyDescent="0.45">
      <c r="B1" s="25" t="s">
        <v>383</v>
      </c>
      <c r="C1" s="25" t="s">
        <v>159</v>
      </c>
      <c r="D1" s="25" t="s">
        <v>383</v>
      </c>
      <c r="E1" s="25" t="s">
        <v>159</v>
      </c>
      <c r="F1" s="25" t="s">
        <v>383</v>
      </c>
      <c r="G1" s="25" t="s">
        <v>159</v>
      </c>
      <c r="H1" s="25" t="s">
        <v>383</v>
      </c>
      <c r="I1" s="25" t="s">
        <v>159</v>
      </c>
    </row>
    <row r="2" spans="1:9" x14ac:dyDescent="0.45">
      <c r="A2" t="s">
        <v>157</v>
      </c>
      <c r="B2">
        <v>3</v>
      </c>
      <c r="C2" s="74">
        <v>2.1833333333333331</v>
      </c>
      <c r="D2">
        <v>1</v>
      </c>
      <c r="E2" s="74">
        <v>1.9339045287637699</v>
      </c>
      <c r="F2">
        <v>3</v>
      </c>
      <c r="G2" s="74">
        <v>2.1114088147336232</v>
      </c>
      <c r="H2">
        <v>3</v>
      </c>
      <c r="I2" s="74">
        <v>1.9544662309368195</v>
      </c>
    </row>
    <row r="3" spans="1:9" x14ac:dyDescent="0.45">
      <c r="A3" t="s">
        <v>235</v>
      </c>
      <c r="B3">
        <v>4</v>
      </c>
      <c r="C3" s="74">
        <v>4.4089490968801313</v>
      </c>
      <c r="D3">
        <v>4</v>
      </c>
      <c r="E3" s="74">
        <v>3.7764971213563623</v>
      </c>
      <c r="F3">
        <v>3</v>
      </c>
      <c r="G3" s="74">
        <v>4.0453133434973934</v>
      </c>
      <c r="H3">
        <v>6</v>
      </c>
      <c r="I3" s="74">
        <v>4.2264239028944921</v>
      </c>
    </row>
    <row r="4" spans="1:9" x14ac:dyDescent="0.45">
      <c r="A4" t="s">
        <v>236</v>
      </c>
      <c r="B4">
        <v>5</v>
      </c>
      <c r="C4" s="74">
        <v>6.4495847896897374</v>
      </c>
      <c r="D4">
        <v>7</v>
      </c>
      <c r="E4" s="74">
        <v>6.2991829965012531</v>
      </c>
      <c r="F4">
        <v>4</v>
      </c>
      <c r="G4" s="74">
        <v>6.260750440513438</v>
      </c>
      <c r="H4">
        <v>7</v>
      </c>
      <c r="I4" s="74">
        <v>4.9509783594034653</v>
      </c>
    </row>
    <row r="5" spans="1:9" x14ac:dyDescent="0.45">
      <c r="A5" t="s">
        <v>237</v>
      </c>
      <c r="B5">
        <v>8</v>
      </c>
      <c r="C5" s="74">
        <v>8.3918647319696795</v>
      </c>
      <c r="D5">
        <v>10</v>
      </c>
      <c r="E5" s="74">
        <v>8.4473311446494002</v>
      </c>
      <c r="F5">
        <v>4</v>
      </c>
      <c r="G5" s="74">
        <v>7.7423104441162174</v>
      </c>
      <c r="H5">
        <v>7</v>
      </c>
      <c r="I5" s="74">
        <v>6.7460051420463465</v>
      </c>
    </row>
    <row r="6" spans="1:9" x14ac:dyDescent="0.45">
      <c r="A6" t="s">
        <v>238</v>
      </c>
      <c r="B6">
        <v>11</v>
      </c>
      <c r="C6" s="74">
        <v>10.507619379133494</v>
      </c>
      <c r="D6">
        <v>10</v>
      </c>
      <c r="E6" s="74">
        <v>11.056585920005871</v>
      </c>
      <c r="F6">
        <v>4</v>
      </c>
      <c r="G6" s="74">
        <v>10.077604561763277</v>
      </c>
      <c r="H6">
        <v>7</v>
      </c>
      <c r="I6" s="74">
        <v>8.9740036908858603</v>
      </c>
    </row>
    <row r="7" spans="1:9" x14ac:dyDescent="0.45">
      <c r="A7" t="s">
        <v>239</v>
      </c>
      <c r="B7">
        <v>14</v>
      </c>
      <c r="C7" s="74">
        <v>12.449899321413437</v>
      </c>
      <c r="D7">
        <v>13</v>
      </c>
      <c r="E7" s="74">
        <v>12.093622957042907</v>
      </c>
      <c r="F7">
        <v>7</v>
      </c>
      <c r="G7" s="74">
        <v>12.384223505637122</v>
      </c>
      <c r="H7">
        <v>7</v>
      </c>
      <c r="I7" s="74">
        <v>10.392807109689279</v>
      </c>
    </row>
    <row r="8" spans="1:9" x14ac:dyDescent="0.45">
      <c r="A8" t="s">
        <v>240</v>
      </c>
      <c r="B8">
        <v>17</v>
      </c>
      <c r="C8" s="74">
        <v>14.761010432524547</v>
      </c>
      <c r="D8">
        <v>16</v>
      </c>
      <c r="E8" s="74">
        <v>14.468448910816228</v>
      </c>
      <c r="F8">
        <v>10</v>
      </c>
      <c r="G8" s="74">
        <v>14.599660602653167</v>
      </c>
      <c r="H8">
        <v>10</v>
      </c>
      <c r="I8" s="74">
        <v>12.5634420303242</v>
      </c>
    </row>
    <row r="9" spans="1:9" x14ac:dyDescent="0.45">
      <c r="A9" t="s">
        <v>241</v>
      </c>
      <c r="B9">
        <v>20</v>
      </c>
      <c r="C9" s="74">
        <v>16.011230409937891</v>
      </c>
      <c r="D9">
        <v>16</v>
      </c>
      <c r="E9" s="74">
        <v>16.658809870687168</v>
      </c>
      <c r="F9">
        <v>13</v>
      </c>
      <c r="G9" s="74">
        <v>16.433687838319745</v>
      </c>
      <c r="H9">
        <v>13</v>
      </c>
      <c r="I9" s="74">
        <v>14.519206765158703</v>
      </c>
    </row>
    <row r="10" spans="1:9" x14ac:dyDescent="0.45">
      <c r="A10" t="s">
        <v>242</v>
      </c>
      <c r="B10">
        <v>23</v>
      </c>
      <c r="C10" s="74">
        <v>17.94513493870166</v>
      </c>
      <c r="D10">
        <v>17</v>
      </c>
      <c r="E10" s="74">
        <v>18.180588572183456</v>
      </c>
      <c r="F10">
        <v>16</v>
      </c>
      <c r="G10" s="74">
        <v>18.688877093508999</v>
      </c>
      <c r="H10">
        <v>16</v>
      </c>
      <c r="I10" s="74">
        <v>16.251529997481935</v>
      </c>
    </row>
    <row r="11" spans="1:9" x14ac:dyDescent="0.45">
      <c r="A11" t="s">
        <v>243</v>
      </c>
      <c r="B11">
        <v>26</v>
      </c>
      <c r="C11" s="74">
        <v>20.251611291245837</v>
      </c>
      <c r="D11">
        <v>17</v>
      </c>
      <c r="E11" s="74">
        <v>20.555414525956778</v>
      </c>
      <c r="F11">
        <v>19</v>
      </c>
      <c r="G11" s="74">
        <v>21.017541892762033</v>
      </c>
      <c r="H11">
        <v>16</v>
      </c>
      <c r="I11" s="74">
        <v>17.662464741750014</v>
      </c>
    </row>
    <row r="12" spans="1:9" x14ac:dyDescent="0.45">
      <c r="A12" t="s">
        <v>244</v>
      </c>
      <c r="B12">
        <v>26</v>
      </c>
      <c r="C12" s="74">
        <v>21.441858787243682</v>
      </c>
      <c r="D12">
        <v>20</v>
      </c>
      <c r="E12" s="74">
        <v>21.877460381335965</v>
      </c>
      <c r="F12">
        <v>22</v>
      </c>
      <c r="G12" s="74">
        <v>23.157638511119522</v>
      </c>
      <c r="H12">
        <v>19</v>
      </c>
      <c r="I12" s="74">
        <v>19.329726646511919</v>
      </c>
    </row>
    <row r="13" spans="1:9" x14ac:dyDescent="0.45">
      <c r="A13" t="s">
        <v>245</v>
      </c>
      <c r="B13">
        <v>29</v>
      </c>
      <c r="C13" s="74">
        <v>24.038350015313856</v>
      </c>
      <c r="D13">
        <v>23</v>
      </c>
      <c r="E13" s="74">
        <v>23.404313767936898</v>
      </c>
      <c r="F13">
        <v>25</v>
      </c>
      <c r="G13" s="74">
        <v>24.736642840123853</v>
      </c>
      <c r="H13">
        <v>20</v>
      </c>
      <c r="I13" s="74">
        <v>21.485717931914969</v>
      </c>
    </row>
    <row r="14" spans="1:9" x14ac:dyDescent="0.45">
      <c r="A14" t="s">
        <v>246</v>
      </c>
      <c r="B14">
        <v>32</v>
      </c>
      <c r="C14" s="74">
        <v>25.60421701868086</v>
      </c>
      <c r="D14">
        <v>26</v>
      </c>
      <c r="E14" s="74">
        <v>25.518105367963237</v>
      </c>
      <c r="F14">
        <v>28</v>
      </c>
      <c r="G14" s="74">
        <v>26.875129152523208</v>
      </c>
      <c r="H14">
        <v>23</v>
      </c>
      <c r="I14" s="74">
        <v>23.198789827339805</v>
      </c>
    </row>
    <row r="15" spans="1:9" x14ac:dyDescent="0.45">
      <c r="A15" t="s">
        <v>247</v>
      </c>
      <c r="B15">
        <v>35</v>
      </c>
      <c r="C15" s="74">
        <v>27.858729934958482</v>
      </c>
      <c r="D15">
        <v>29</v>
      </c>
      <c r="E15" s="74">
        <v>27.678056527914396</v>
      </c>
      <c r="F15">
        <v>31</v>
      </c>
      <c r="G15" s="74">
        <v>28.605073671941412</v>
      </c>
      <c r="H15">
        <v>26</v>
      </c>
      <c r="I15" s="74">
        <v>24.761597390147369</v>
      </c>
    </row>
    <row r="16" spans="1:9" x14ac:dyDescent="0.45">
      <c r="A16" t="s">
        <v>248</v>
      </c>
      <c r="B16">
        <v>38</v>
      </c>
      <c r="C16" s="74">
        <v>30.002022807663121</v>
      </c>
      <c r="D16">
        <v>32</v>
      </c>
      <c r="E16" s="74">
        <v>30.052882481687718</v>
      </c>
      <c r="F16">
        <v>31</v>
      </c>
      <c r="G16" s="74">
        <v>30.099134911998075</v>
      </c>
      <c r="H16">
        <v>27</v>
      </c>
      <c r="I16" s="74">
        <v>26.512513141063121</v>
      </c>
    </row>
    <row r="17" spans="1:9" x14ac:dyDescent="0.45">
      <c r="A17" t="s">
        <v>249</v>
      </c>
      <c r="B17">
        <v>41</v>
      </c>
      <c r="C17" s="74">
        <v>31.812086160489631</v>
      </c>
      <c r="D17">
        <v>33</v>
      </c>
      <c r="E17" s="74">
        <v>32.534933763738998</v>
      </c>
      <c r="F17">
        <v>34</v>
      </c>
      <c r="G17" s="74">
        <v>32.060822933927064</v>
      </c>
      <c r="H17">
        <v>30</v>
      </c>
      <c r="I17" s="74">
        <v>28.125524979881412</v>
      </c>
    </row>
    <row r="18" spans="1:9" x14ac:dyDescent="0.45">
      <c r="A18" t="s">
        <v>250</v>
      </c>
      <c r="B18">
        <v>44</v>
      </c>
      <c r="C18" s="74">
        <v>33.846268137265511</v>
      </c>
      <c r="D18">
        <v>36</v>
      </c>
      <c r="E18" s="74">
        <v>34.750370860755041</v>
      </c>
      <c r="F18">
        <v>37</v>
      </c>
      <c r="G18" s="74">
        <v>34.36856421225658</v>
      </c>
      <c r="H18">
        <v>30</v>
      </c>
      <c r="I18" s="74">
        <v>29.023307630953536</v>
      </c>
    </row>
    <row r="19" spans="1:9" x14ac:dyDescent="0.45">
      <c r="A19" t="s">
        <v>251</v>
      </c>
      <c r="B19">
        <v>47</v>
      </c>
      <c r="C19" s="74">
        <v>36.133235555811879</v>
      </c>
      <c r="D19">
        <v>37</v>
      </c>
      <c r="E19" s="74">
        <v>36.957825837720002</v>
      </c>
      <c r="F19">
        <v>38</v>
      </c>
      <c r="G19" s="74">
        <v>36.961549146343209</v>
      </c>
      <c r="H19">
        <v>33</v>
      </c>
      <c r="I19" s="74">
        <v>31.02564019352706</v>
      </c>
    </row>
    <row r="20" spans="1:9" x14ac:dyDescent="0.45">
      <c r="A20" t="s">
        <v>252</v>
      </c>
      <c r="B20">
        <v>50</v>
      </c>
      <c r="C20" s="74">
        <v>38.392494815071139</v>
      </c>
      <c r="D20">
        <v>40</v>
      </c>
      <c r="E20" s="74">
        <v>39.047021451761033</v>
      </c>
      <c r="F20">
        <v>41</v>
      </c>
      <c r="G20" s="74">
        <v>38.926878874891607</v>
      </c>
      <c r="H20">
        <v>36</v>
      </c>
      <c r="I20" s="74">
        <v>33.262367068184972</v>
      </c>
    </row>
    <row r="21" spans="1:9" x14ac:dyDescent="0.45">
      <c r="A21" t="s">
        <v>253</v>
      </c>
      <c r="B21">
        <v>51</v>
      </c>
      <c r="C21" s="74">
        <v>40.469774017350339</v>
      </c>
      <c r="D21">
        <v>40</v>
      </c>
      <c r="E21" s="74">
        <v>41.40621488990184</v>
      </c>
      <c r="F21">
        <v>44</v>
      </c>
      <c r="G21" s="74">
        <v>41.050332310666739</v>
      </c>
      <c r="H21">
        <v>39</v>
      </c>
      <c r="I21" s="74">
        <v>34.993136298954205</v>
      </c>
    </row>
    <row r="22" spans="1:9" x14ac:dyDescent="0.45">
      <c r="A22" t="s">
        <v>254</v>
      </c>
      <c r="B22">
        <v>54</v>
      </c>
      <c r="C22" s="74">
        <v>42.361356508932829</v>
      </c>
      <c r="D22">
        <v>43</v>
      </c>
      <c r="E22" s="74">
        <v>43.632405366092314</v>
      </c>
      <c r="F22">
        <v>45</v>
      </c>
      <c r="G22" s="74">
        <v>43.114286221224845</v>
      </c>
      <c r="H22">
        <v>42</v>
      </c>
      <c r="I22" s="74">
        <v>36.922167533370995</v>
      </c>
    </row>
    <row r="23" spans="1:9" x14ac:dyDescent="0.45">
      <c r="A23" t="s">
        <v>255</v>
      </c>
      <c r="B23">
        <v>55</v>
      </c>
      <c r="C23" s="74">
        <v>44.241874798119852</v>
      </c>
      <c r="D23">
        <v>46</v>
      </c>
      <c r="E23" s="74">
        <v>45.766601779700494</v>
      </c>
      <c r="F23">
        <v>45</v>
      </c>
      <c r="G23" s="74">
        <v>44.817989924928547</v>
      </c>
      <c r="H23">
        <v>45</v>
      </c>
      <c r="I23" s="74">
        <v>39.103364114567576</v>
      </c>
    </row>
    <row r="24" spans="1:9" x14ac:dyDescent="0.45">
      <c r="A24" t="s">
        <v>256</v>
      </c>
      <c r="B24">
        <v>55</v>
      </c>
      <c r="C24" s="74">
        <v>46.390723226380047</v>
      </c>
      <c r="D24">
        <v>49</v>
      </c>
      <c r="E24" s="74">
        <v>48.053569198246862</v>
      </c>
      <c r="F24">
        <v>48</v>
      </c>
      <c r="G24" s="74">
        <v>47.097355004293625</v>
      </c>
      <c r="H24">
        <v>48</v>
      </c>
      <c r="I24" s="74">
        <v>40.835687346890808</v>
      </c>
    </row>
    <row r="25" spans="1:9" x14ac:dyDescent="0.45">
      <c r="A25" t="s">
        <v>257</v>
      </c>
      <c r="B25">
        <v>58</v>
      </c>
      <c r="C25" s="74">
        <v>47.880135120169818</v>
      </c>
      <c r="D25">
        <v>52</v>
      </c>
      <c r="E25" s="74">
        <v>50.126684335056268</v>
      </c>
      <c r="F25">
        <v>51</v>
      </c>
      <c r="G25" s="74">
        <v>49.587253994192615</v>
      </c>
      <c r="H25">
        <v>48</v>
      </c>
      <c r="I25" s="74">
        <v>41.988555312258775</v>
      </c>
    </row>
    <row r="26" spans="1:9" x14ac:dyDescent="0.45">
      <c r="A26" t="s">
        <v>258</v>
      </c>
      <c r="B26">
        <v>59</v>
      </c>
      <c r="C26" s="74">
        <v>49.288308645990405</v>
      </c>
      <c r="D26">
        <v>53</v>
      </c>
      <c r="E26" s="74">
        <v>51.95409781410909</v>
      </c>
      <c r="F26">
        <v>54</v>
      </c>
      <c r="G26" s="74">
        <v>52.117876377274015</v>
      </c>
      <c r="H26">
        <v>48</v>
      </c>
      <c r="I26" s="74">
        <v>44.065834514537976</v>
      </c>
    </row>
    <row r="27" spans="1:9" x14ac:dyDescent="0.45">
      <c r="A27" t="s">
        <v>259</v>
      </c>
      <c r="B27">
        <v>62</v>
      </c>
      <c r="C27" s="74">
        <v>51.192589550271308</v>
      </c>
      <c r="D27">
        <v>54</v>
      </c>
      <c r="E27" s="74">
        <v>53.257229323122949</v>
      </c>
      <c r="F27">
        <v>57</v>
      </c>
      <c r="G27" s="74">
        <v>54.152135636533274</v>
      </c>
      <c r="H27">
        <v>51</v>
      </c>
      <c r="I27" s="74">
        <v>45.778906409962815</v>
      </c>
    </row>
    <row r="28" spans="1:9" x14ac:dyDescent="0.45">
      <c r="A28" t="s">
        <v>260</v>
      </c>
      <c r="B28">
        <v>63</v>
      </c>
      <c r="C28" s="74">
        <v>53.01488722995439</v>
      </c>
      <c r="D28">
        <v>57</v>
      </c>
      <c r="E28" s="74">
        <v>55.866484098479418</v>
      </c>
      <c r="F28">
        <v>58</v>
      </c>
      <c r="G28" s="74">
        <v>56.555101951264291</v>
      </c>
      <c r="H28">
        <v>54</v>
      </c>
      <c r="I28" s="74">
        <v>48.0619751930316</v>
      </c>
    </row>
    <row r="29" spans="1:9" x14ac:dyDescent="0.45">
      <c r="A29" t="s">
        <v>261</v>
      </c>
      <c r="B29">
        <v>66</v>
      </c>
      <c r="C29" s="74">
        <v>55.366303351958749</v>
      </c>
      <c r="D29">
        <v>60</v>
      </c>
      <c r="E29" s="74">
        <v>57.777547170251978</v>
      </c>
      <c r="F29">
        <v>59</v>
      </c>
      <c r="G29" s="74">
        <v>58.992196726245218</v>
      </c>
      <c r="H29">
        <v>55</v>
      </c>
      <c r="I29" s="74">
        <v>49.902888067223543</v>
      </c>
    </row>
    <row r="30" spans="1:9" x14ac:dyDescent="0.45">
      <c r="A30" t="s">
        <v>262</v>
      </c>
      <c r="B30">
        <v>66</v>
      </c>
      <c r="C30" s="74">
        <v>56.746039409855726</v>
      </c>
      <c r="D30">
        <v>63</v>
      </c>
      <c r="E30" s="74">
        <v>60.136740608392785</v>
      </c>
      <c r="F30">
        <v>62</v>
      </c>
      <c r="G30" s="74">
        <v>61.309750414387139</v>
      </c>
      <c r="H30">
        <v>58</v>
      </c>
      <c r="I30" s="74">
        <v>51.205995772630096</v>
      </c>
    </row>
    <row r="31" spans="1:9" x14ac:dyDescent="0.45">
      <c r="A31" t="s">
        <v>263</v>
      </c>
      <c r="B31">
        <v>67</v>
      </c>
      <c r="C31" s="74">
        <v>58.289587347425403</v>
      </c>
      <c r="D31">
        <v>66</v>
      </c>
      <c r="E31" s="74">
        <v>61.39788259379106</v>
      </c>
      <c r="F31">
        <v>65</v>
      </c>
      <c r="G31" s="74">
        <v>63.741463377350101</v>
      </c>
      <c r="H31">
        <v>61</v>
      </c>
      <c r="I31" s="74">
        <v>52.832560422450562</v>
      </c>
    </row>
    <row r="32" spans="1:9" x14ac:dyDescent="0.45">
      <c r="A32" t="s">
        <v>264</v>
      </c>
      <c r="B32">
        <v>70</v>
      </c>
      <c r="C32" s="74">
        <v>60.588266429014418</v>
      </c>
      <c r="D32">
        <v>67</v>
      </c>
      <c r="E32" s="74">
        <v>63.455301503383879</v>
      </c>
      <c r="F32">
        <v>66</v>
      </c>
      <c r="G32" s="74">
        <v>66.367347550648063</v>
      </c>
      <c r="H32">
        <v>64</v>
      </c>
      <c r="I32" s="74">
        <v>54.283831647120799</v>
      </c>
    </row>
    <row r="33" spans="1:9" x14ac:dyDescent="0.45">
      <c r="A33" t="s">
        <v>265</v>
      </c>
      <c r="B33">
        <v>73</v>
      </c>
      <c r="C33" s="74">
        <v>62.92876637168154</v>
      </c>
      <c r="D33">
        <v>70</v>
      </c>
      <c r="E33" s="74">
        <v>65.795801446051001</v>
      </c>
      <c r="F33">
        <v>69</v>
      </c>
      <c r="G33" s="74">
        <v>69.081563646443101</v>
      </c>
      <c r="H33">
        <v>67</v>
      </c>
      <c r="I33" s="74">
        <v>56.306329921792987</v>
      </c>
    </row>
    <row r="34" spans="1:9" x14ac:dyDescent="0.45">
      <c r="A34" t="s">
        <v>266</v>
      </c>
      <c r="B34">
        <v>73</v>
      </c>
      <c r="C34" s="74">
        <v>64.734429177344339</v>
      </c>
      <c r="D34">
        <v>71</v>
      </c>
      <c r="E34" s="74">
        <v>68.003256423015955</v>
      </c>
      <c r="F34">
        <v>72</v>
      </c>
      <c r="G34" s="74">
        <v>71.680317811298963</v>
      </c>
      <c r="H34">
        <v>70</v>
      </c>
      <c r="I34" s="74">
        <v>58.582186229228242</v>
      </c>
    </row>
    <row r="35" spans="1:9" x14ac:dyDescent="0.45">
      <c r="A35" t="s">
        <v>267</v>
      </c>
      <c r="B35">
        <v>76</v>
      </c>
      <c r="C35" s="74">
        <v>67.033108258933353</v>
      </c>
      <c r="D35">
        <v>74</v>
      </c>
      <c r="E35" s="74">
        <v>70.338550540663007</v>
      </c>
      <c r="F35">
        <v>75</v>
      </c>
      <c r="G35" s="74">
        <v>74.394533907094001</v>
      </c>
      <c r="H35">
        <v>70</v>
      </c>
      <c r="I35" s="74">
        <v>60.661873296522622</v>
      </c>
    </row>
    <row r="36" spans="1:9" x14ac:dyDescent="0.45">
      <c r="A36" t="s">
        <v>268</v>
      </c>
      <c r="B36">
        <v>77</v>
      </c>
      <c r="C36" s="74">
        <v>67.887187902486687</v>
      </c>
      <c r="D36">
        <v>75</v>
      </c>
      <c r="E36" s="74">
        <v>72.10463241200803</v>
      </c>
      <c r="F36">
        <v>78</v>
      </c>
      <c r="G36" s="74">
        <v>76.900665456703805</v>
      </c>
      <c r="H36">
        <v>71</v>
      </c>
      <c r="I36" s="74">
        <v>61.649007799446601</v>
      </c>
    </row>
    <row r="37" spans="1:9" x14ac:dyDescent="0.45">
      <c r="A37" t="s">
        <v>269</v>
      </c>
      <c r="B37">
        <v>80</v>
      </c>
      <c r="C37" s="74">
        <v>69.936430326729109</v>
      </c>
      <c r="D37">
        <v>78</v>
      </c>
      <c r="E37" s="74">
        <v>74.387701195076815</v>
      </c>
      <c r="F37">
        <v>78</v>
      </c>
      <c r="G37" s="74">
        <v>79.575889054915024</v>
      </c>
      <c r="H37">
        <v>74</v>
      </c>
      <c r="I37" s="74">
        <v>63.875198275637075</v>
      </c>
    </row>
    <row r="38" spans="1:9" x14ac:dyDescent="0.45">
      <c r="A38" t="s">
        <v>270</v>
      </c>
      <c r="B38">
        <v>83</v>
      </c>
      <c r="C38" s="74">
        <v>72.489023975260039</v>
      </c>
      <c r="D38">
        <v>81</v>
      </c>
      <c r="E38" s="74">
        <v>76.416669449045074</v>
      </c>
      <c r="F38">
        <v>79</v>
      </c>
      <c r="G38" s="74">
        <v>81.477587746087394</v>
      </c>
      <c r="H38">
        <v>74</v>
      </c>
      <c r="I38" s="74">
        <v>65.12862458183929</v>
      </c>
    </row>
    <row r="39" spans="1:9" x14ac:dyDescent="0.45">
      <c r="A39" t="s">
        <v>271</v>
      </c>
      <c r="B39">
        <v>86</v>
      </c>
      <c r="C39" s="74">
        <v>74.863849929033364</v>
      </c>
      <c r="D39">
        <v>84</v>
      </c>
      <c r="E39" s="74">
        <v>78.668684101059725</v>
      </c>
      <c r="F39">
        <v>79</v>
      </c>
      <c r="G39" s="74">
        <v>84.034153402653047</v>
      </c>
      <c r="H39">
        <v>77</v>
      </c>
      <c r="I39" s="74">
        <v>67.290958527083163</v>
      </c>
    </row>
    <row r="54" spans="75:81" x14ac:dyDescent="0.45">
      <c r="BW54" s="87">
        <f>86/74.9</f>
        <v>1.1481975967957276</v>
      </c>
      <c r="BY54" s="88">
        <f>84/78.7</f>
        <v>1.0673443456162643</v>
      </c>
      <c r="CA54" s="88">
        <f>79/84</f>
        <v>0.94047619047619047</v>
      </c>
      <c r="CC54" s="87">
        <f>77/67.3</f>
        <v>1.1441307578008917</v>
      </c>
    </row>
    <row r="56" spans="75:81" x14ac:dyDescent="0.45">
      <c r="BY56">
        <f>86/78.7</f>
        <v>1.0927573062261753</v>
      </c>
      <c r="CA56">
        <f>86/84</f>
        <v>1.0238095238095237</v>
      </c>
      <c r="CC56">
        <f>86/67.3</f>
        <v>1.2778603268945024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A139F-1257-44E2-A81F-B42AF91DBCE5}">
  <dimension ref="A1:U39"/>
  <sheetViews>
    <sheetView topLeftCell="A4" workbookViewId="0">
      <selection activeCell="B39" sqref="B39:C39"/>
    </sheetView>
  </sheetViews>
  <sheetFormatPr defaultRowHeight="14.25" x14ac:dyDescent="0.45"/>
  <cols>
    <col min="2" max="2" width="14.73046875" bestFit="1" customWidth="1"/>
    <col min="3" max="3" width="14.59765625" bestFit="1" customWidth="1"/>
    <col min="4" max="4" width="15.19921875" bestFit="1" customWidth="1"/>
    <col min="5" max="5" width="13.33203125" bestFit="1" customWidth="1"/>
    <col min="7" max="7" width="10.19921875" bestFit="1" customWidth="1"/>
    <col min="8" max="8" width="11.59765625" customWidth="1"/>
    <col min="9" max="9" width="11.265625" customWidth="1"/>
  </cols>
  <sheetData>
    <row r="1" spans="1:21" x14ac:dyDescent="0.45">
      <c r="A1" t="s">
        <v>314</v>
      </c>
      <c r="B1" t="s">
        <v>158</v>
      </c>
      <c r="C1" t="s">
        <v>159</v>
      </c>
      <c r="D1" t="s">
        <v>234</v>
      </c>
      <c r="E1" t="s">
        <v>272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  <c r="L1" t="s">
        <v>167</v>
      </c>
      <c r="M1" t="s">
        <v>382</v>
      </c>
      <c r="N1" t="s">
        <v>381</v>
      </c>
      <c r="O1" t="s">
        <v>131</v>
      </c>
      <c r="P1" t="s">
        <v>341</v>
      </c>
      <c r="Q1" t="s">
        <v>132</v>
      </c>
      <c r="R1" t="s">
        <v>133</v>
      </c>
      <c r="S1" t="s">
        <v>134</v>
      </c>
    </row>
    <row r="2" spans="1:21" x14ac:dyDescent="0.45">
      <c r="A2" t="s">
        <v>157</v>
      </c>
      <c r="B2">
        <f>D2</f>
        <v>1</v>
      </c>
      <c r="C2">
        <f>E2</f>
        <v>2.0893489030431702</v>
      </c>
      <c r="D2" cm="1">
        <f t="array" ref="D2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2">
        <f>IF(Table6[[#This Row],[HomeTeam]]=$A$1,Table6[[#This Row],[ProbH]]*3+Table6[[#This Row],[ProbD]]*1,Table6[[#This Row],[ProbA]]*3+Table6[[#This Row],[ProbD]]*1)</f>
        <v>2.0893489030431702</v>
      </c>
      <c r="G2" s="75"/>
      <c r="H2" t="s">
        <v>314</v>
      </c>
      <c r="I2" t="s">
        <v>320</v>
      </c>
      <c r="J2">
        <v>1</v>
      </c>
      <c r="K2">
        <v>1</v>
      </c>
      <c r="L2" t="s">
        <v>172</v>
      </c>
      <c r="M2">
        <v>1.57</v>
      </c>
      <c r="N2">
        <v>4</v>
      </c>
      <c r="O2">
        <v>6</v>
      </c>
      <c r="P2">
        <f>(1/Table6[[#This Row],[OddH]]+1/Table6[[#This Row],[OddD]]+1/Table6[[#This Row],[OddA]]-1)/3</f>
        <v>1.7869780608634089E-2</v>
      </c>
      <c r="Q2">
        <f>1/Table6[[#This Row],[OddH]]-Table6[[#This Row],[Margin]]</f>
        <v>0.61907289455060155</v>
      </c>
      <c r="R2">
        <f>1/Table6[[#This Row],[OddD]]-Table6[[#This Row],[Margin]]</f>
        <v>0.23213021939136591</v>
      </c>
      <c r="S2">
        <f>1/Table6[[#This Row],[OddA]]-Table6[[#This Row],[Margin]]</f>
        <v>0.14879688605803257</v>
      </c>
      <c r="U2">
        <v>1</v>
      </c>
    </row>
    <row r="3" spans="1:21" x14ac:dyDescent="0.45">
      <c r="A3" t="s">
        <v>235</v>
      </c>
      <c r="B3">
        <f>B2+D3</f>
        <v>4</v>
      </c>
      <c r="C3">
        <f>C2+E3</f>
        <v>4.1786978060863404</v>
      </c>
      <c r="D3" cm="1">
        <f t="array" ref="D3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3">
        <f>IF(Table6[[#This Row],[HomeTeam]]=$A$1,Table6[[#This Row],[ProbH]]*3+Table6[[#This Row],[ProbD]]*1,Table6[[#This Row],[ProbA]]*3+Table6[[#This Row],[ProbD]]*1)</f>
        <v>2.0893489030431702</v>
      </c>
      <c r="G3" s="75"/>
      <c r="H3" t="s">
        <v>314</v>
      </c>
      <c r="I3" t="s">
        <v>324</v>
      </c>
      <c r="J3">
        <v>2</v>
      </c>
      <c r="K3">
        <v>1</v>
      </c>
      <c r="L3" t="s">
        <v>175</v>
      </c>
      <c r="M3">
        <v>1.57</v>
      </c>
      <c r="N3">
        <v>4</v>
      </c>
      <c r="O3">
        <v>6</v>
      </c>
      <c r="P3">
        <f>(1/Table6[[#This Row],[OddH]]+1/Table6[[#This Row],[OddD]]+1/Table6[[#This Row],[OddA]]-1)/3</f>
        <v>1.7869780608634089E-2</v>
      </c>
      <c r="Q3">
        <f>1/Table6[[#This Row],[OddH]]-Table6[[#This Row],[Margin]]</f>
        <v>0.61907289455060155</v>
      </c>
      <c r="R3">
        <f>1/Table6[[#This Row],[OddD]]-Table6[[#This Row],[Margin]]</f>
        <v>0.23213021939136591</v>
      </c>
      <c r="S3">
        <f>1/Table6[[#This Row],[OddA]]-Table6[[#This Row],[Margin]]</f>
        <v>0.14879688605803257</v>
      </c>
      <c r="U3">
        <v>1</v>
      </c>
    </row>
    <row r="4" spans="1:21" x14ac:dyDescent="0.45">
      <c r="A4" t="s">
        <v>236</v>
      </c>
      <c r="B4">
        <f t="shared" ref="B4:B39" si="0">B3+D4</f>
        <v>7</v>
      </c>
      <c r="C4">
        <f t="shared" ref="C4:C39" si="1">C3+E4</f>
        <v>6.2539989084684375</v>
      </c>
      <c r="D4" cm="1">
        <f t="array" ref="D4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4">
        <f>IF(Table6[[#This Row],[HomeTeam]]=$A$1,Table6[[#This Row],[ProbH]]*3+Table6[[#This Row],[ProbD]]*1,Table6[[#This Row],[ProbA]]*3+Table6[[#This Row],[ProbD]]*1)</f>
        <v>2.0753011023820975</v>
      </c>
      <c r="G4" s="75"/>
      <c r="H4" t="s">
        <v>314</v>
      </c>
      <c r="I4" t="s">
        <v>319</v>
      </c>
      <c r="J4">
        <v>3</v>
      </c>
      <c r="K4">
        <v>1</v>
      </c>
      <c r="L4" t="s">
        <v>175</v>
      </c>
      <c r="M4">
        <v>1.57</v>
      </c>
      <c r="N4">
        <v>3.8</v>
      </c>
      <c r="O4">
        <v>5.75</v>
      </c>
      <c r="P4">
        <f>(1/Table6[[#This Row],[OddH]]+1/Table6[[#This Row],[OddD]]+1/Table6[[#This Row],[OddA]]-1)/3</f>
        <v>2.4671204458112921E-2</v>
      </c>
      <c r="Q4">
        <f>1/Table6[[#This Row],[OddH]]-Table6[[#This Row],[Margin]]</f>
        <v>0.61227147070112276</v>
      </c>
      <c r="R4">
        <f>1/Table6[[#This Row],[OddD]]-Table6[[#This Row],[Margin]]</f>
        <v>0.23848669027872918</v>
      </c>
      <c r="S4">
        <f>1/Table6[[#This Row],[OddA]]-Table6[[#This Row],[Margin]]</f>
        <v>0.14924183902014795</v>
      </c>
      <c r="U4">
        <v>0.99999999999999989</v>
      </c>
    </row>
    <row r="5" spans="1:21" x14ac:dyDescent="0.45">
      <c r="A5" t="s">
        <v>237</v>
      </c>
      <c r="B5">
        <f t="shared" si="0"/>
        <v>10</v>
      </c>
      <c r="C5">
        <f t="shared" si="1"/>
        <v>8.2916973211668505</v>
      </c>
      <c r="D5" cm="1">
        <f t="array" ref="D5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5">
        <f>IF(Table6[[#This Row],[HomeTeam]]=$A$1,Table6[[#This Row],[ProbH]]*3+Table6[[#This Row],[ProbD]]*1,Table6[[#This Row],[ProbA]]*3+Table6[[#This Row],[ProbD]]*1)</f>
        <v>2.0376984126984126</v>
      </c>
      <c r="G5" s="75"/>
      <c r="H5" t="s">
        <v>314</v>
      </c>
      <c r="I5" t="s">
        <v>323</v>
      </c>
      <c r="J5">
        <v>2</v>
      </c>
      <c r="K5">
        <v>1</v>
      </c>
      <c r="L5" t="s">
        <v>175</v>
      </c>
      <c r="M5">
        <v>1.6</v>
      </c>
      <c r="N5">
        <v>4</v>
      </c>
      <c r="O5">
        <v>5.25</v>
      </c>
      <c r="P5">
        <f>(1/Table6[[#This Row],[OddH]]+1/Table6[[#This Row],[OddD]]+1/Table6[[#This Row],[OddA]]-1)/3</f>
        <v>2.1825396825396821E-2</v>
      </c>
      <c r="Q5">
        <f>1/Table6[[#This Row],[OddH]]-Table6[[#This Row],[Margin]]</f>
        <v>0.60317460317460314</v>
      </c>
      <c r="R5">
        <f>1/Table6[[#This Row],[OddD]]-Table6[[#This Row],[Margin]]</f>
        <v>0.22817460317460317</v>
      </c>
      <c r="S5">
        <f>1/Table6[[#This Row],[OddA]]-Table6[[#This Row],[Margin]]</f>
        <v>0.16865079365079363</v>
      </c>
      <c r="U5">
        <v>1</v>
      </c>
    </row>
    <row r="6" spans="1:21" x14ac:dyDescent="0.45">
      <c r="A6" t="s">
        <v>238</v>
      </c>
      <c r="B6">
        <f t="shared" si="0"/>
        <v>13</v>
      </c>
      <c r="C6">
        <f t="shared" si="1"/>
        <v>10.334469766113209</v>
      </c>
      <c r="D6" cm="1">
        <f t="array" ref="D6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6">
        <f>IF(Table6[[#This Row],[HomeTeam]]=$A$1,Table6[[#This Row],[ProbH]]*3+Table6[[#This Row],[ProbD]]*1,Table6[[#This Row],[ProbA]]*3+Table6[[#This Row],[ProbD]]*1)</f>
        <v>2.0427724449463582</v>
      </c>
      <c r="G6" s="75"/>
      <c r="H6" t="s">
        <v>314</v>
      </c>
      <c r="I6" t="s">
        <v>322</v>
      </c>
      <c r="J6">
        <v>2</v>
      </c>
      <c r="K6">
        <v>0</v>
      </c>
      <c r="L6" t="s">
        <v>175</v>
      </c>
      <c r="M6">
        <v>1.61</v>
      </c>
      <c r="N6">
        <v>4</v>
      </c>
      <c r="O6">
        <v>5.5</v>
      </c>
      <c r="P6">
        <f>(1/Table6[[#This Row],[OddH]]+1/Table6[[#This Row],[OddD]]+1/Table6[[#This Row],[OddA]]-1)/3</f>
        <v>1.7645398080180657E-2</v>
      </c>
      <c r="Q6">
        <f>1/Table6[[#This Row],[OddH]]-Table6[[#This Row],[Margin]]</f>
        <v>0.60347261434217958</v>
      </c>
      <c r="R6">
        <f>1/Table6[[#This Row],[OddD]]-Table6[[#This Row],[Margin]]</f>
        <v>0.23235460191981935</v>
      </c>
      <c r="S6">
        <f>1/Table6[[#This Row],[OddA]]-Table6[[#This Row],[Margin]]</f>
        <v>0.16417278373800118</v>
      </c>
      <c r="U6">
        <v>1</v>
      </c>
    </row>
    <row r="7" spans="1:21" x14ac:dyDescent="0.45">
      <c r="A7" t="s">
        <v>239</v>
      </c>
      <c r="B7">
        <f t="shared" si="0"/>
        <v>14</v>
      </c>
      <c r="C7">
        <f t="shared" si="1"/>
        <v>11.568211301523551</v>
      </c>
      <c r="D7" cm="1">
        <f t="array" ref="D7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7">
        <f>IF(Table6[[#This Row],[HomeTeam]]=$A$1,Table6[[#This Row],[ProbH]]*3+Table6[[#This Row],[ProbD]]*1,Table6[[#This Row],[ProbA]]*3+Table6[[#This Row],[ProbD]]*1)</f>
        <v>1.2337415354103416</v>
      </c>
      <c r="G7" s="75"/>
      <c r="H7" t="s">
        <v>314</v>
      </c>
      <c r="I7" t="s">
        <v>74</v>
      </c>
      <c r="J7">
        <v>1</v>
      </c>
      <c r="K7">
        <v>1</v>
      </c>
      <c r="L7" t="s">
        <v>172</v>
      </c>
      <c r="M7">
        <v>2.87</v>
      </c>
      <c r="N7">
        <v>3.8</v>
      </c>
      <c r="O7">
        <v>2.25</v>
      </c>
      <c r="P7">
        <f>(1/Table6[[#This Row],[OddH]]+1/Table6[[#This Row],[OddD]]+1/Table6[[#This Row],[OddA]]-1)/3</f>
        <v>1.8678131643471801E-2</v>
      </c>
      <c r="Q7">
        <f>1/Table6[[#This Row],[OddH]]-Table6[[#This Row],[Margin]]</f>
        <v>0.32975392410565707</v>
      </c>
      <c r="R7">
        <f>1/Table6[[#This Row],[OddD]]-Table6[[#This Row],[Margin]]</f>
        <v>0.2444797630933703</v>
      </c>
      <c r="S7">
        <f>1/Table6[[#This Row],[OddA]]-Table6[[#This Row],[Margin]]</f>
        <v>0.4257663128009726</v>
      </c>
      <c r="U7">
        <v>1</v>
      </c>
    </row>
    <row r="8" spans="1:21" x14ac:dyDescent="0.45">
      <c r="A8" t="s">
        <v>240</v>
      </c>
      <c r="B8">
        <f t="shared" si="0"/>
        <v>15</v>
      </c>
      <c r="C8">
        <f t="shared" si="1"/>
        <v>13.982638979109122</v>
      </c>
      <c r="D8" cm="1">
        <f t="array" ref="D8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8">
        <f>IF(Table6[[#This Row],[HomeTeam]]=$A$1,Table6[[#This Row],[ProbH]]*3+Table6[[#This Row],[ProbD]]*1,Table6[[#This Row],[ProbA]]*3+Table6[[#This Row],[ProbD]]*1)</f>
        <v>2.414427677585572</v>
      </c>
      <c r="G8" s="75"/>
      <c r="H8" t="s">
        <v>314</v>
      </c>
      <c r="I8" t="s">
        <v>326</v>
      </c>
      <c r="J8">
        <v>0</v>
      </c>
      <c r="K8">
        <v>0</v>
      </c>
      <c r="L8" t="s">
        <v>172</v>
      </c>
      <c r="M8">
        <v>1.3</v>
      </c>
      <c r="N8">
        <v>5.5</v>
      </c>
      <c r="O8">
        <v>9.5</v>
      </c>
      <c r="P8">
        <f>(1/Table6[[#This Row],[OddH]]+1/Table6[[#This Row],[OddD]]+1/Table6[[#This Row],[OddA]]-1)/3</f>
        <v>1.8770702981229331E-2</v>
      </c>
      <c r="Q8">
        <f>1/Table6[[#This Row],[OddH]]-Table6[[#This Row],[Margin]]</f>
        <v>0.75046006624953987</v>
      </c>
      <c r="R8">
        <f>1/Table6[[#This Row],[OddD]]-Table6[[#This Row],[Margin]]</f>
        <v>0.1630474788369525</v>
      </c>
      <c r="S8">
        <f>1/Table6[[#This Row],[OddA]]-Table6[[#This Row],[Margin]]</f>
        <v>8.6492454913507502E-2</v>
      </c>
      <c r="U8">
        <v>0.99999999999999989</v>
      </c>
    </row>
    <row r="9" spans="1:21" x14ac:dyDescent="0.45">
      <c r="A9" t="s">
        <v>241</v>
      </c>
      <c r="B9">
        <f t="shared" si="0"/>
        <v>16</v>
      </c>
      <c r="C9">
        <f t="shared" si="1"/>
        <v>15.700389237107059</v>
      </c>
      <c r="D9" cm="1">
        <f t="array" ref="D9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9">
        <f>IF(Table6[[#This Row],[HomeTeam]]=$A$1,Table6[[#This Row],[ProbH]]*3+Table6[[#This Row],[ProbD]]*1,Table6[[#This Row],[ProbA]]*3+Table6[[#This Row],[ProbD]]*1)</f>
        <v>1.717750257997936</v>
      </c>
      <c r="G9" s="75"/>
      <c r="H9" t="s">
        <v>314</v>
      </c>
      <c r="I9" t="s">
        <v>327</v>
      </c>
      <c r="J9">
        <v>1</v>
      </c>
      <c r="K9">
        <v>1</v>
      </c>
      <c r="L9" t="s">
        <v>172</v>
      </c>
      <c r="M9">
        <v>2</v>
      </c>
      <c r="N9">
        <v>3.4</v>
      </c>
      <c r="O9">
        <v>3.8</v>
      </c>
      <c r="P9">
        <f>(1/Table6[[#This Row],[OddH]]+1/Table6[[#This Row],[OddD]]+1/Table6[[#This Row],[OddA]]-1)/3</f>
        <v>1.9091847265221878E-2</v>
      </c>
      <c r="Q9">
        <f>1/Table6[[#This Row],[OddH]]-Table6[[#This Row],[Margin]]</f>
        <v>0.4809081527347781</v>
      </c>
      <c r="R9">
        <f>1/Table6[[#This Row],[OddD]]-Table6[[#This Row],[Margin]]</f>
        <v>0.27502579979360164</v>
      </c>
      <c r="S9">
        <f>1/Table6[[#This Row],[OddA]]-Table6[[#This Row],[Margin]]</f>
        <v>0.24406604747162022</v>
      </c>
      <c r="U9">
        <v>0.99999999999999989</v>
      </c>
    </row>
    <row r="10" spans="1:21" x14ac:dyDescent="0.45">
      <c r="A10" t="s">
        <v>242</v>
      </c>
      <c r="B10">
        <f t="shared" si="0"/>
        <v>19</v>
      </c>
      <c r="C10">
        <f t="shared" si="1"/>
        <v>17.713680039871544</v>
      </c>
      <c r="D10" cm="1">
        <f t="array" ref="D10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10">
        <f>IF(Table6[[#This Row],[HomeTeam]]=$A$1,Table6[[#This Row],[ProbH]]*3+Table6[[#This Row],[ProbD]]*1,Table6[[#This Row],[ProbA]]*3+Table6[[#This Row],[ProbD]]*1)</f>
        <v>2.0132908027644869</v>
      </c>
      <c r="G10" s="75"/>
      <c r="H10" t="s">
        <v>314</v>
      </c>
      <c r="I10" t="s">
        <v>325</v>
      </c>
      <c r="J10">
        <v>2</v>
      </c>
      <c r="K10">
        <v>1</v>
      </c>
      <c r="L10" t="s">
        <v>175</v>
      </c>
      <c r="M10">
        <v>1.65</v>
      </c>
      <c r="N10">
        <v>3.8</v>
      </c>
      <c r="O10">
        <v>5.5</v>
      </c>
      <c r="P10">
        <f>(1/Table6[[#This Row],[OddH]]+1/Table6[[#This Row],[OddD]]+1/Table6[[#This Row],[OddA]]-1)/3</f>
        <v>1.7012227538543367E-2</v>
      </c>
      <c r="Q10">
        <f>1/Table6[[#This Row],[OddH]]-Table6[[#This Row],[Margin]]</f>
        <v>0.58904837852206271</v>
      </c>
      <c r="R10">
        <f>1/Table6[[#This Row],[OddD]]-Table6[[#This Row],[Margin]]</f>
        <v>0.24614566719829872</v>
      </c>
      <c r="S10">
        <f>1/Table6[[#This Row],[OddA]]-Table6[[#This Row],[Margin]]</f>
        <v>0.16480595427963846</v>
      </c>
      <c r="U10">
        <v>1</v>
      </c>
    </row>
    <row r="11" spans="1:21" x14ac:dyDescent="0.45">
      <c r="A11" t="s">
        <v>243</v>
      </c>
      <c r="B11">
        <f t="shared" si="0"/>
        <v>20</v>
      </c>
      <c r="C11">
        <f t="shared" si="1"/>
        <v>19.884314960506465</v>
      </c>
      <c r="D11" cm="1">
        <f t="array" ref="D11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11">
        <f>IF(Table6[[#This Row],[HomeTeam]]=$A$1,Table6[[#This Row],[ProbH]]*3+Table6[[#This Row],[ProbD]]*1,Table6[[#This Row],[ProbA]]*3+Table6[[#This Row],[ProbD]]*1)</f>
        <v>2.1706349206349205</v>
      </c>
      <c r="G11" s="75"/>
      <c r="H11" t="s">
        <v>314</v>
      </c>
      <c r="I11" t="s">
        <v>71</v>
      </c>
      <c r="J11">
        <v>2</v>
      </c>
      <c r="K11">
        <v>2</v>
      </c>
      <c r="L11" t="s">
        <v>172</v>
      </c>
      <c r="M11">
        <v>1.5</v>
      </c>
      <c r="N11">
        <v>4</v>
      </c>
      <c r="O11">
        <v>7</v>
      </c>
      <c r="P11">
        <f>(1/Table6[[#This Row],[OddH]]+1/Table6[[#This Row],[OddD]]+1/Table6[[#This Row],[OddA]]-1)/3</f>
        <v>1.9841269841269844E-2</v>
      </c>
      <c r="Q11">
        <f>1/Table6[[#This Row],[OddH]]-Table6[[#This Row],[Margin]]</f>
        <v>0.64682539682539675</v>
      </c>
      <c r="R11">
        <f>1/Table6[[#This Row],[OddD]]-Table6[[#This Row],[Margin]]</f>
        <v>0.23015873015873015</v>
      </c>
      <c r="S11">
        <f>1/Table6[[#This Row],[OddA]]-Table6[[#This Row],[Margin]]</f>
        <v>0.12301587301587301</v>
      </c>
      <c r="U11">
        <v>0.99999999999999989</v>
      </c>
    </row>
    <row r="12" spans="1:21" x14ac:dyDescent="0.45">
      <c r="A12" t="s">
        <v>244</v>
      </c>
      <c r="B12">
        <f t="shared" si="0"/>
        <v>21</v>
      </c>
      <c r="C12">
        <f t="shared" si="1"/>
        <v>21.377818544735856</v>
      </c>
      <c r="D12" cm="1">
        <f t="array" ref="D12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12">
        <f>IF(Table6[[#This Row],[HomeTeam]]=$A$1,Table6[[#This Row],[ProbH]]*3+Table6[[#This Row],[ProbD]]*1,Table6[[#This Row],[ProbA]]*3+Table6[[#This Row],[ProbD]]*1)</f>
        <v>1.4935035842293907</v>
      </c>
      <c r="G12" s="75"/>
      <c r="H12" t="s">
        <v>314</v>
      </c>
      <c r="I12" t="s">
        <v>316</v>
      </c>
      <c r="J12">
        <v>1</v>
      </c>
      <c r="K12">
        <v>1</v>
      </c>
      <c r="L12" t="s">
        <v>172</v>
      </c>
      <c r="M12">
        <v>2.4</v>
      </c>
      <c r="N12">
        <v>3.2</v>
      </c>
      <c r="O12">
        <v>3.1</v>
      </c>
      <c r="P12">
        <f>(1/Table6[[#This Row],[OddH]]+1/Table6[[#This Row],[OddD]]+1/Table6[[#This Row],[OddA]]-1)/3</f>
        <v>1.7249103942652333E-2</v>
      </c>
      <c r="Q12">
        <f>1/Table6[[#This Row],[OddH]]-Table6[[#This Row],[Margin]]</f>
        <v>0.39941756272401435</v>
      </c>
      <c r="R12">
        <f>1/Table6[[#This Row],[OddD]]-Table6[[#This Row],[Margin]]</f>
        <v>0.29525089605734767</v>
      </c>
      <c r="S12">
        <f>1/Table6[[#This Row],[OddA]]-Table6[[#This Row],[Margin]]</f>
        <v>0.30533154121863798</v>
      </c>
      <c r="U12">
        <v>1</v>
      </c>
    </row>
    <row r="13" spans="1:21" x14ac:dyDescent="0.45">
      <c r="A13" t="s">
        <v>245</v>
      </c>
      <c r="B13">
        <f t="shared" si="0"/>
        <v>21</v>
      </c>
      <c r="C13">
        <f t="shared" si="1"/>
        <v>23.172845327378738</v>
      </c>
      <c r="D13" cm="1">
        <f t="array" ref="D13">IF(Table6[[#This Row],[HomeTeam]]=$A$1,_xlfn.IFS(Table6[[#This Row],[FTR]]="H",3,Table6[[#This Row],[FTR]]="D",1,Table6[[#This Row],[FTR]]="A",0),_xlfn.IFS(Table6[[#This Row],[FTR]]="A",3,Table6[[#This Row],[FTR]]="D",1,Table6[[#This Row],[FTR]]="H",0))</f>
        <v>0</v>
      </c>
      <c r="E13">
        <f>IF(Table6[[#This Row],[HomeTeam]]=$A$1,Table6[[#This Row],[ProbH]]*3+Table6[[#This Row],[ProbD]]*1,Table6[[#This Row],[ProbA]]*3+Table6[[#This Row],[ProbD]]*1)</f>
        <v>1.7950267826428816</v>
      </c>
      <c r="G13" s="75"/>
      <c r="H13" t="s">
        <v>314</v>
      </c>
      <c r="I13" t="s">
        <v>68</v>
      </c>
      <c r="J13">
        <v>1</v>
      </c>
      <c r="K13">
        <v>2</v>
      </c>
      <c r="L13" t="s">
        <v>180</v>
      </c>
      <c r="M13">
        <v>1.9</v>
      </c>
      <c r="N13">
        <v>3.4</v>
      </c>
      <c r="O13">
        <v>4.2</v>
      </c>
      <c r="P13">
        <f>(1/Table6[[#This Row],[OddH]]+1/Table6[[#This Row],[OddD]]+1/Table6[[#This Row],[OddA]]-1)/3</f>
        <v>1.9509558209248601E-2</v>
      </c>
      <c r="Q13">
        <f>1/Table6[[#This Row],[OddH]]-Table6[[#This Row],[Margin]]</f>
        <v>0.50680623126443558</v>
      </c>
      <c r="R13">
        <f>1/Table6[[#This Row],[OddD]]-Table6[[#This Row],[Margin]]</f>
        <v>0.27460808884957494</v>
      </c>
      <c r="S13">
        <f>1/Table6[[#This Row],[OddA]]-Table6[[#This Row],[Margin]]</f>
        <v>0.21858567988598948</v>
      </c>
      <c r="U13">
        <v>1</v>
      </c>
    </row>
    <row r="14" spans="1:21" x14ac:dyDescent="0.45">
      <c r="A14" t="s">
        <v>246</v>
      </c>
      <c r="B14">
        <f t="shared" si="0"/>
        <v>21</v>
      </c>
      <c r="C14">
        <f t="shared" si="1"/>
        <v>24.375267425250144</v>
      </c>
      <c r="D14" cm="1">
        <f t="array" ref="D14">IF(Table6[[#This Row],[HomeTeam]]=$A$1,_xlfn.IFS(Table6[[#This Row],[FTR]]="H",3,Table6[[#This Row],[FTR]]="D",1,Table6[[#This Row],[FTR]]="A",0),_xlfn.IFS(Table6[[#This Row],[FTR]]="A",3,Table6[[#This Row],[FTR]]="D",1,Table6[[#This Row],[FTR]]="H",0))</f>
        <v>0</v>
      </c>
      <c r="E14">
        <f>IF(Table6[[#This Row],[HomeTeam]]=$A$1,Table6[[#This Row],[ProbH]]*3+Table6[[#This Row],[ProbD]]*1,Table6[[#This Row],[ProbA]]*3+Table6[[#This Row],[ProbD]]*1)</f>
        <v>1.2024220978714066</v>
      </c>
      <c r="G14" s="75"/>
      <c r="H14" t="s">
        <v>314</v>
      </c>
      <c r="I14" t="s">
        <v>313</v>
      </c>
      <c r="J14">
        <v>0</v>
      </c>
      <c r="K14">
        <v>2</v>
      </c>
      <c r="L14" t="s">
        <v>180</v>
      </c>
      <c r="M14">
        <v>3.2</v>
      </c>
      <c r="N14">
        <v>3.1</v>
      </c>
      <c r="O14">
        <v>2.4500000000000002</v>
      </c>
      <c r="P14">
        <f>(1/Table6[[#This Row],[OddH]]+1/Table6[[#This Row],[OddD]]+1/Table6[[#This Row],[OddA]]-1)/3</f>
        <v>1.4414636822470905E-2</v>
      </c>
      <c r="Q14">
        <f>1/Table6[[#This Row],[OddH]]-Table6[[#This Row],[Margin]]</f>
        <v>0.29808536317752909</v>
      </c>
      <c r="R14">
        <f>1/Table6[[#This Row],[OddD]]-Table6[[#This Row],[Margin]]</f>
        <v>0.30816600833881941</v>
      </c>
      <c r="S14">
        <f>1/Table6[[#This Row],[OddA]]-Table6[[#This Row],[Margin]]</f>
        <v>0.3937486284836515</v>
      </c>
      <c r="U14">
        <v>1</v>
      </c>
    </row>
    <row r="15" spans="1:21" x14ac:dyDescent="0.45">
      <c r="A15" t="s">
        <v>247</v>
      </c>
      <c r="B15">
        <f t="shared" si="0"/>
        <v>24</v>
      </c>
      <c r="C15">
        <f t="shared" si="1"/>
        <v>26.608865308848028</v>
      </c>
      <c r="D15" cm="1">
        <f t="array" ref="D15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15">
        <f>IF(Table6[[#This Row],[HomeTeam]]=$A$1,Table6[[#This Row],[ProbH]]*3+Table6[[#This Row],[ProbD]]*1,Table6[[#This Row],[ProbA]]*3+Table6[[#This Row],[ProbD]]*1)</f>
        <v>2.2335978835978834</v>
      </c>
      <c r="G15" s="75"/>
      <c r="H15" t="s">
        <v>314</v>
      </c>
      <c r="I15" t="s">
        <v>321</v>
      </c>
      <c r="J15">
        <v>2</v>
      </c>
      <c r="K15">
        <v>1</v>
      </c>
      <c r="L15" t="s">
        <v>175</v>
      </c>
      <c r="M15">
        <v>1.44</v>
      </c>
      <c r="N15">
        <v>4.2</v>
      </c>
      <c r="O15">
        <v>7.5</v>
      </c>
      <c r="P15">
        <f>(1/Table6[[#This Row],[OddH]]+1/Table6[[#This Row],[OddD]]+1/Table6[[#This Row],[OddA]]-1)/3</f>
        <v>2.1957671957671954E-2</v>
      </c>
      <c r="Q15">
        <f>1/Table6[[#This Row],[OddH]]-Table6[[#This Row],[Margin]]</f>
        <v>0.67248677248677247</v>
      </c>
      <c r="R15">
        <f>1/Table6[[#This Row],[OddD]]-Table6[[#This Row],[Margin]]</f>
        <v>0.21613756613756613</v>
      </c>
      <c r="S15">
        <f>1/Table6[[#This Row],[OddA]]-Table6[[#This Row],[Margin]]</f>
        <v>0.11137566137566138</v>
      </c>
      <c r="U15">
        <v>1.0000000000000002</v>
      </c>
    </row>
    <row r="16" spans="1:21" x14ac:dyDescent="0.45">
      <c r="A16" t="s">
        <v>248</v>
      </c>
      <c r="B16">
        <f t="shared" si="0"/>
        <v>24</v>
      </c>
      <c r="C16">
        <f t="shared" si="1"/>
        <v>28.662580514737147</v>
      </c>
      <c r="D16" cm="1">
        <f t="array" ref="D16">IF(Table6[[#This Row],[HomeTeam]]=$A$1,_xlfn.IFS(Table6[[#This Row],[FTR]]="H",3,Table6[[#This Row],[FTR]]="D",1,Table6[[#This Row],[FTR]]="A",0),_xlfn.IFS(Table6[[#This Row],[FTR]]="A",3,Table6[[#This Row],[FTR]]="D",1,Table6[[#This Row],[FTR]]="H",0))</f>
        <v>0</v>
      </c>
      <c r="E16">
        <f>IF(Table6[[#This Row],[HomeTeam]]=$A$1,Table6[[#This Row],[ProbH]]*3+Table6[[#This Row],[ProbD]]*1,Table6[[#This Row],[ProbA]]*3+Table6[[#This Row],[ProbD]]*1)</f>
        <v>2.0537152058891186</v>
      </c>
      <c r="G16" s="75"/>
      <c r="H16" t="s">
        <v>314</v>
      </c>
      <c r="I16" t="s">
        <v>318</v>
      </c>
      <c r="J16">
        <v>1</v>
      </c>
      <c r="K16">
        <v>2</v>
      </c>
      <c r="L16" t="s">
        <v>180</v>
      </c>
      <c r="M16">
        <v>1.61</v>
      </c>
      <c r="N16">
        <v>3.6</v>
      </c>
      <c r="O16">
        <v>6</v>
      </c>
      <c r="P16">
        <f>(1/Table6[[#This Row],[OddH]]+1/Table6[[#This Row],[OddD]]+1/Table6[[#This Row],[OddA]]-1)/3</f>
        <v>2.1854152288934909E-2</v>
      </c>
      <c r="Q16">
        <f>1/Table6[[#This Row],[OddH]]-Table6[[#This Row],[Margin]]</f>
        <v>0.59926386013342525</v>
      </c>
      <c r="R16">
        <f>1/Table6[[#This Row],[OddD]]-Table6[[#This Row],[Margin]]</f>
        <v>0.2559236254888429</v>
      </c>
      <c r="S16">
        <f>1/Table6[[#This Row],[OddA]]-Table6[[#This Row],[Margin]]</f>
        <v>0.14481251437773174</v>
      </c>
      <c r="U16">
        <v>0.99999999999999978</v>
      </c>
    </row>
    <row r="17" spans="1:21" x14ac:dyDescent="0.45">
      <c r="A17" t="s">
        <v>249</v>
      </c>
      <c r="B17">
        <f t="shared" si="0"/>
        <v>24</v>
      </c>
      <c r="C17">
        <f t="shared" si="1"/>
        <v>29.483706287670149</v>
      </c>
      <c r="D17" cm="1">
        <f t="array" ref="D17">IF(Table6[[#This Row],[HomeTeam]]=$A$1,_xlfn.IFS(Table6[[#This Row],[FTR]]="H",3,Table6[[#This Row],[FTR]]="D",1,Table6[[#This Row],[FTR]]="A",0),_xlfn.IFS(Table6[[#This Row],[FTR]]="A",3,Table6[[#This Row],[FTR]]="D",1,Table6[[#This Row],[FTR]]="H",0))</f>
        <v>0</v>
      </c>
      <c r="E17">
        <f>IF(Table6[[#This Row],[HomeTeam]]=$A$1,Table6[[#This Row],[ProbH]]*3+Table6[[#This Row],[ProbD]]*1,Table6[[#This Row],[ProbA]]*3+Table6[[#This Row],[ProbD]]*1)</f>
        <v>0.82112577293300171</v>
      </c>
      <c r="G17" s="75"/>
      <c r="H17" t="s">
        <v>314</v>
      </c>
      <c r="I17" t="s">
        <v>147</v>
      </c>
      <c r="J17">
        <v>1</v>
      </c>
      <c r="K17">
        <v>2</v>
      </c>
      <c r="L17" t="s">
        <v>180</v>
      </c>
      <c r="M17">
        <v>4.5</v>
      </c>
      <c r="N17">
        <v>4.2</v>
      </c>
      <c r="O17">
        <v>1.66</v>
      </c>
      <c r="P17">
        <f>(1/Table6[[#This Row],[OddH]]+1/Table6[[#This Row],[OddD]]+1/Table6[[#This Row],[OddA]]-1)/3</f>
        <v>2.0909032957225755E-2</v>
      </c>
      <c r="Q17">
        <f>1/Table6[[#This Row],[OddH]]-Table6[[#This Row],[Margin]]</f>
        <v>0.20131318926499644</v>
      </c>
      <c r="R17">
        <f>1/Table6[[#This Row],[OddD]]-Table6[[#This Row],[Margin]]</f>
        <v>0.21718620513801232</v>
      </c>
      <c r="S17">
        <f>1/Table6[[#This Row],[OddA]]-Table6[[#This Row],[Margin]]</f>
        <v>0.58150060559699113</v>
      </c>
      <c r="U17">
        <v>0.99999999999999989</v>
      </c>
    </row>
    <row r="18" spans="1:21" x14ac:dyDescent="0.45">
      <c r="A18" t="s">
        <v>250</v>
      </c>
      <c r="B18">
        <f t="shared" si="0"/>
        <v>27</v>
      </c>
      <c r="C18">
        <f t="shared" si="1"/>
        <v>31.170544633886124</v>
      </c>
      <c r="D18" cm="1">
        <f t="array" ref="D18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18">
        <f>IF(Table6[[#This Row],[HomeTeam]]=$A$1,Table6[[#This Row],[ProbH]]*3+Table6[[#This Row],[ProbD]]*1,Table6[[#This Row],[ProbA]]*3+Table6[[#This Row],[ProbD]]*1)</f>
        <v>1.6868383462159742</v>
      </c>
      <c r="G18" s="75"/>
      <c r="H18" t="s">
        <v>314</v>
      </c>
      <c r="I18" t="s">
        <v>69</v>
      </c>
      <c r="J18">
        <v>1</v>
      </c>
      <c r="K18">
        <v>0</v>
      </c>
      <c r="L18" t="s">
        <v>175</v>
      </c>
      <c r="M18">
        <v>2.1</v>
      </c>
      <c r="N18">
        <v>2.9</v>
      </c>
      <c r="O18">
        <v>4.0999999999999996</v>
      </c>
      <c r="P18">
        <f>(1/Table6[[#This Row],[OddH]]+1/Table6[[#This Row],[OddD]]+1/Table6[[#This Row],[OddA]]-1)/3</f>
        <v>2.1640167140587696E-2</v>
      </c>
      <c r="Q18">
        <f>1/Table6[[#This Row],[OddH]]-Table6[[#This Row],[Margin]]</f>
        <v>0.45455030904988847</v>
      </c>
      <c r="R18">
        <f>1/Table6[[#This Row],[OddD]]-Table6[[#This Row],[Margin]]</f>
        <v>0.32318741906630888</v>
      </c>
      <c r="S18">
        <f>1/Table6[[#This Row],[OddA]]-Table6[[#This Row],[Margin]]</f>
        <v>0.22226227188380257</v>
      </c>
      <c r="U18">
        <v>1</v>
      </c>
    </row>
    <row r="19" spans="1:21" x14ac:dyDescent="0.45">
      <c r="A19" t="s">
        <v>251</v>
      </c>
      <c r="B19">
        <f t="shared" si="0"/>
        <v>27</v>
      </c>
      <c r="C19">
        <f t="shared" si="1"/>
        <v>32.915109036345264</v>
      </c>
      <c r="D19" cm="1">
        <f t="array" ref="D19">IF(Table6[[#This Row],[HomeTeam]]=$A$1,_xlfn.IFS(Table6[[#This Row],[FTR]]="H",3,Table6[[#This Row],[FTR]]="D",1,Table6[[#This Row],[FTR]]="A",0),_xlfn.IFS(Table6[[#This Row],[FTR]]="A",3,Table6[[#This Row],[FTR]]="D",1,Table6[[#This Row],[FTR]]="H",0))</f>
        <v>0</v>
      </c>
      <c r="E19">
        <f>IF(Table6[[#This Row],[HomeTeam]]=$A$1,Table6[[#This Row],[ProbH]]*3+Table6[[#This Row],[ProbD]]*1,Table6[[#This Row],[ProbA]]*3+Table6[[#This Row],[ProbD]]*1)</f>
        <v>1.7445644024591396</v>
      </c>
      <c r="G19" s="75"/>
      <c r="H19" t="s">
        <v>314</v>
      </c>
      <c r="I19" t="s">
        <v>315</v>
      </c>
      <c r="J19">
        <v>2</v>
      </c>
      <c r="K19">
        <v>4</v>
      </c>
      <c r="L19" t="s">
        <v>180</v>
      </c>
      <c r="M19">
        <v>1.95</v>
      </c>
      <c r="N19">
        <v>3.6</v>
      </c>
      <c r="O19">
        <v>3.8</v>
      </c>
      <c r="P19">
        <f>(1/Table6[[#This Row],[OddH]]+1/Table6[[#This Row],[OddD]]+1/Table6[[#This Row],[OddA]]-1)/3</f>
        <v>1.7918728445044236E-2</v>
      </c>
      <c r="Q19">
        <f>1/Table6[[#This Row],[OddH]]-Table6[[#This Row],[Margin]]</f>
        <v>0.49490178437546867</v>
      </c>
      <c r="R19">
        <f>1/Table6[[#This Row],[OddD]]-Table6[[#This Row],[Margin]]</f>
        <v>0.25985904933273357</v>
      </c>
      <c r="S19">
        <f>1/Table6[[#This Row],[OddA]]-Table6[[#This Row],[Margin]]</f>
        <v>0.24523916629179784</v>
      </c>
      <c r="U19">
        <v>1</v>
      </c>
    </row>
    <row r="20" spans="1:21" x14ac:dyDescent="0.45">
      <c r="A20" t="s">
        <v>252</v>
      </c>
      <c r="B20">
        <f t="shared" si="0"/>
        <v>30</v>
      </c>
      <c r="C20">
        <f t="shared" si="1"/>
        <v>34.389061960110219</v>
      </c>
      <c r="D20" cm="1">
        <f t="array" ref="D20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20">
        <f>IF(Table6[[#This Row],[HomeTeam]]=$A$1,Table6[[#This Row],[ProbH]]*3+Table6[[#This Row],[ProbD]]*1,Table6[[#This Row],[ProbA]]*3+Table6[[#This Row],[ProbD]]*1)</f>
        <v>1.4739529237649571</v>
      </c>
      <c r="G20" s="75"/>
      <c r="H20" t="s">
        <v>314</v>
      </c>
      <c r="I20" t="s">
        <v>317</v>
      </c>
      <c r="J20">
        <v>4</v>
      </c>
      <c r="K20">
        <v>0</v>
      </c>
      <c r="L20" t="s">
        <v>175</v>
      </c>
      <c r="M20">
        <v>2.37</v>
      </c>
      <c r="N20">
        <v>3.4</v>
      </c>
      <c r="O20">
        <v>2.87</v>
      </c>
      <c r="P20">
        <f>(1/Table6[[#This Row],[OddH]]+1/Table6[[#This Row],[OddD]]+1/Table6[[#This Row],[OddA]]-1)/3</f>
        <v>2.1496877025998229E-2</v>
      </c>
      <c r="Q20">
        <f>1/Table6[[#This Row],[OddH]]-Table6[[#This Row],[Margin]]</f>
        <v>0.40044405124404392</v>
      </c>
      <c r="R20">
        <f>1/Table6[[#This Row],[OddD]]-Table6[[#This Row],[Margin]]</f>
        <v>0.27262077003282531</v>
      </c>
      <c r="S20">
        <f>1/Table6[[#This Row],[OddA]]-Table6[[#This Row],[Margin]]</f>
        <v>0.32693517872313066</v>
      </c>
      <c r="U20">
        <v>1</v>
      </c>
    </row>
    <row r="21" spans="1:21" x14ac:dyDescent="0.45">
      <c r="A21" t="s">
        <v>253</v>
      </c>
      <c r="B21">
        <f t="shared" si="0"/>
        <v>30</v>
      </c>
      <c r="C21">
        <f t="shared" si="1"/>
        <v>35.051731082159861</v>
      </c>
      <c r="D21" cm="1">
        <f t="array" ref="D21">IF(Table6[[#This Row],[HomeTeam]]=$A$1,_xlfn.IFS(Table6[[#This Row],[FTR]]="H",3,Table6[[#This Row],[FTR]]="D",1,Table6[[#This Row],[FTR]]="A",0),_xlfn.IFS(Table6[[#This Row],[FTR]]="A",3,Table6[[#This Row],[FTR]]="D",1,Table6[[#This Row],[FTR]]="H",0))</f>
        <v>0</v>
      </c>
      <c r="E21">
        <f>IF(Table6[[#This Row],[HomeTeam]]=$A$1,Table6[[#This Row],[ProbH]]*3+Table6[[#This Row],[ProbD]]*1,Table6[[#This Row],[ProbA]]*3+Table6[[#This Row],[ProbD]]*1)</f>
        <v>0.6626691220496409</v>
      </c>
      <c r="G21" s="75"/>
      <c r="H21" t="s">
        <v>147</v>
      </c>
      <c r="I21" t="s">
        <v>314</v>
      </c>
      <c r="J21">
        <v>4</v>
      </c>
      <c r="K21">
        <v>0</v>
      </c>
      <c r="L21" t="s">
        <v>175</v>
      </c>
      <c r="M21">
        <v>1.53</v>
      </c>
      <c r="N21">
        <v>4.33</v>
      </c>
      <c r="O21">
        <v>6</v>
      </c>
      <c r="P21">
        <f>(1/Table6[[#This Row],[OddH]]+1/Table6[[#This Row],[OddD]]+1/Table6[[#This Row],[OddA]]-1)/3</f>
        <v>1.7069440041862283E-2</v>
      </c>
      <c r="Q21">
        <f>1/Table6[[#This Row],[OddH]]-Table6[[#This Row],[Margin]]</f>
        <v>0.63652533119996779</v>
      </c>
      <c r="R21">
        <f>1/Table6[[#This Row],[OddD]]-Table6[[#This Row],[Margin]]</f>
        <v>0.21387744217522778</v>
      </c>
      <c r="S21">
        <f>1/Table6[[#This Row],[OddA]]-Table6[[#This Row],[Margin]]</f>
        <v>0.14959722662480437</v>
      </c>
      <c r="U21">
        <v>1</v>
      </c>
    </row>
    <row r="22" spans="1:21" x14ac:dyDescent="0.45">
      <c r="A22" t="s">
        <v>254</v>
      </c>
      <c r="B22">
        <f t="shared" si="0"/>
        <v>31</v>
      </c>
      <c r="C22">
        <f t="shared" si="1"/>
        <v>35.77446728315693</v>
      </c>
      <c r="D22" cm="1">
        <f t="array" ref="D22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22">
        <f>IF(Table6[[#This Row],[HomeTeam]]=$A$1,Table6[[#This Row],[ProbH]]*3+Table6[[#This Row],[ProbD]]*1,Table6[[#This Row],[ProbA]]*3+Table6[[#This Row],[ProbD]]*1)</f>
        <v>0.72273620099707048</v>
      </c>
      <c r="G22" s="75"/>
      <c r="H22" t="s">
        <v>313</v>
      </c>
      <c r="I22" t="s">
        <v>314</v>
      </c>
      <c r="J22">
        <v>0</v>
      </c>
      <c r="K22">
        <v>0</v>
      </c>
      <c r="L22" t="s">
        <v>172</v>
      </c>
      <c r="M22">
        <v>1.61</v>
      </c>
      <c r="N22">
        <v>3.9</v>
      </c>
      <c r="O22">
        <v>5.5</v>
      </c>
      <c r="P22">
        <f>(1/Table6[[#This Row],[OddH]]+1/Table6[[#This Row],[OddD]]+1/Table6[[#This Row],[OddA]]-1)/3</f>
        <v>1.9782150216932859E-2</v>
      </c>
      <c r="Q22">
        <f>1/Table6[[#This Row],[OddH]]-Table6[[#This Row],[Margin]]</f>
        <v>0.60133586220542734</v>
      </c>
      <c r="R22">
        <f>1/Table6[[#This Row],[OddD]]-Table6[[#This Row],[Margin]]</f>
        <v>0.23662810619332358</v>
      </c>
      <c r="S22">
        <f>1/Table6[[#This Row],[OddA]]-Table6[[#This Row],[Margin]]</f>
        <v>0.16203603160124896</v>
      </c>
      <c r="U22">
        <v>0.99999999999999989</v>
      </c>
    </row>
    <row r="23" spans="1:21" x14ac:dyDescent="0.45">
      <c r="A23" t="s">
        <v>255</v>
      </c>
      <c r="B23">
        <f t="shared" si="0"/>
        <v>32</v>
      </c>
      <c r="C23">
        <f t="shared" si="1"/>
        <v>37.430070938760586</v>
      </c>
      <c r="D23" cm="1">
        <f t="array" ref="D23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23">
        <f>IF(Table6[[#This Row],[HomeTeam]]=$A$1,Table6[[#This Row],[ProbH]]*3+Table6[[#This Row],[ProbD]]*1,Table6[[#This Row],[ProbA]]*3+Table6[[#This Row],[ProbD]]*1)</f>
        <v>1.6556036556036551</v>
      </c>
      <c r="G23" s="75"/>
      <c r="H23" t="s">
        <v>321</v>
      </c>
      <c r="I23" t="s">
        <v>314</v>
      </c>
      <c r="J23">
        <v>0</v>
      </c>
      <c r="K23">
        <v>0</v>
      </c>
      <c r="L23" t="s">
        <v>172</v>
      </c>
      <c r="M23">
        <v>3.6</v>
      </c>
      <c r="N23">
        <v>3.3</v>
      </c>
      <c r="O23">
        <v>2.1</v>
      </c>
      <c r="P23">
        <f>(1/Table6[[#This Row],[OddH]]+1/Table6[[#This Row],[OddD]]+1/Table6[[#This Row],[OddA]]-1)/3</f>
        <v>1.8999518999519054E-2</v>
      </c>
      <c r="Q23">
        <f>1/Table6[[#This Row],[OddH]]-Table6[[#This Row],[Margin]]</f>
        <v>0.25877825877825872</v>
      </c>
      <c r="R23">
        <f>1/Table6[[#This Row],[OddD]]-Table6[[#This Row],[Margin]]</f>
        <v>0.28403078403078397</v>
      </c>
      <c r="S23">
        <f>1/Table6[[#This Row],[OddA]]-Table6[[#This Row],[Margin]]</f>
        <v>0.45719095719095709</v>
      </c>
      <c r="U23">
        <v>1</v>
      </c>
    </row>
    <row r="24" spans="1:21" x14ac:dyDescent="0.45">
      <c r="A24" t="s">
        <v>256</v>
      </c>
      <c r="B24">
        <f t="shared" si="0"/>
        <v>35</v>
      </c>
      <c r="C24">
        <f t="shared" si="1"/>
        <v>38.678099612595709</v>
      </c>
      <c r="D24" cm="1">
        <f t="array" ref="D24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24">
        <f>IF(Table6[[#This Row],[HomeTeam]]=$A$1,Table6[[#This Row],[ProbH]]*3+Table6[[#This Row],[ProbD]]*1,Table6[[#This Row],[ProbA]]*3+Table6[[#This Row],[ProbD]]*1)</f>
        <v>1.2480286738351254</v>
      </c>
      <c r="G24" s="75"/>
      <c r="H24" t="s">
        <v>69</v>
      </c>
      <c r="I24" t="s">
        <v>314</v>
      </c>
      <c r="J24">
        <v>1</v>
      </c>
      <c r="K24">
        <v>3</v>
      </c>
      <c r="L24" t="s">
        <v>180</v>
      </c>
      <c r="M24">
        <v>2.5</v>
      </c>
      <c r="N24">
        <v>3.1</v>
      </c>
      <c r="O24">
        <v>3</v>
      </c>
      <c r="P24">
        <f>(1/Table6[[#This Row],[OddH]]+1/Table6[[#This Row],[OddD]]+1/Table6[[#This Row],[OddA]]-1)/3</f>
        <v>1.8637992831541217E-2</v>
      </c>
      <c r="Q24">
        <f>1/Table6[[#This Row],[OddH]]-Table6[[#This Row],[Margin]]</f>
        <v>0.38136200716845881</v>
      </c>
      <c r="R24">
        <f>1/Table6[[#This Row],[OddD]]-Table6[[#This Row],[Margin]]</f>
        <v>0.3039426523297491</v>
      </c>
      <c r="S24">
        <f>1/Table6[[#This Row],[OddA]]-Table6[[#This Row],[Margin]]</f>
        <v>0.3146953405017921</v>
      </c>
      <c r="U24">
        <v>1</v>
      </c>
    </row>
    <row r="25" spans="1:21" x14ac:dyDescent="0.45">
      <c r="A25" t="s">
        <v>257</v>
      </c>
      <c r="B25">
        <f t="shared" si="0"/>
        <v>36</v>
      </c>
      <c r="C25">
        <f t="shared" si="1"/>
        <v>39.774115796847184</v>
      </c>
      <c r="D25" cm="1">
        <f t="array" ref="D25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25">
        <f>IF(Table6[[#This Row],[HomeTeam]]=$A$1,Table6[[#This Row],[ProbH]]*3+Table6[[#This Row],[ProbD]]*1,Table6[[#This Row],[ProbA]]*3+Table6[[#This Row],[ProbD]]*1)</f>
        <v>1.0960161842514782</v>
      </c>
      <c r="G25" s="75"/>
      <c r="H25" t="s">
        <v>316</v>
      </c>
      <c r="I25" t="s">
        <v>314</v>
      </c>
      <c r="J25">
        <v>1</v>
      </c>
      <c r="K25">
        <v>1</v>
      </c>
      <c r="L25" t="s">
        <v>172</v>
      </c>
      <c r="M25">
        <v>2.1</v>
      </c>
      <c r="N25">
        <v>3.6</v>
      </c>
      <c r="O25">
        <v>3.4</v>
      </c>
      <c r="P25">
        <f>(1/Table6[[#This Row],[OddH]]+1/Table6[[#This Row],[OddD]]+1/Table6[[#This Row],[OddA]]-1)/3</f>
        <v>1.6028633675692516E-2</v>
      </c>
      <c r="Q25">
        <f>1/Table6[[#This Row],[OddH]]-Table6[[#This Row],[Margin]]</f>
        <v>0.46016184251478365</v>
      </c>
      <c r="R25">
        <f>1/Table6[[#This Row],[OddD]]-Table6[[#This Row],[Margin]]</f>
        <v>0.26174914410208527</v>
      </c>
      <c r="S25">
        <f>1/Table6[[#This Row],[OddA]]-Table6[[#This Row],[Margin]]</f>
        <v>0.27808901338313102</v>
      </c>
      <c r="U25">
        <v>1</v>
      </c>
    </row>
    <row r="26" spans="1:21" x14ac:dyDescent="0.45">
      <c r="A26" t="s">
        <v>258</v>
      </c>
      <c r="B26">
        <f t="shared" si="0"/>
        <v>37</v>
      </c>
      <c r="C26">
        <f t="shared" si="1"/>
        <v>41.322844248801445</v>
      </c>
      <c r="D26" cm="1">
        <f t="array" ref="D26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26">
        <f>IF(Table6[[#This Row],[HomeTeam]]=$A$1,Table6[[#This Row],[ProbH]]*3+Table6[[#This Row],[ProbD]]*1,Table6[[#This Row],[ProbA]]*3+Table6[[#This Row],[ProbD]]*1)</f>
        <v>1.5487284519542583</v>
      </c>
      <c r="G26" s="75"/>
      <c r="H26" t="s">
        <v>68</v>
      </c>
      <c r="I26" t="s">
        <v>314</v>
      </c>
      <c r="J26">
        <v>1</v>
      </c>
      <c r="K26">
        <v>1</v>
      </c>
      <c r="L26" t="s">
        <v>172</v>
      </c>
      <c r="M26">
        <v>3.1</v>
      </c>
      <c r="N26">
        <v>3.5</v>
      </c>
      <c r="O26">
        <v>2.25</v>
      </c>
      <c r="P26">
        <f>(1/Table6[[#This Row],[OddH]]+1/Table6[[#This Row],[OddD]]+1/Table6[[#This Row],[OddA]]-1)/3</f>
        <v>1.7579791773340164E-2</v>
      </c>
      <c r="Q26">
        <f>1/Table6[[#This Row],[OddH]]-Table6[[#This Row],[Margin]]</f>
        <v>0.30500085338795013</v>
      </c>
      <c r="R26">
        <f>1/Table6[[#This Row],[OddD]]-Table6[[#This Row],[Margin]]</f>
        <v>0.26813449394094552</v>
      </c>
      <c r="S26">
        <f>1/Table6[[#This Row],[OddA]]-Table6[[#This Row],[Margin]]</f>
        <v>0.42686465267110424</v>
      </c>
      <c r="U26">
        <v>1</v>
      </c>
    </row>
    <row r="27" spans="1:21" x14ac:dyDescent="0.45">
      <c r="A27" t="s">
        <v>259</v>
      </c>
      <c r="B27">
        <f t="shared" si="0"/>
        <v>40</v>
      </c>
      <c r="C27">
        <f t="shared" si="1"/>
        <v>42.981418789728927</v>
      </c>
      <c r="D27" cm="1">
        <f t="array" ref="D27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27">
        <f>IF(Table6[[#This Row],[HomeTeam]]=$A$1,Table6[[#This Row],[ProbH]]*3+Table6[[#This Row],[ProbD]]*1,Table6[[#This Row],[ProbA]]*3+Table6[[#This Row],[ProbD]]*1)</f>
        <v>1.6585745409274821</v>
      </c>
      <c r="G27" s="75"/>
      <c r="H27" t="s">
        <v>318</v>
      </c>
      <c r="I27" t="s">
        <v>314</v>
      </c>
      <c r="J27">
        <v>1</v>
      </c>
      <c r="K27">
        <v>3</v>
      </c>
      <c r="L27" t="s">
        <v>180</v>
      </c>
      <c r="M27">
        <v>3.6</v>
      </c>
      <c r="N27">
        <v>3.4</v>
      </c>
      <c r="O27">
        <v>2.1</v>
      </c>
      <c r="P27">
        <f>(1/Table6[[#This Row],[OddH]]+1/Table6[[#This Row],[OddD]]+1/Table6[[#This Row],[OddA]]-1)/3</f>
        <v>1.6028633675692443E-2</v>
      </c>
      <c r="Q27">
        <f>1/Table6[[#This Row],[OddH]]-Table6[[#This Row],[Margin]]</f>
        <v>0.26174914410208533</v>
      </c>
      <c r="R27">
        <f>1/Table6[[#This Row],[OddD]]-Table6[[#This Row],[Margin]]</f>
        <v>0.27808901338313108</v>
      </c>
      <c r="S27">
        <f>1/Table6[[#This Row],[OddA]]-Table6[[#This Row],[Margin]]</f>
        <v>0.4601618425147837</v>
      </c>
      <c r="U27">
        <v>1</v>
      </c>
    </row>
    <row r="28" spans="1:21" x14ac:dyDescent="0.45">
      <c r="A28" t="s">
        <v>260</v>
      </c>
      <c r="B28">
        <f t="shared" si="0"/>
        <v>40</v>
      </c>
      <c r="C28">
        <f t="shared" si="1"/>
        <v>44.133969942280082</v>
      </c>
      <c r="D28" cm="1">
        <f t="array" ref="D28">IF(Table6[[#This Row],[HomeTeam]]=$A$1,_xlfn.IFS(Table6[[#This Row],[FTR]]="H",3,Table6[[#This Row],[FTR]]="D",1,Table6[[#This Row],[FTR]]="A",0),_xlfn.IFS(Table6[[#This Row],[FTR]]="A",3,Table6[[#This Row],[FTR]]="D",1,Table6[[#This Row],[FTR]]="H",0))</f>
        <v>0</v>
      </c>
      <c r="E28">
        <f>IF(Table6[[#This Row],[HomeTeam]]=$A$1,Table6[[#This Row],[ProbH]]*3+Table6[[#This Row],[ProbD]]*1,Table6[[#This Row],[ProbA]]*3+Table6[[#This Row],[ProbD]]*1)</f>
        <v>1.1525511525511527</v>
      </c>
      <c r="G28" s="75"/>
      <c r="H28" t="s">
        <v>317</v>
      </c>
      <c r="I28" t="s">
        <v>314</v>
      </c>
      <c r="J28">
        <v>2</v>
      </c>
      <c r="K28">
        <v>0</v>
      </c>
      <c r="L28" t="s">
        <v>175</v>
      </c>
      <c r="M28">
        <v>2.25</v>
      </c>
      <c r="N28">
        <v>3.3</v>
      </c>
      <c r="O28">
        <v>3.25</v>
      </c>
      <c r="P28">
        <f>(1/Table6[[#This Row],[OddH]]+1/Table6[[#This Row],[OddD]]+1/Table6[[#This Row],[OddA]]-1)/3</f>
        <v>1.838901838901837E-2</v>
      </c>
      <c r="Q28">
        <f>1/Table6[[#This Row],[OddH]]-Table6[[#This Row],[Margin]]</f>
        <v>0.42605542605542607</v>
      </c>
      <c r="R28">
        <f>1/Table6[[#This Row],[OddD]]-Table6[[#This Row],[Margin]]</f>
        <v>0.28464128464128469</v>
      </c>
      <c r="S28">
        <f>1/Table6[[#This Row],[OddA]]-Table6[[#This Row],[Margin]]</f>
        <v>0.28930328930328936</v>
      </c>
      <c r="U28">
        <v>1</v>
      </c>
    </row>
    <row r="29" spans="1:21" x14ac:dyDescent="0.45">
      <c r="A29" t="s">
        <v>261</v>
      </c>
      <c r="B29">
        <f t="shared" si="0"/>
        <v>43</v>
      </c>
      <c r="C29">
        <f t="shared" si="1"/>
        <v>45.731712069433975</v>
      </c>
      <c r="D29" cm="1">
        <f t="array" ref="D29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29">
        <f>IF(Table6[[#This Row],[HomeTeam]]=$A$1,Table6[[#This Row],[ProbH]]*3+Table6[[#This Row],[ProbD]]*1,Table6[[#This Row],[ProbA]]*3+Table6[[#This Row],[ProbD]]*1)</f>
        <v>1.5977421271538916</v>
      </c>
      <c r="G29" s="75"/>
      <c r="H29" t="s">
        <v>315</v>
      </c>
      <c r="I29" t="s">
        <v>314</v>
      </c>
      <c r="J29">
        <v>0</v>
      </c>
      <c r="K29">
        <v>4</v>
      </c>
      <c r="L29" t="s">
        <v>180</v>
      </c>
      <c r="M29">
        <v>3.4</v>
      </c>
      <c r="N29">
        <v>3.3</v>
      </c>
      <c r="O29">
        <v>2.2000000000000002</v>
      </c>
      <c r="P29">
        <f>(1/Table6[[#This Row],[OddH]]+1/Table6[[#This Row],[OddD]]+1/Table6[[#This Row],[OddA]]-1)/3</f>
        <v>1.7231134878193721E-2</v>
      </c>
      <c r="Q29">
        <f>1/Table6[[#This Row],[OddH]]-Table6[[#This Row],[Margin]]</f>
        <v>0.27688651218062982</v>
      </c>
      <c r="R29">
        <f>1/Table6[[#This Row],[OddD]]-Table6[[#This Row],[Margin]]</f>
        <v>0.28579916815210932</v>
      </c>
      <c r="S29">
        <f>1/Table6[[#This Row],[OddA]]-Table6[[#This Row],[Margin]]</f>
        <v>0.43731431966726081</v>
      </c>
      <c r="U29">
        <v>1</v>
      </c>
    </row>
    <row r="30" spans="1:21" x14ac:dyDescent="0.45">
      <c r="A30" t="s">
        <v>262</v>
      </c>
      <c r="B30">
        <f t="shared" si="0"/>
        <v>44</v>
      </c>
      <c r="C30">
        <f t="shared" si="1"/>
        <v>47.59415326351489</v>
      </c>
      <c r="D30" cm="1">
        <f t="array" ref="D30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30">
        <f>IF(Table6[[#This Row],[HomeTeam]]=$A$1,Table6[[#This Row],[ProbH]]*3+Table6[[#This Row],[ProbD]]*1,Table6[[#This Row],[ProbA]]*3+Table6[[#This Row],[ProbD]]*1)</f>
        <v>1.8624411940809169</v>
      </c>
      <c r="G30" s="75"/>
      <c r="H30" t="s">
        <v>320</v>
      </c>
      <c r="I30" t="s">
        <v>314</v>
      </c>
      <c r="J30">
        <v>0</v>
      </c>
      <c r="K30">
        <v>0</v>
      </c>
      <c r="L30" t="s">
        <v>172</v>
      </c>
      <c r="M30">
        <v>4.33</v>
      </c>
      <c r="N30">
        <v>3.75</v>
      </c>
      <c r="O30">
        <v>1.8</v>
      </c>
      <c r="P30">
        <f>(1/Table6[[#This Row],[OddH]]+1/Table6[[#This Row],[OddD]]+1/Table6[[#This Row],[OddA]]-1)/3</f>
        <v>1.772303481310411E-2</v>
      </c>
      <c r="Q30">
        <f>1/Table6[[#This Row],[OddH]]-Table6[[#This Row],[Margin]]</f>
        <v>0.21322384740398595</v>
      </c>
      <c r="R30">
        <f>1/Table6[[#This Row],[OddD]]-Table6[[#This Row],[Margin]]</f>
        <v>0.24894363185356255</v>
      </c>
      <c r="S30">
        <f>1/Table6[[#This Row],[OddA]]-Table6[[#This Row],[Margin]]</f>
        <v>0.53783252074245147</v>
      </c>
      <c r="U30">
        <v>1.0000000000000002</v>
      </c>
    </row>
    <row r="31" spans="1:21" x14ac:dyDescent="0.45">
      <c r="A31" t="s">
        <v>263</v>
      </c>
      <c r="B31">
        <f t="shared" si="0"/>
        <v>45</v>
      </c>
      <c r="C31">
        <f t="shared" si="1"/>
        <v>49.723963712210789</v>
      </c>
      <c r="D31" cm="1">
        <f t="array" ref="D31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31">
        <f>IF(Table6[[#This Row],[HomeTeam]]=$A$1,Table6[[#This Row],[ProbH]]*3+Table6[[#This Row],[ProbD]]*1,Table6[[#This Row],[ProbA]]*3+Table6[[#This Row],[ProbD]]*1)</f>
        <v>2.1298104486958978</v>
      </c>
      <c r="G31" s="75"/>
      <c r="H31" t="s">
        <v>326</v>
      </c>
      <c r="I31" t="s">
        <v>314</v>
      </c>
      <c r="J31">
        <v>2</v>
      </c>
      <c r="K31">
        <v>2</v>
      </c>
      <c r="L31" t="s">
        <v>172</v>
      </c>
      <c r="M31">
        <v>6.5</v>
      </c>
      <c r="N31">
        <v>3.8</v>
      </c>
      <c r="O31">
        <v>1.53</v>
      </c>
      <c r="P31">
        <f>(1/Table6[[#This Row],[OddH]]+1/Table6[[#This Row],[OddD]]+1/Table6[[#This Row],[OddA]]-1)/3</f>
        <v>2.3532939941608655E-2</v>
      </c>
      <c r="Q31">
        <f>1/Table6[[#This Row],[OddH]]-Table6[[#This Row],[Margin]]</f>
        <v>0.1303132139045452</v>
      </c>
      <c r="R31">
        <f>1/Table6[[#This Row],[OddD]]-Table6[[#This Row],[Margin]]</f>
        <v>0.23962495479523344</v>
      </c>
      <c r="S31">
        <f>1/Table6[[#This Row],[OddA]]-Table6[[#This Row],[Margin]]</f>
        <v>0.63006183130022142</v>
      </c>
      <c r="U31">
        <v>1</v>
      </c>
    </row>
    <row r="32" spans="1:21" x14ac:dyDescent="0.45">
      <c r="A32" t="s">
        <v>264</v>
      </c>
      <c r="B32">
        <f t="shared" si="0"/>
        <v>46</v>
      </c>
      <c r="C32">
        <f t="shared" si="1"/>
        <v>50.964468247358184</v>
      </c>
      <c r="D32" cm="1">
        <f t="array" ref="D32">IF(Table6[[#This Row],[HomeTeam]]=$A$1,_xlfn.IFS(Table6[[#This Row],[FTR]]="H",3,Table6[[#This Row],[FTR]]="D",1,Table6[[#This Row],[FTR]]="A",0),_xlfn.IFS(Table6[[#This Row],[FTR]]="A",3,Table6[[#This Row],[FTR]]="D",1,Table6[[#This Row],[FTR]]="H",0))</f>
        <v>1</v>
      </c>
      <c r="E32">
        <f>IF(Table6[[#This Row],[HomeTeam]]=$A$1,Table6[[#This Row],[ProbH]]*3+Table6[[#This Row],[ProbD]]*1,Table6[[#This Row],[ProbA]]*3+Table6[[#This Row],[ProbD]]*1)</f>
        <v>1.2405045351473925</v>
      </c>
      <c r="G32" s="75"/>
      <c r="H32" t="s">
        <v>327</v>
      </c>
      <c r="I32" t="s">
        <v>314</v>
      </c>
      <c r="J32">
        <v>1</v>
      </c>
      <c r="K32">
        <v>1</v>
      </c>
      <c r="L32" t="s">
        <v>172</v>
      </c>
      <c r="M32">
        <v>2.4500000000000002</v>
      </c>
      <c r="N32">
        <v>3.2</v>
      </c>
      <c r="O32">
        <v>3</v>
      </c>
      <c r="P32">
        <f>(1/Table6[[#This Row],[OddH]]+1/Table6[[#This Row],[OddD]]+1/Table6[[#This Row],[OddA]]-1)/3</f>
        <v>1.7998866213151905E-2</v>
      </c>
      <c r="Q32">
        <f>1/Table6[[#This Row],[OddH]]-Table6[[#This Row],[Margin]]</f>
        <v>0.39016439909297052</v>
      </c>
      <c r="R32">
        <f>1/Table6[[#This Row],[OddD]]-Table6[[#This Row],[Margin]]</f>
        <v>0.29450113378684811</v>
      </c>
      <c r="S32">
        <f>1/Table6[[#This Row],[OddA]]-Table6[[#This Row],[Margin]]</f>
        <v>0.31533446712018143</v>
      </c>
      <c r="U32">
        <v>1</v>
      </c>
    </row>
    <row r="33" spans="1:21" x14ac:dyDescent="0.45">
      <c r="A33" t="s">
        <v>265</v>
      </c>
      <c r="B33">
        <f t="shared" si="0"/>
        <v>46</v>
      </c>
      <c r="C33">
        <f t="shared" si="1"/>
        <v>52.721129886372765</v>
      </c>
      <c r="D33" cm="1">
        <f t="array" ref="D33">IF(Table6[[#This Row],[HomeTeam]]=$A$1,_xlfn.IFS(Table6[[#This Row],[FTR]]="H",3,Table6[[#This Row],[FTR]]="D",1,Table6[[#This Row],[FTR]]="A",0),_xlfn.IFS(Table6[[#This Row],[FTR]]="A",3,Table6[[#This Row],[FTR]]="D",1,Table6[[#This Row],[FTR]]="H",0))</f>
        <v>0</v>
      </c>
      <c r="E33">
        <f>IF(Table6[[#This Row],[HomeTeam]]=$A$1,Table6[[#This Row],[ProbH]]*3+Table6[[#This Row],[ProbD]]*1,Table6[[#This Row],[ProbA]]*3+Table6[[#This Row],[ProbD]]*1)</f>
        <v>1.7566616390145799</v>
      </c>
      <c r="G33" s="75"/>
      <c r="H33" t="s">
        <v>323</v>
      </c>
      <c r="I33" t="s">
        <v>314</v>
      </c>
      <c r="J33">
        <v>2</v>
      </c>
      <c r="K33">
        <v>1</v>
      </c>
      <c r="L33" t="s">
        <v>175</v>
      </c>
      <c r="M33">
        <v>4</v>
      </c>
      <c r="N33">
        <v>3.4</v>
      </c>
      <c r="O33">
        <v>1.95</v>
      </c>
      <c r="P33">
        <f>(1/Table6[[#This Row],[OddH]]+1/Table6[[#This Row],[OddD]]+1/Table6[[#This Row],[OddA]]-1)/3</f>
        <v>1.8979386626445532E-2</v>
      </c>
      <c r="Q33">
        <f>1/Table6[[#This Row],[OddH]]-Table6[[#This Row],[Margin]]</f>
        <v>0.23102061337355448</v>
      </c>
      <c r="R33">
        <f>1/Table6[[#This Row],[OddD]]-Table6[[#This Row],[Margin]]</f>
        <v>0.27513826043237799</v>
      </c>
      <c r="S33">
        <f>1/Table6[[#This Row],[OddA]]-Table6[[#This Row],[Margin]]</f>
        <v>0.49384112619406734</v>
      </c>
      <c r="U33">
        <v>1</v>
      </c>
    </row>
    <row r="34" spans="1:21" x14ac:dyDescent="0.45">
      <c r="A34" t="s">
        <v>266</v>
      </c>
      <c r="B34">
        <f t="shared" si="0"/>
        <v>49</v>
      </c>
      <c r="C34">
        <f t="shared" si="1"/>
        <v>54.191098333521737</v>
      </c>
      <c r="D34" cm="1">
        <f t="array" ref="D34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34">
        <f>IF(Table6[[#This Row],[HomeTeam]]=$A$1,Table6[[#This Row],[ProbH]]*3+Table6[[#This Row],[ProbD]]*1,Table6[[#This Row],[ProbA]]*3+Table6[[#This Row],[ProbD]]*1)</f>
        <v>1.4699684471489745</v>
      </c>
      <c r="G34" s="75"/>
      <c r="H34" t="s">
        <v>324</v>
      </c>
      <c r="I34" t="s">
        <v>314</v>
      </c>
      <c r="J34">
        <v>1</v>
      </c>
      <c r="K34">
        <v>3</v>
      </c>
      <c r="L34" t="s">
        <v>180</v>
      </c>
      <c r="M34">
        <v>2.9</v>
      </c>
      <c r="N34">
        <v>3.4</v>
      </c>
      <c r="O34">
        <v>2.4</v>
      </c>
      <c r="P34">
        <f>(1/Table6[[#This Row],[OddH]]+1/Table6[[#This Row],[OddD]]+1/Table6[[#This Row],[OddA]]-1)/3</f>
        <v>1.8537299977462302E-2</v>
      </c>
      <c r="Q34">
        <f>1/Table6[[#This Row],[OddH]]-Table6[[#This Row],[Margin]]</f>
        <v>0.32629028622943429</v>
      </c>
      <c r="R34">
        <f>1/Table6[[#This Row],[OddD]]-Table6[[#This Row],[Margin]]</f>
        <v>0.27558034708136125</v>
      </c>
      <c r="S34">
        <f>1/Table6[[#This Row],[OddA]]-Table6[[#This Row],[Margin]]</f>
        <v>0.3981293666892044</v>
      </c>
      <c r="U34">
        <v>0.99999999999999989</v>
      </c>
    </row>
    <row r="35" spans="1:21" x14ac:dyDescent="0.45">
      <c r="A35" t="s">
        <v>267</v>
      </c>
      <c r="B35">
        <f t="shared" si="0"/>
        <v>52</v>
      </c>
      <c r="C35">
        <f t="shared" si="1"/>
        <v>55.88555250294381</v>
      </c>
      <c r="D35" cm="1">
        <f t="array" ref="D35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35">
        <f>IF(Table6[[#This Row],[HomeTeam]]=$A$1,Table6[[#This Row],[ProbH]]*3+Table6[[#This Row],[ProbD]]*1,Table6[[#This Row],[ProbA]]*3+Table6[[#This Row],[ProbD]]*1)</f>
        <v>1.6944541694220767</v>
      </c>
      <c r="G35" s="75"/>
      <c r="H35" t="s">
        <v>71</v>
      </c>
      <c r="I35" t="s">
        <v>314</v>
      </c>
      <c r="J35">
        <v>0</v>
      </c>
      <c r="K35">
        <v>3</v>
      </c>
      <c r="L35" t="s">
        <v>180</v>
      </c>
      <c r="M35">
        <v>3.8</v>
      </c>
      <c r="N35">
        <v>3.3</v>
      </c>
      <c r="O35">
        <v>2.0499999999999998</v>
      </c>
      <c r="P35">
        <f>(1/Table6[[#This Row],[OddH]]+1/Table6[[#This Row],[OddD]]+1/Table6[[#This Row],[OddA]]-1)/3</f>
        <v>1.7997691938641907E-2</v>
      </c>
      <c r="Q35">
        <f>1/Table6[[#This Row],[OddH]]-Table6[[#This Row],[Margin]]</f>
        <v>0.24516020279820019</v>
      </c>
      <c r="R35">
        <f>1/Table6[[#This Row],[OddD]]-Table6[[#This Row],[Margin]]</f>
        <v>0.28503261109166111</v>
      </c>
      <c r="S35">
        <f>1/Table6[[#This Row],[OddA]]-Table6[[#This Row],[Margin]]</f>
        <v>0.46980718611013861</v>
      </c>
      <c r="U35">
        <v>1</v>
      </c>
    </row>
    <row r="36" spans="1:21" x14ac:dyDescent="0.45">
      <c r="A36" t="s">
        <v>268</v>
      </c>
      <c r="B36">
        <f t="shared" si="0"/>
        <v>55</v>
      </c>
      <c r="C36">
        <f t="shared" si="1"/>
        <v>57.578299195116614</v>
      </c>
      <c r="D36" cm="1">
        <f t="array" ref="D36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36">
        <f>IF(Table6[[#This Row],[HomeTeam]]=$A$1,Table6[[#This Row],[ProbH]]*3+Table6[[#This Row],[ProbD]]*1,Table6[[#This Row],[ProbA]]*3+Table6[[#This Row],[ProbD]]*1)</f>
        <v>1.6927466921728043</v>
      </c>
      <c r="G36" s="75"/>
      <c r="H36" t="s">
        <v>325</v>
      </c>
      <c r="I36" t="s">
        <v>314</v>
      </c>
      <c r="J36">
        <v>1</v>
      </c>
      <c r="K36">
        <v>5</v>
      </c>
      <c r="L36" t="s">
        <v>180</v>
      </c>
      <c r="M36">
        <v>3.75</v>
      </c>
      <c r="N36">
        <v>3.4</v>
      </c>
      <c r="O36">
        <v>2.0499999999999998</v>
      </c>
      <c r="P36">
        <f>(1/Table6[[#This Row],[OddH]]+1/Table6[[#This Row],[OddD]]+1/Table6[[#This Row],[OddA]]-1)/3</f>
        <v>1.6196397258090228E-2</v>
      </c>
      <c r="Q36">
        <f>1/Table6[[#This Row],[OddH]]-Table6[[#This Row],[Margin]]</f>
        <v>0.25047026940857642</v>
      </c>
      <c r="R36">
        <f>1/Table6[[#This Row],[OddD]]-Table6[[#This Row],[Margin]]</f>
        <v>0.27792124980073329</v>
      </c>
      <c r="S36">
        <f>1/Table6[[#This Row],[OddA]]-Table6[[#This Row],[Margin]]</f>
        <v>0.47160848079069029</v>
      </c>
      <c r="U36">
        <v>1</v>
      </c>
    </row>
    <row r="37" spans="1:21" x14ac:dyDescent="0.45">
      <c r="A37" t="s">
        <v>269</v>
      </c>
      <c r="B37">
        <f t="shared" si="0"/>
        <v>55</v>
      </c>
      <c r="C37">
        <f t="shared" si="1"/>
        <v>59.421857571954057</v>
      </c>
      <c r="D37" cm="1">
        <f t="array" ref="D37">IF(Table6[[#This Row],[HomeTeam]]=$A$1,_xlfn.IFS(Table6[[#This Row],[FTR]]="H",3,Table6[[#This Row],[FTR]]="D",1,Table6[[#This Row],[FTR]]="A",0),_xlfn.IFS(Table6[[#This Row],[FTR]]="A",3,Table6[[#This Row],[FTR]]="D",1,Table6[[#This Row],[FTR]]="H",0))</f>
        <v>0</v>
      </c>
      <c r="E37">
        <f>IF(Table6[[#This Row],[HomeTeam]]=$A$1,Table6[[#This Row],[ProbH]]*3+Table6[[#This Row],[ProbD]]*1,Table6[[#This Row],[ProbA]]*3+Table6[[#This Row],[ProbD]]*1)</f>
        <v>1.8435583768374442</v>
      </c>
      <c r="G37" s="75"/>
      <c r="H37" t="s">
        <v>319</v>
      </c>
      <c r="I37" t="s">
        <v>314</v>
      </c>
      <c r="J37">
        <v>2</v>
      </c>
      <c r="K37">
        <v>1</v>
      </c>
      <c r="L37" t="s">
        <v>175</v>
      </c>
      <c r="M37">
        <v>4.33</v>
      </c>
      <c r="N37">
        <v>3.6</v>
      </c>
      <c r="O37">
        <v>1.83</v>
      </c>
      <c r="P37">
        <f>(1/Table6[[#This Row],[OddH]]+1/Table6[[#This Row],[OddD]]+1/Table6[[#This Row],[OddA]]-1)/3</f>
        <v>1.8390915808853919E-2</v>
      </c>
      <c r="Q37">
        <f>1/Table6[[#This Row],[OddH]]-Table6[[#This Row],[Margin]]</f>
        <v>0.21255596640823615</v>
      </c>
      <c r="R37">
        <f>1/Table6[[#This Row],[OddD]]-Table6[[#This Row],[Margin]]</f>
        <v>0.25938686196892385</v>
      </c>
      <c r="S37">
        <f>1/Table6[[#This Row],[OddA]]-Table6[[#This Row],[Margin]]</f>
        <v>0.52805717162284005</v>
      </c>
      <c r="U37">
        <v>0.99999999999999989</v>
      </c>
    </row>
    <row r="38" spans="1:21" x14ac:dyDescent="0.45">
      <c r="A38" t="s">
        <v>270</v>
      </c>
      <c r="B38">
        <f t="shared" si="0"/>
        <v>58</v>
      </c>
      <c r="C38">
        <f t="shared" si="1"/>
        <v>61.16377647176769</v>
      </c>
      <c r="D38" cm="1">
        <f t="array" ref="D38">IF(Table6[[#This Row],[HomeTeam]]=$A$1,_xlfn.IFS(Table6[[#This Row],[FTR]]="H",3,Table6[[#This Row],[FTR]]="D",1,Table6[[#This Row],[FTR]]="A",0),_xlfn.IFS(Table6[[#This Row],[FTR]]="A",3,Table6[[#This Row],[FTR]]="D",1,Table6[[#This Row],[FTR]]="H",0))</f>
        <v>3</v>
      </c>
      <c r="E38">
        <f>IF(Table6[[#This Row],[HomeTeam]]=$A$1,Table6[[#This Row],[ProbH]]*3+Table6[[#This Row],[ProbD]]*1,Table6[[#This Row],[ProbA]]*3+Table6[[#This Row],[ProbD]]*1)</f>
        <v>1.7419188998136366</v>
      </c>
      <c r="G38" s="75"/>
      <c r="H38" t="s">
        <v>322</v>
      </c>
      <c r="I38" t="s">
        <v>314</v>
      </c>
      <c r="J38">
        <v>0</v>
      </c>
      <c r="K38">
        <v>2</v>
      </c>
      <c r="L38" t="s">
        <v>180</v>
      </c>
      <c r="M38">
        <v>3.8</v>
      </c>
      <c r="N38">
        <v>3.5</v>
      </c>
      <c r="O38">
        <v>1.95</v>
      </c>
      <c r="P38">
        <f>(1/Table6[[#This Row],[OddH]]+1/Table6[[#This Row],[OddD]]+1/Table6[[#This Row],[OddA]]-1)/3</f>
        <v>2.0564231090546947E-2</v>
      </c>
      <c r="Q38">
        <f>1/Table6[[#This Row],[OddH]]-Table6[[#This Row],[Margin]]</f>
        <v>0.24259366364629514</v>
      </c>
      <c r="R38">
        <f>1/Table6[[#This Row],[OddD]]-Table6[[#This Row],[Margin]]</f>
        <v>0.26515005462373875</v>
      </c>
      <c r="S38">
        <f>1/Table6[[#This Row],[OddA]]-Table6[[#This Row],[Margin]]</f>
        <v>0.49225628172996594</v>
      </c>
      <c r="U38">
        <v>1</v>
      </c>
    </row>
    <row r="39" spans="1:21" x14ac:dyDescent="0.45">
      <c r="A39" t="s">
        <v>271</v>
      </c>
      <c r="B39">
        <f t="shared" si="0"/>
        <v>58</v>
      </c>
      <c r="C39">
        <f t="shared" si="1"/>
        <v>61.734472442463662</v>
      </c>
      <c r="D39" cm="1">
        <f t="array" ref="D39">IF(Table6[[#This Row],[HomeTeam]]=$A$1,_xlfn.IFS(Table6[[#This Row],[FTR]]="H",3,Table6[[#This Row],[FTR]]="D",1,Table6[[#This Row],[FTR]]="A",0),_xlfn.IFS(Table6[[#This Row],[FTR]]="A",3,Table6[[#This Row],[FTR]]="D",1,Table6[[#This Row],[FTR]]="H",0))</f>
        <v>0</v>
      </c>
      <c r="E39">
        <f>IF(Table6[[#This Row],[HomeTeam]]=$A$1,Table6[[#This Row],[ProbH]]*3+Table6[[#This Row],[ProbD]]*1,Table6[[#This Row],[ProbA]]*3+Table6[[#This Row],[ProbD]]*1)</f>
        <v>0.57069597069597044</v>
      </c>
      <c r="G39" s="75"/>
      <c r="H39" t="s">
        <v>74</v>
      </c>
      <c r="I39" t="s">
        <v>314</v>
      </c>
      <c r="J39">
        <v>2</v>
      </c>
      <c r="K39">
        <v>1</v>
      </c>
      <c r="L39" t="s">
        <v>175</v>
      </c>
      <c r="M39">
        <v>1.4</v>
      </c>
      <c r="N39">
        <v>5</v>
      </c>
      <c r="O39">
        <v>6.5</v>
      </c>
      <c r="P39">
        <f>(1/Table6[[#This Row],[OddH]]+1/Table6[[#This Row],[OddD]]+1/Table6[[#This Row],[OddA]]-1)/3</f>
        <v>2.2710622710622779E-2</v>
      </c>
      <c r="Q39">
        <f>1/Table6[[#This Row],[OddH]]-Table6[[#This Row],[Margin]]</f>
        <v>0.69157509157509156</v>
      </c>
      <c r="R39">
        <f>1/Table6[[#This Row],[OddD]]-Table6[[#This Row],[Margin]]</f>
        <v>0.17728937728937724</v>
      </c>
      <c r="S39">
        <f>1/Table6[[#This Row],[OddA]]-Table6[[#This Row],[Margin]]</f>
        <v>0.13113553113553109</v>
      </c>
      <c r="U39">
        <v>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9777E-9230-4EC7-99B5-2C732B7D5545}">
  <dimension ref="A1:E46"/>
  <sheetViews>
    <sheetView topLeftCell="A20" workbookViewId="0">
      <selection activeCell="E49" sqref="E49"/>
    </sheetView>
  </sheetViews>
  <sheetFormatPr defaultRowHeight="14.25" x14ac:dyDescent="0.45"/>
  <cols>
    <col min="2" max="2" width="12.265625" bestFit="1" customWidth="1"/>
    <col min="3" max="3" width="16.53125" customWidth="1"/>
    <col min="4" max="4" width="16.3984375" customWidth="1"/>
    <col min="5" max="5" width="12.6640625" customWidth="1"/>
  </cols>
  <sheetData>
    <row r="1" spans="1:5" x14ac:dyDescent="0.45">
      <c r="A1" t="s">
        <v>388</v>
      </c>
      <c r="B1" t="s">
        <v>384</v>
      </c>
      <c r="C1" t="s">
        <v>158</v>
      </c>
      <c r="D1" t="s">
        <v>159</v>
      </c>
      <c r="E1" t="s">
        <v>274</v>
      </c>
    </row>
    <row r="2" spans="1:5" x14ac:dyDescent="0.45">
      <c r="A2">
        <v>1</v>
      </c>
      <c r="B2" t="s">
        <v>387</v>
      </c>
      <c r="C2">
        <v>86</v>
      </c>
      <c r="D2">
        <v>74.863849929033364</v>
      </c>
      <c r="E2" s="3">
        <f>Table7[[#This Row],[Puntos Obtenidos]]/Table7[[#This Row],[Puntos Esperados]]</f>
        <v>1.1487520356156284</v>
      </c>
    </row>
    <row r="3" spans="1:5" x14ac:dyDescent="0.45">
      <c r="A3">
        <v>2</v>
      </c>
      <c r="B3" t="s">
        <v>74</v>
      </c>
      <c r="C3">
        <v>84</v>
      </c>
      <c r="D3">
        <v>78.668684101059725</v>
      </c>
      <c r="E3" s="3">
        <f>Table7[[#This Row],[Puntos Obtenidos]]/Table7[[#This Row],[Puntos Esperados]]</f>
        <v>1.0677692268513292</v>
      </c>
    </row>
    <row r="4" spans="1:5" x14ac:dyDescent="0.45">
      <c r="A4">
        <v>3</v>
      </c>
      <c r="B4" t="s">
        <v>147</v>
      </c>
      <c r="C4">
        <v>79</v>
      </c>
      <c r="D4">
        <v>84.034153402653047</v>
      </c>
      <c r="E4" s="3">
        <f>Table7[[#This Row],[Puntos Obtenidos]]/Table7[[#This Row],[Puntos Esperados]]</f>
        <v>0.9400939594341875</v>
      </c>
    </row>
    <row r="5" spans="1:5" x14ac:dyDescent="0.45">
      <c r="A5">
        <v>4</v>
      </c>
      <c r="B5" t="s">
        <v>317</v>
      </c>
      <c r="C5">
        <v>77</v>
      </c>
      <c r="D5">
        <v>67.290958527083163</v>
      </c>
      <c r="E5" s="3">
        <f>Table7[[#This Row],[Puntos Obtenidos]]/Table7[[#This Row],[Puntos Esperados]]</f>
        <v>1.1442844876256171</v>
      </c>
    </row>
    <row r="6" spans="1:5" x14ac:dyDescent="0.45">
      <c r="A6">
        <v>5</v>
      </c>
      <c r="B6" t="s">
        <v>389</v>
      </c>
      <c r="C6">
        <v>62</v>
      </c>
      <c r="D6">
        <v>62.264922764591624</v>
      </c>
      <c r="E6" s="3">
        <f>Table7[[#This Row],[Puntos Obtenidos]]/Table7[[#This Row],[Puntos Esperados]]</f>
        <v>0.99574523258314751</v>
      </c>
    </row>
    <row r="7" spans="1:5" x14ac:dyDescent="0.45">
      <c r="A7">
        <v>6</v>
      </c>
      <c r="B7" t="s">
        <v>386</v>
      </c>
      <c r="C7">
        <v>61</v>
      </c>
      <c r="D7">
        <v>53.426294246884034</v>
      </c>
      <c r="E7" s="3">
        <f>Table7[[#This Row],[Puntos Obtenidos]]/Table7[[#This Row],[Puntos Esperados]]</f>
        <v>1.1417598929492978</v>
      </c>
    </row>
    <row r="8" spans="1:5" x14ac:dyDescent="0.45">
      <c r="A8">
        <v>7</v>
      </c>
      <c r="B8" t="s">
        <v>314</v>
      </c>
      <c r="C8">
        <v>58</v>
      </c>
      <c r="D8">
        <v>61.734472442463662</v>
      </c>
      <c r="E8" s="3">
        <f>Table7[[#This Row],[Puntos Obtenidos]]/Table7[[#This Row],[Puntos Esperados]]</f>
        <v>0.93950750213433543</v>
      </c>
    </row>
    <row r="9" spans="1:5" x14ac:dyDescent="0.45">
      <c r="A9">
        <v>8</v>
      </c>
      <c r="B9" t="s">
        <v>315</v>
      </c>
      <c r="C9">
        <v>53</v>
      </c>
      <c r="D9">
        <v>50.032773798962026</v>
      </c>
      <c r="E9" s="3">
        <f>Table7[[#This Row],[Puntos Obtenidos]]/Table7[[#This Row],[Puntos Esperados]]</f>
        <v>1.0593056505913636</v>
      </c>
    </row>
    <row r="10" spans="1:5" x14ac:dyDescent="0.45">
      <c r="A10">
        <v>9</v>
      </c>
      <c r="B10" t="s">
        <v>385</v>
      </c>
      <c r="C10">
        <v>46</v>
      </c>
      <c r="D10">
        <v>53.504035954772121</v>
      </c>
      <c r="E10" s="3">
        <f>Table7[[#This Row],[Puntos Obtenidos]]/Table7[[#This Row],[Puntos Esperados]]</f>
        <v>0.85974822607559154</v>
      </c>
    </row>
    <row r="11" spans="1:5" x14ac:dyDescent="0.45">
      <c r="A11">
        <v>10</v>
      </c>
      <c r="B11" t="s">
        <v>71</v>
      </c>
      <c r="C11">
        <v>46</v>
      </c>
      <c r="D11">
        <v>41.919820071424738</v>
      </c>
      <c r="E11" s="3">
        <f>Table7[[#This Row],[Puntos Obtenidos]]/Table7[[#This Row],[Puntos Esperados]]</f>
        <v>1.0973329542355688</v>
      </c>
    </row>
    <row r="12" spans="1:5" x14ac:dyDescent="0.45">
      <c r="A12">
        <v>11</v>
      </c>
      <c r="B12" t="s">
        <v>318</v>
      </c>
      <c r="C12">
        <v>44</v>
      </c>
      <c r="D12">
        <v>42.436073099710335</v>
      </c>
      <c r="E12" s="3">
        <f>Table7[[#This Row],[Puntos Obtenidos]]/Table7[[#This Row],[Puntos Esperados]]</f>
        <v>1.036853713976196</v>
      </c>
    </row>
    <row r="13" spans="1:5" x14ac:dyDescent="0.45">
      <c r="A13">
        <v>12</v>
      </c>
      <c r="B13" t="s">
        <v>321</v>
      </c>
      <c r="C13">
        <v>44</v>
      </c>
      <c r="D13">
        <v>34.985590598563221</v>
      </c>
      <c r="E13" s="3">
        <f>Table7[[#This Row],[Puntos Obtenidos]]/Table7[[#This Row],[Puntos Esperados]]</f>
        <v>1.2576606324835626</v>
      </c>
    </row>
    <row r="14" spans="1:5" x14ac:dyDescent="0.45">
      <c r="A14">
        <v>13</v>
      </c>
      <c r="B14" t="s">
        <v>323</v>
      </c>
      <c r="C14">
        <v>43</v>
      </c>
      <c r="D14">
        <v>44.106482494273969</v>
      </c>
      <c r="E14" s="3">
        <f>Table7[[#This Row],[Puntos Obtenidos]]/Table7[[#This Row],[Puntos Esperados]]</f>
        <v>0.97491338162326557</v>
      </c>
    </row>
    <row r="15" spans="1:5" x14ac:dyDescent="0.45">
      <c r="A15">
        <v>14</v>
      </c>
      <c r="B15" t="s">
        <v>325</v>
      </c>
      <c r="C15">
        <v>41</v>
      </c>
      <c r="D15">
        <v>42.964353309366722</v>
      </c>
      <c r="E15" s="3">
        <f>Table7[[#This Row],[Puntos Obtenidos]]/Table7[[#This Row],[Puntos Esperados]]</f>
        <v>0.95427946290213406</v>
      </c>
    </row>
    <row r="16" spans="1:5" x14ac:dyDescent="0.45">
      <c r="A16">
        <v>15</v>
      </c>
      <c r="B16" t="s">
        <v>69</v>
      </c>
      <c r="C16">
        <v>38</v>
      </c>
      <c r="D16">
        <v>50.120621790954942</v>
      </c>
      <c r="E16" s="3">
        <f>Table7[[#This Row],[Puntos Obtenidos]]/Table7[[#This Row],[Puntos Esperados]]</f>
        <v>0.75817096121616157</v>
      </c>
    </row>
    <row r="17" spans="1:5" x14ac:dyDescent="0.45">
      <c r="A17">
        <v>16</v>
      </c>
      <c r="B17" t="s">
        <v>319</v>
      </c>
      <c r="C17">
        <v>38</v>
      </c>
      <c r="D17">
        <v>40.691103627385182</v>
      </c>
      <c r="E17" s="3">
        <f>Table7[[#This Row],[Puntos Obtenidos]]/Table7[[#This Row],[Puntos Esperados]]</f>
        <v>0.93386506170911365</v>
      </c>
    </row>
    <row r="18" spans="1:5" x14ac:dyDescent="0.45">
      <c r="A18">
        <v>17</v>
      </c>
      <c r="B18" t="s">
        <v>326</v>
      </c>
      <c r="C18">
        <v>36</v>
      </c>
      <c r="D18">
        <v>32.169343825423695</v>
      </c>
      <c r="E18" s="3">
        <f>Table7[[#This Row],[Puntos Obtenidos]]/Table7[[#This Row],[Puntos Esperados]]</f>
        <v>1.1190778461433493</v>
      </c>
    </row>
    <row r="19" spans="1:5" x14ac:dyDescent="0.45">
      <c r="A19">
        <v>18</v>
      </c>
      <c r="B19" t="s">
        <v>320</v>
      </c>
      <c r="C19">
        <v>34</v>
      </c>
      <c r="D19">
        <v>42.341940345636345</v>
      </c>
      <c r="E19" s="3">
        <f>Table7[[#This Row],[Puntos Obtenidos]]/Table7[[#This Row],[Puntos Esperados]]</f>
        <v>0.8029863469283347</v>
      </c>
    </row>
    <row r="20" spans="1:5" x14ac:dyDescent="0.45">
      <c r="A20">
        <v>19</v>
      </c>
      <c r="B20" t="s">
        <v>322</v>
      </c>
      <c r="C20">
        <v>31</v>
      </c>
      <c r="D20">
        <v>40.910834655719412</v>
      </c>
      <c r="E20" s="3">
        <f>Table7[[#This Row],[Puntos Obtenidos]]/Table7[[#This Row],[Puntos Esperados]]</f>
        <v>0.75774547893918709</v>
      </c>
    </row>
    <row r="21" spans="1:5" x14ac:dyDescent="0.45">
      <c r="A21">
        <v>20</v>
      </c>
      <c r="B21" t="s">
        <v>324</v>
      </c>
      <c r="C21">
        <v>30</v>
      </c>
      <c r="D21">
        <v>43.435826248974408</v>
      </c>
      <c r="E21" s="3">
        <f>Table7[[#This Row],[Puntos Obtenidos]]/Table7[[#This Row],[Puntos Esperados]]</f>
        <v>0.69067409534331925</v>
      </c>
    </row>
    <row r="26" spans="1:5" x14ac:dyDescent="0.45">
      <c r="A26" t="s">
        <v>388</v>
      </c>
      <c r="B26" t="s">
        <v>384</v>
      </c>
      <c r="C26" t="s">
        <v>158</v>
      </c>
      <c r="D26" t="s">
        <v>159</v>
      </c>
      <c r="E26" t="s">
        <v>390</v>
      </c>
    </row>
    <row r="27" spans="1:5" x14ac:dyDescent="0.45">
      <c r="A27">
        <v>1</v>
      </c>
      <c r="B27" t="s">
        <v>63</v>
      </c>
      <c r="C27">
        <v>81</v>
      </c>
      <c r="D27">
        <v>53.366217366652151</v>
      </c>
      <c r="E27" s="89">
        <v>1.517814152790522</v>
      </c>
    </row>
    <row r="28" spans="1:5" x14ac:dyDescent="0.45">
      <c r="A28">
        <v>2</v>
      </c>
      <c r="B28" t="s">
        <v>179</v>
      </c>
      <c r="C28">
        <v>71</v>
      </c>
      <c r="D28">
        <v>74.603208143451297</v>
      </c>
      <c r="E28" s="89">
        <v>0.95170169979120944</v>
      </c>
    </row>
    <row r="29" spans="1:5" x14ac:dyDescent="0.45">
      <c r="A29">
        <v>3</v>
      </c>
      <c r="B29" t="s">
        <v>207</v>
      </c>
      <c r="C29">
        <v>70</v>
      </c>
      <c r="D29">
        <v>65.480318955044766</v>
      </c>
      <c r="E29" s="89">
        <v>1.069023503811247</v>
      </c>
    </row>
    <row r="30" spans="1:5" x14ac:dyDescent="0.45">
      <c r="A30">
        <v>4</v>
      </c>
      <c r="B30" t="s">
        <v>186</v>
      </c>
      <c r="C30">
        <v>66</v>
      </c>
      <c r="D30">
        <v>66.341663515642082</v>
      </c>
      <c r="E30" s="89">
        <v>0.99484994048179809</v>
      </c>
    </row>
    <row r="31" spans="1:5" x14ac:dyDescent="0.45">
      <c r="A31">
        <v>5</v>
      </c>
      <c r="B31" t="s">
        <v>171</v>
      </c>
      <c r="C31">
        <v>66</v>
      </c>
      <c r="D31">
        <v>76.592141106272948</v>
      </c>
      <c r="E31" s="89">
        <v>0.8617072071196421</v>
      </c>
    </row>
    <row r="32" spans="1:5" x14ac:dyDescent="0.45">
      <c r="A32">
        <v>6</v>
      </c>
      <c r="B32" t="s">
        <v>177</v>
      </c>
      <c r="C32">
        <v>63</v>
      </c>
      <c r="D32">
        <v>58.211534339544428</v>
      </c>
      <c r="E32" s="89">
        <v>1.0822597396681679</v>
      </c>
    </row>
    <row r="33" spans="1:5" x14ac:dyDescent="0.45">
      <c r="A33">
        <v>7</v>
      </c>
      <c r="B33" t="s">
        <v>197</v>
      </c>
      <c r="C33">
        <v>62</v>
      </c>
      <c r="D33">
        <v>46.521622404591866</v>
      </c>
      <c r="E33" s="89">
        <v>1.3327136242325111</v>
      </c>
    </row>
    <row r="34" spans="1:5" x14ac:dyDescent="0.45">
      <c r="A34">
        <v>8</v>
      </c>
      <c r="B34" t="s">
        <v>57</v>
      </c>
      <c r="C34">
        <v>60</v>
      </c>
      <c r="D34">
        <v>64.513162668078678</v>
      </c>
      <c r="E34" s="89">
        <v>0.93004276210578951</v>
      </c>
    </row>
    <row r="35" spans="1:5" x14ac:dyDescent="0.45">
      <c r="A35">
        <v>9</v>
      </c>
      <c r="B35" t="s">
        <v>184</v>
      </c>
      <c r="C35">
        <v>51</v>
      </c>
      <c r="D35">
        <v>44.336832135505709</v>
      </c>
      <c r="E35" s="89">
        <v>1.1502851589425649</v>
      </c>
    </row>
    <row r="36" spans="1:5" x14ac:dyDescent="0.45">
      <c r="A36">
        <v>10</v>
      </c>
      <c r="B36" t="s">
        <v>188</v>
      </c>
      <c r="C36">
        <v>50</v>
      </c>
      <c r="D36">
        <v>68.112631319301784</v>
      </c>
      <c r="E36" s="89">
        <v>0.73407823235616187</v>
      </c>
    </row>
    <row r="37" spans="1:5" x14ac:dyDescent="0.45">
      <c r="A37">
        <v>11</v>
      </c>
      <c r="B37" t="s">
        <v>205</v>
      </c>
      <c r="C37">
        <v>47</v>
      </c>
      <c r="D37">
        <v>53.775045587197383</v>
      </c>
      <c r="E37" s="89">
        <v>0.87401134646717316</v>
      </c>
    </row>
    <row r="38" spans="1:5" x14ac:dyDescent="0.45">
      <c r="A38">
        <v>12</v>
      </c>
      <c r="B38" t="s">
        <v>192</v>
      </c>
      <c r="C38">
        <v>47</v>
      </c>
      <c r="D38">
        <v>45.180557360160357</v>
      </c>
      <c r="E38" s="89">
        <v>1.040270477969889</v>
      </c>
    </row>
    <row r="39" spans="1:5" x14ac:dyDescent="0.45">
      <c r="A39">
        <v>13</v>
      </c>
      <c r="B39" t="s">
        <v>201</v>
      </c>
      <c r="C39">
        <v>45</v>
      </c>
      <c r="D39">
        <v>41.803503178189892</v>
      </c>
      <c r="E39" s="89">
        <v>1.076464807463261</v>
      </c>
    </row>
    <row r="40" spans="1:5" x14ac:dyDescent="0.45">
      <c r="A40">
        <v>14</v>
      </c>
      <c r="B40" t="s">
        <v>190</v>
      </c>
      <c r="C40">
        <v>43</v>
      </c>
      <c r="D40">
        <v>38.560149510339201</v>
      </c>
      <c r="E40" s="89">
        <v>1.1151409044321869</v>
      </c>
    </row>
    <row r="41" spans="1:5" x14ac:dyDescent="0.45">
      <c r="A41">
        <v>15</v>
      </c>
      <c r="B41" t="s">
        <v>174</v>
      </c>
      <c r="C41">
        <v>42</v>
      </c>
      <c r="D41">
        <v>45.945925908294697</v>
      </c>
      <c r="E41" s="89">
        <v>0.9141180457181225</v>
      </c>
    </row>
    <row r="42" spans="1:5" x14ac:dyDescent="0.45">
      <c r="A42">
        <v>16</v>
      </c>
      <c r="B42" t="s">
        <v>203</v>
      </c>
      <c r="C42">
        <v>42</v>
      </c>
      <c r="D42">
        <v>46.829823546756067</v>
      </c>
      <c r="E42" s="89">
        <v>0.89686436588995777</v>
      </c>
    </row>
    <row r="43" spans="1:5" x14ac:dyDescent="0.45">
      <c r="A43">
        <v>17</v>
      </c>
      <c r="B43" t="s">
        <v>195</v>
      </c>
      <c r="C43">
        <v>39</v>
      </c>
      <c r="D43">
        <v>36.733763268237453</v>
      </c>
      <c r="E43" s="89">
        <v>1.0616935628188711</v>
      </c>
    </row>
    <row r="44" spans="1:5" x14ac:dyDescent="0.45">
      <c r="A44">
        <v>18</v>
      </c>
      <c r="B44" t="s">
        <v>60</v>
      </c>
      <c r="C44">
        <v>37</v>
      </c>
      <c r="D44">
        <v>40.362028994347703</v>
      </c>
      <c r="E44" s="89">
        <v>0.91670317181481353</v>
      </c>
    </row>
    <row r="45" spans="1:5" x14ac:dyDescent="0.45">
      <c r="A45">
        <v>19</v>
      </c>
      <c r="B45" t="s">
        <v>182</v>
      </c>
      <c r="C45">
        <v>34</v>
      </c>
      <c r="D45">
        <v>41.596678827294113</v>
      </c>
      <c r="E45" s="89">
        <v>0.81737294799820726</v>
      </c>
    </row>
    <row r="46" spans="1:5" x14ac:dyDescent="0.45">
      <c r="A46">
        <v>20</v>
      </c>
      <c r="B46" t="s">
        <v>199</v>
      </c>
      <c r="C46">
        <v>17</v>
      </c>
      <c r="D46">
        <v>34.052326450747323</v>
      </c>
      <c r="E46" s="89">
        <v>0.49923167583244282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7174E-49A3-4E3C-8179-9F4C3C9F35C0}">
  <dimension ref="A1:Z73"/>
  <sheetViews>
    <sheetView tabSelected="1" topLeftCell="K1" workbookViewId="0">
      <selection activeCell="T28" sqref="T28"/>
    </sheetView>
  </sheetViews>
  <sheetFormatPr defaultRowHeight="14.25" x14ac:dyDescent="0.45"/>
  <cols>
    <col min="1" max="1" width="16.86328125" bestFit="1" customWidth="1"/>
    <col min="6" max="6" width="9.796875" bestFit="1" customWidth="1"/>
    <col min="18" max="18" width="8.06640625" customWidth="1"/>
  </cols>
  <sheetData>
    <row r="1" spans="1:26" x14ac:dyDescent="0.45">
      <c r="A1" t="s">
        <v>391</v>
      </c>
      <c r="B1" t="s">
        <v>350</v>
      </c>
      <c r="C1" t="s">
        <v>392</v>
      </c>
      <c r="R1" t="s">
        <v>422</v>
      </c>
      <c r="S1">
        <v>0.38490000000000002</v>
      </c>
    </row>
    <row r="2" spans="1:26" x14ac:dyDescent="0.45">
      <c r="A2">
        <v>2.5</v>
      </c>
      <c r="B2">
        <v>3.2</v>
      </c>
      <c r="C2">
        <v>3.1</v>
      </c>
      <c r="R2" t="s">
        <v>350</v>
      </c>
      <c r="S2">
        <v>0.21360000000000001</v>
      </c>
    </row>
    <row r="3" spans="1:26" x14ac:dyDescent="0.45">
      <c r="A3">
        <f>1/A2</f>
        <v>0.4</v>
      </c>
      <c r="B3">
        <f t="shared" ref="B3:C3" si="0">1/B2</f>
        <v>0.3125</v>
      </c>
      <c r="C3">
        <f t="shared" si="0"/>
        <v>0.32258064516129031</v>
      </c>
      <c r="D3">
        <f>SUM(A3:C3)</f>
        <v>1.0350806451612904</v>
      </c>
      <c r="E3" s="87">
        <f>D3-1</f>
        <v>3.5080645161290391E-2</v>
      </c>
    </row>
    <row r="4" spans="1:26" x14ac:dyDescent="0.45">
      <c r="A4" s="87">
        <f>A3-$E$3/3</f>
        <v>0.38830645161290323</v>
      </c>
      <c r="B4" s="87">
        <f t="shared" ref="B4:C4" si="1">B3-$E$3/3</f>
        <v>0.3008064516129032</v>
      </c>
      <c r="C4" s="87">
        <f t="shared" si="1"/>
        <v>0.31088709677419352</v>
      </c>
      <c r="D4">
        <f>SUM(A4:C4)</f>
        <v>1</v>
      </c>
      <c r="R4" t="s">
        <v>46</v>
      </c>
      <c r="S4" t="s">
        <v>375</v>
      </c>
      <c r="T4" t="s">
        <v>57</v>
      </c>
    </row>
    <row r="5" spans="1:26" x14ac:dyDescent="0.45">
      <c r="R5">
        <f>S1-S2</f>
        <v>0.17130000000000001</v>
      </c>
      <c r="S5">
        <f>S2</f>
        <v>0.21360000000000001</v>
      </c>
      <c r="T5">
        <f>1-R5-S5</f>
        <v>0.61509999999999998</v>
      </c>
    </row>
    <row r="7" spans="1:26" x14ac:dyDescent="0.45">
      <c r="A7" s="93" t="s">
        <v>391</v>
      </c>
      <c r="B7" s="94"/>
      <c r="C7" s="94"/>
      <c r="D7" s="95"/>
      <c r="F7" t="s">
        <v>395</v>
      </c>
      <c r="G7" s="87">
        <f>SUM(B10:D10)</f>
        <v>1.465725806451613</v>
      </c>
      <c r="I7" s="92" t="s">
        <v>398</v>
      </c>
      <c r="J7" s="92">
        <v>0</v>
      </c>
      <c r="K7" s="92">
        <v>3</v>
      </c>
      <c r="L7" s="92">
        <v>10</v>
      </c>
    </row>
    <row r="8" spans="1:26" x14ac:dyDescent="0.45">
      <c r="A8" s="90" t="s">
        <v>393</v>
      </c>
      <c r="B8" s="90">
        <v>0</v>
      </c>
      <c r="C8" s="90">
        <v>1</v>
      </c>
      <c r="D8" s="90">
        <v>3</v>
      </c>
      <c r="F8" t="s">
        <v>396</v>
      </c>
      <c r="G8" s="87">
        <f>SUM(B11:D11)</f>
        <v>1.6472123764308013</v>
      </c>
      <c r="I8" s="92" t="s">
        <v>399</v>
      </c>
      <c r="J8" s="92">
        <f>8/20</f>
        <v>0.4</v>
      </c>
      <c r="K8" s="92">
        <f>10/20</f>
        <v>0.5</v>
      </c>
      <c r="L8" s="92">
        <f>2/20</f>
        <v>0.1</v>
      </c>
    </row>
    <row r="9" spans="1:26" x14ac:dyDescent="0.45">
      <c r="A9" s="90" t="s">
        <v>394</v>
      </c>
      <c r="B9" s="91">
        <f>C4</f>
        <v>0.31088709677419352</v>
      </c>
      <c r="C9" s="91">
        <f>B4</f>
        <v>0.3008064516129032</v>
      </c>
      <c r="D9" s="91">
        <f>A4</f>
        <v>0.38830645161290323</v>
      </c>
      <c r="F9" t="s">
        <v>397</v>
      </c>
      <c r="G9" s="87">
        <f>SQRT(G8)</f>
        <v>1.2834377181736563</v>
      </c>
      <c r="J9">
        <f>J7*J8</f>
        <v>0</v>
      </c>
      <c r="K9">
        <f t="shared" ref="K9:L9" si="2">K7*K8</f>
        <v>1.5</v>
      </c>
      <c r="L9">
        <f t="shared" si="2"/>
        <v>1</v>
      </c>
      <c r="N9">
        <f>SUM(J9:L9)</f>
        <v>2.5</v>
      </c>
      <c r="S9">
        <v>0</v>
      </c>
      <c r="T9">
        <v>1</v>
      </c>
      <c r="U9">
        <v>2</v>
      </c>
      <c r="V9">
        <v>3</v>
      </c>
      <c r="W9">
        <v>4</v>
      </c>
      <c r="X9">
        <v>5</v>
      </c>
    </row>
    <row r="10" spans="1:26" x14ac:dyDescent="0.45">
      <c r="B10">
        <f>B9*B8</f>
        <v>0</v>
      </c>
      <c r="C10">
        <f t="shared" ref="C10:D10" si="3">C9*C8</f>
        <v>0.3008064516129032</v>
      </c>
      <c r="D10">
        <f t="shared" si="3"/>
        <v>1.1649193548387098</v>
      </c>
      <c r="J10">
        <f>POWER(J7-$N$9,2)*J8</f>
        <v>2.5</v>
      </c>
      <c r="K10">
        <f t="shared" ref="K10:L10" si="4">POWER(K7-$N$9,2)*K8</f>
        <v>0.125</v>
      </c>
      <c r="L10">
        <f t="shared" si="4"/>
        <v>5.625</v>
      </c>
      <c r="N10">
        <f>SUM(J10:L10)</f>
        <v>8.25</v>
      </c>
      <c r="S10">
        <v>0.35</v>
      </c>
      <c r="T10">
        <v>0.25</v>
      </c>
      <c r="U10">
        <v>0.15</v>
      </c>
      <c r="V10">
        <v>0.1</v>
      </c>
      <c r="W10">
        <v>0.08</v>
      </c>
      <c r="X10">
        <v>7.0000000000000007E-2</v>
      </c>
      <c r="Z10">
        <f>SUM(S10:X10)</f>
        <v>1</v>
      </c>
    </row>
    <row r="11" spans="1:26" x14ac:dyDescent="0.45">
      <c r="B11">
        <f>POWER(B8-$G$7,2)*B9</f>
        <v>0.6678949595594097</v>
      </c>
      <c r="C11">
        <f>POWER(C8-$G$7,2)*C9</f>
        <v>6.5245077818174971E-2</v>
      </c>
      <c r="D11">
        <f>POWER(D8-$G$7,2)*D9</f>
        <v>0.9140723390532165</v>
      </c>
      <c r="N11" s="88">
        <f>SQRT(N10)</f>
        <v>2.8722813232690143</v>
      </c>
    </row>
    <row r="12" spans="1:26" x14ac:dyDescent="0.45">
      <c r="S12">
        <f>S9*S10</f>
        <v>0</v>
      </c>
      <c r="T12">
        <f t="shared" ref="T12:X12" si="5">T9*T10</f>
        <v>0.25</v>
      </c>
      <c r="U12">
        <f t="shared" si="5"/>
        <v>0.3</v>
      </c>
      <c r="V12">
        <f t="shared" si="5"/>
        <v>0.30000000000000004</v>
      </c>
      <c r="W12">
        <f t="shared" si="5"/>
        <v>0.32</v>
      </c>
      <c r="X12">
        <f t="shared" si="5"/>
        <v>0.35000000000000003</v>
      </c>
      <c r="Z12">
        <f>SUM(S12:X12)</f>
        <v>1.5200000000000002</v>
      </c>
    </row>
    <row r="14" spans="1:26" x14ac:dyDescent="0.45">
      <c r="S14">
        <f>POWER(S9-$Z$12,2)*S10</f>
        <v>0.80864000000000025</v>
      </c>
      <c r="T14">
        <f t="shared" ref="T14:X14" si="6">POWER(T9-$Z$12,2)*T10</f>
        <v>6.7600000000000063E-2</v>
      </c>
      <c r="U14">
        <f t="shared" si="6"/>
        <v>3.4559999999999966E-2</v>
      </c>
      <c r="V14">
        <f t="shared" si="6"/>
        <v>0.21903999999999996</v>
      </c>
      <c r="W14">
        <f t="shared" si="6"/>
        <v>0.4920319999999998</v>
      </c>
      <c r="X14">
        <f t="shared" si="6"/>
        <v>0.84772799999999982</v>
      </c>
      <c r="Z14">
        <f>SUM(S14:X14)</f>
        <v>2.4695999999999998</v>
      </c>
    </row>
    <row r="15" spans="1:26" x14ac:dyDescent="0.45">
      <c r="A15" s="93" t="s">
        <v>392</v>
      </c>
      <c r="B15" s="94"/>
      <c r="C15" s="94"/>
      <c r="D15" s="95"/>
      <c r="F15" t="s">
        <v>395</v>
      </c>
      <c r="G15" s="87">
        <f>SUM(B18:D18)</f>
        <v>1.2334677419354838</v>
      </c>
      <c r="J15" t="s">
        <v>404</v>
      </c>
      <c r="K15">
        <v>0</v>
      </c>
      <c r="L15">
        <v>1</v>
      </c>
      <c r="M15">
        <v>2</v>
      </c>
      <c r="N15">
        <v>3</v>
      </c>
      <c r="O15">
        <v>4</v>
      </c>
    </row>
    <row r="16" spans="1:26" x14ac:dyDescent="0.45">
      <c r="A16" s="90" t="s">
        <v>393</v>
      </c>
      <c r="B16" s="90">
        <v>0</v>
      </c>
      <c r="C16" s="90">
        <v>1</v>
      </c>
      <c r="D16" s="90">
        <v>3</v>
      </c>
      <c r="F16" t="s">
        <v>396</v>
      </c>
      <c r="G16" s="87">
        <f>SUM(B19:D19)</f>
        <v>1.5773476521852237</v>
      </c>
      <c r="J16" t="s">
        <v>405</v>
      </c>
      <c r="K16">
        <f>_xlfn.BINOM.DIST(K15,4,0.7,)</f>
        <v>8.100000000000003E-3</v>
      </c>
      <c r="L16">
        <f t="shared" ref="L16:O16" si="7">_xlfn.BINOM.DIST(L15,4,0.7,)</f>
        <v>7.5600000000000056E-2</v>
      </c>
      <c r="M16">
        <f t="shared" si="7"/>
        <v>0.2646</v>
      </c>
      <c r="N16">
        <f t="shared" si="7"/>
        <v>0.41159999999999991</v>
      </c>
      <c r="O16">
        <f t="shared" si="7"/>
        <v>0.24009999999999992</v>
      </c>
      <c r="Q16">
        <f>SUM(K16:O16)</f>
        <v>1</v>
      </c>
      <c r="Z16" s="87">
        <f>SQRT(Z14)</f>
        <v>1.5714961024450553</v>
      </c>
    </row>
    <row r="17" spans="1:23" x14ac:dyDescent="0.45">
      <c r="A17" s="90" t="s">
        <v>394</v>
      </c>
      <c r="B17" s="91">
        <f>A4</f>
        <v>0.38830645161290323</v>
      </c>
      <c r="C17" s="91">
        <f>B4</f>
        <v>0.3008064516129032</v>
      </c>
      <c r="D17" s="91">
        <f>C4</f>
        <v>0.31088709677419352</v>
      </c>
      <c r="F17" t="s">
        <v>397</v>
      </c>
      <c r="G17" s="87">
        <f>SQRT(G16)</f>
        <v>1.2559250185362276</v>
      </c>
    </row>
    <row r="18" spans="1:23" x14ac:dyDescent="0.45">
      <c r="B18">
        <f>B16*B17</f>
        <v>0</v>
      </c>
      <c r="C18">
        <f t="shared" ref="C18:D18" si="8">C16*C17</f>
        <v>0.3008064516129032</v>
      </c>
      <c r="D18">
        <f t="shared" si="8"/>
        <v>0.93266129032258061</v>
      </c>
      <c r="L18">
        <f>SUM(L16:O16)</f>
        <v>0.9919</v>
      </c>
      <c r="O18">
        <f>O15*0.7</f>
        <v>2.8</v>
      </c>
    </row>
    <row r="19" spans="1:23" x14ac:dyDescent="0.45">
      <c r="B19">
        <f>POWER(B16-$G$15,2)*B17</f>
        <v>0.5907860046737059</v>
      </c>
      <c r="C19">
        <f t="shared" ref="C19:D19" si="9">POWER(C16-$G$15,2)*C17</f>
        <v>1.6396113365823563E-2</v>
      </c>
      <c r="D19">
        <f t="shared" si="9"/>
        <v>0.97016553414569418</v>
      </c>
    </row>
    <row r="20" spans="1:23" x14ac:dyDescent="0.45">
      <c r="R20" t="s">
        <v>424</v>
      </c>
      <c r="S20" t="s">
        <v>375</v>
      </c>
      <c r="T20" t="s">
        <v>423</v>
      </c>
    </row>
    <row r="21" spans="1:23" x14ac:dyDescent="0.45">
      <c r="B21" t="s">
        <v>400</v>
      </c>
      <c r="C21" t="s">
        <v>375</v>
      </c>
      <c r="D21" t="s">
        <v>401</v>
      </c>
      <c r="R21">
        <v>1.36</v>
      </c>
      <c r="S21">
        <v>5</v>
      </c>
      <c r="T21">
        <v>8</v>
      </c>
    </row>
    <row r="22" spans="1:23" x14ac:dyDescent="0.45">
      <c r="B22">
        <v>2.4</v>
      </c>
      <c r="C22">
        <v>3.1</v>
      </c>
      <c r="D22">
        <v>3.1</v>
      </c>
    </row>
    <row r="23" spans="1:23" x14ac:dyDescent="0.45">
      <c r="B23">
        <f>1/B22</f>
        <v>0.41666666666666669</v>
      </c>
      <c r="C23">
        <f t="shared" ref="C23:D23" si="10">1/C22</f>
        <v>0.32258064516129031</v>
      </c>
      <c r="D23">
        <f t="shared" si="10"/>
        <v>0.32258064516129031</v>
      </c>
      <c r="F23">
        <f>SUM(B23:D23)</f>
        <v>1.0618279569892473</v>
      </c>
      <c r="G23">
        <f>F23-1</f>
        <v>6.1827956989247257E-2</v>
      </c>
      <c r="R23">
        <f>1/R21</f>
        <v>0.73529411764705876</v>
      </c>
      <c r="S23">
        <f t="shared" ref="S23:T23" si="11">1/S21</f>
        <v>0.2</v>
      </c>
      <c r="T23">
        <f t="shared" si="11"/>
        <v>0.125</v>
      </c>
      <c r="V23">
        <f>SUM(R23:T23)</f>
        <v>1.0602941176470588</v>
      </c>
      <c r="W23">
        <f>V23-1</f>
        <v>6.0294117647058831E-2</v>
      </c>
    </row>
    <row r="24" spans="1:23" x14ac:dyDescent="0.45">
      <c r="B24" s="87">
        <f>B23-$G$23/3</f>
        <v>0.39605734767025091</v>
      </c>
      <c r="C24" s="87">
        <f t="shared" ref="C24:D24" si="12">C23-$G$23/3</f>
        <v>0.30197132616487454</v>
      </c>
      <c r="D24" s="87">
        <f t="shared" si="12"/>
        <v>0.30197132616487454</v>
      </c>
      <c r="I24" t="s">
        <v>406</v>
      </c>
      <c r="J24" t="s">
        <v>375</v>
      </c>
      <c r="K24" t="s">
        <v>74</v>
      </c>
    </row>
    <row r="25" spans="1:23" x14ac:dyDescent="0.45">
      <c r="I25">
        <v>6.5</v>
      </c>
      <c r="J25">
        <v>4</v>
      </c>
      <c r="K25">
        <v>1.53</v>
      </c>
      <c r="R25" s="87">
        <f>R23-$W$23/3</f>
        <v>0.71519607843137245</v>
      </c>
      <c r="S25" s="87">
        <f t="shared" ref="S25:T25" si="13">S23-$W$23/3</f>
        <v>0.17990196078431372</v>
      </c>
      <c r="T25" s="87">
        <f t="shared" si="13"/>
        <v>0.10490196078431373</v>
      </c>
      <c r="V25">
        <f>SUM(R25:T25)</f>
        <v>0.99999999999999989</v>
      </c>
    </row>
    <row r="26" spans="1:23" x14ac:dyDescent="0.45">
      <c r="B26" t="s">
        <v>402</v>
      </c>
      <c r="D26" s="87">
        <f>SUM(B24:C24)</f>
        <v>0.69802867383512546</v>
      </c>
      <c r="I26">
        <f>1/I25</f>
        <v>0.15384615384615385</v>
      </c>
      <c r="J26">
        <f>1/J25</f>
        <v>0.25</v>
      </c>
      <c r="K26">
        <f>1/K25</f>
        <v>0.65359477124183007</v>
      </c>
      <c r="M26" s="96">
        <f>SUM(I26:K26)</f>
        <v>1.0574409250879839</v>
      </c>
      <c r="N26" s="96">
        <f>M26-1</f>
        <v>5.7440925087983929E-2</v>
      </c>
    </row>
    <row r="27" spans="1:23" x14ac:dyDescent="0.45">
      <c r="B27" t="s">
        <v>403</v>
      </c>
      <c r="D27" s="87">
        <f>SUM(C24:D24)</f>
        <v>0.60394265232974909</v>
      </c>
      <c r="I27" s="96">
        <f>I26-$N$26/3</f>
        <v>0.13469917881682589</v>
      </c>
      <c r="J27" s="96">
        <f t="shared" ref="J27:K27" si="14">J26-$N$26/3</f>
        <v>0.23085302497067203</v>
      </c>
      <c r="K27" s="96">
        <f t="shared" si="14"/>
        <v>0.63444779621250214</v>
      </c>
      <c r="M27">
        <f>SUM(I27:K27)</f>
        <v>1</v>
      </c>
      <c r="R27" t="s">
        <v>425</v>
      </c>
      <c r="T27" s="87">
        <f>R25+S25</f>
        <v>0.8950980392156862</v>
      </c>
    </row>
    <row r="28" spans="1:23" x14ac:dyDescent="0.45">
      <c r="R28" t="s">
        <v>426</v>
      </c>
      <c r="T28" s="87">
        <f>S25+T25</f>
        <v>0.28480392156862744</v>
      </c>
    </row>
    <row r="29" spans="1:23" x14ac:dyDescent="0.45">
      <c r="I29" s="90" t="s">
        <v>407</v>
      </c>
      <c r="J29" s="90">
        <v>0</v>
      </c>
      <c r="K29" s="90">
        <v>1</v>
      </c>
      <c r="L29" s="90">
        <v>3</v>
      </c>
      <c r="R29" t="s">
        <v>427</v>
      </c>
      <c r="T29" s="87">
        <f>T25+R25</f>
        <v>0.82009803921568614</v>
      </c>
    </row>
    <row r="30" spans="1:23" x14ac:dyDescent="0.45">
      <c r="B30">
        <v>1</v>
      </c>
      <c r="C30" s="3">
        <f>B30/17</f>
        <v>5.8823529411764705E-2</v>
      </c>
      <c r="F30">
        <f>1734/7495</f>
        <v>0.2313542361574383</v>
      </c>
      <c r="I30" s="90" t="s">
        <v>408</v>
      </c>
      <c r="J30" s="97">
        <f>K27</f>
        <v>0.63444779621250214</v>
      </c>
      <c r="K30" s="97">
        <f>J27</f>
        <v>0.23085302497067203</v>
      </c>
      <c r="L30" s="97">
        <f>I27</f>
        <v>0.13469917881682589</v>
      </c>
    </row>
    <row r="31" spans="1:23" x14ac:dyDescent="0.45">
      <c r="B31">
        <v>2</v>
      </c>
      <c r="C31" s="3">
        <f t="shared" ref="C31:C46" si="15">B31/17</f>
        <v>0.11764705882352941</v>
      </c>
      <c r="J31">
        <f>J29*J30</f>
        <v>0</v>
      </c>
      <c r="K31">
        <f t="shared" ref="K31:L31" si="16">K29*K30</f>
        <v>0.23085302497067203</v>
      </c>
      <c r="L31">
        <f t="shared" si="16"/>
        <v>0.40409753645047763</v>
      </c>
      <c r="M31" s="96">
        <f>SUM(J31:L31)</f>
        <v>0.6349505614211497</v>
      </c>
    </row>
    <row r="32" spans="1:23" x14ac:dyDescent="0.45">
      <c r="B32">
        <v>3</v>
      </c>
      <c r="C32" s="3">
        <f t="shared" si="15"/>
        <v>0.17647058823529413</v>
      </c>
      <c r="J32" s="96">
        <f>POWER(J29-$M$31,2)*J30</f>
        <v>0.25578537910778909</v>
      </c>
      <c r="K32" s="96">
        <f t="shared" ref="K32:L32" si="17">POWER(K29-$M$31,2)*K30</f>
        <v>3.0763726339161357E-2</v>
      </c>
      <c r="L32" s="96">
        <f t="shared" si="17"/>
        <v>0.75343431342612155</v>
      </c>
      <c r="M32" s="96">
        <f>SUM(J32:L32)</f>
        <v>1.0399834188730721</v>
      </c>
    </row>
    <row r="33" spans="2:17" x14ac:dyDescent="0.45">
      <c r="B33">
        <v>4</v>
      </c>
      <c r="C33" s="3">
        <f t="shared" si="15"/>
        <v>0.23529411764705882</v>
      </c>
    </row>
    <row r="34" spans="2:17" x14ac:dyDescent="0.45">
      <c r="B34">
        <v>5</v>
      </c>
      <c r="C34" s="3">
        <f t="shared" si="15"/>
        <v>0.29411764705882354</v>
      </c>
      <c r="I34" s="90" t="s">
        <v>375</v>
      </c>
      <c r="J34" s="90">
        <v>-10</v>
      </c>
      <c r="K34" s="90">
        <v>-5</v>
      </c>
      <c r="L34" s="90">
        <v>-2</v>
      </c>
      <c r="M34" s="90">
        <v>0</v>
      </c>
      <c r="N34" s="90">
        <v>5</v>
      </c>
      <c r="O34" s="90">
        <v>50</v>
      </c>
    </row>
    <row r="35" spans="2:17" x14ac:dyDescent="0.45">
      <c r="B35">
        <v>6</v>
      </c>
      <c r="C35" s="3">
        <f t="shared" si="15"/>
        <v>0.35294117647058826</v>
      </c>
      <c r="I35" s="90" t="s">
        <v>408</v>
      </c>
      <c r="J35" s="90">
        <v>0.2</v>
      </c>
      <c r="K35" s="90">
        <v>0.1</v>
      </c>
      <c r="L35" s="90">
        <v>0.25</v>
      </c>
      <c r="M35" s="90">
        <v>0.25</v>
      </c>
      <c r="N35" s="90">
        <v>0.1</v>
      </c>
      <c r="O35" s="90">
        <v>0.1</v>
      </c>
      <c r="Q35">
        <f>SUM(J35:O35)</f>
        <v>1</v>
      </c>
    </row>
    <row r="36" spans="2:17" x14ac:dyDescent="0.45">
      <c r="B36">
        <v>7</v>
      </c>
      <c r="C36" s="3">
        <f t="shared" si="15"/>
        <v>0.41176470588235292</v>
      </c>
    </row>
    <row r="37" spans="2:17" x14ac:dyDescent="0.45">
      <c r="B37">
        <v>8</v>
      </c>
      <c r="C37" s="3">
        <f t="shared" si="15"/>
        <v>0.47058823529411764</v>
      </c>
      <c r="J37">
        <f>J34*J35</f>
        <v>-2</v>
      </c>
      <c r="K37">
        <f t="shared" ref="K37:O37" si="18">K34*K35</f>
        <v>-0.5</v>
      </c>
      <c r="L37">
        <f t="shared" si="18"/>
        <v>-0.5</v>
      </c>
      <c r="M37">
        <f t="shared" si="18"/>
        <v>0</v>
      </c>
      <c r="N37">
        <f t="shared" si="18"/>
        <v>0.5</v>
      </c>
      <c r="O37">
        <f t="shared" si="18"/>
        <v>5</v>
      </c>
      <c r="Q37">
        <f>SUM(J37:O37)</f>
        <v>2.5</v>
      </c>
    </row>
    <row r="38" spans="2:17" x14ac:dyDescent="0.45">
      <c r="B38">
        <v>9</v>
      </c>
      <c r="C38" s="3">
        <f t="shared" si="15"/>
        <v>0.52941176470588236</v>
      </c>
    </row>
    <row r="39" spans="2:17" x14ac:dyDescent="0.45">
      <c r="B39">
        <v>10</v>
      </c>
      <c r="C39" s="3">
        <f t="shared" si="15"/>
        <v>0.58823529411764708</v>
      </c>
    </row>
    <row r="40" spans="2:17" x14ac:dyDescent="0.45">
      <c r="B40">
        <v>11</v>
      </c>
      <c r="C40" s="3">
        <f t="shared" si="15"/>
        <v>0.6470588235294118</v>
      </c>
      <c r="I40" t="s">
        <v>409</v>
      </c>
      <c r="J40">
        <v>0.90669999999999995</v>
      </c>
      <c r="L40" t="s">
        <v>411</v>
      </c>
      <c r="M40" t="s">
        <v>375</v>
      </c>
      <c r="N40" t="s">
        <v>412</v>
      </c>
      <c r="P40" t="s">
        <v>341</v>
      </c>
    </row>
    <row r="41" spans="2:17" x14ac:dyDescent="0.45">
      <c r="B41">
        <v>12</v>
      </c>
      <c r="C41" s="3">
        <f t="shared" si="15"/>
        <v>0.70588235294117652</v>
      </c>
      <c r="I41" t="s">
        <v>410</v>
      </c>
      <c r="J41">
        <v>0.26590000000000003</v>
      </c>
      <c r="L41">
        <f>J40-J44</f>
        <v>0.73409999999999986</v>
      </c>
      <c r="M41">
        <f>J44</f>
        <v>0.17260000000000009</v>
      </c>
      <c r="N41">
        <f>J41-J44</f>
        <v>9.3299999999999939E-2</v>
      </c>
      <c r="P41">
        <v>5.3499999999999999E-2</v>
      </c>
    </row>
    <row r="42" spans="2:17" x14ac:dyDescent="0.45">
      <c r="B42">
        <v>13</v>
      </c>
      <c r="C42" s="3">
        <f t="shared" si="15"/>
        <v>0.76470588235294112</v>
      </c>
      <c r="L42">
        <f>L41+$P$41/3</f>
        <v>0.75193333333333323</v>
      </c>
      <c r="M42">
        <f t="shared" ref="M42:N42" si="19">M41+$P$41/3</f>
        <v>0.19043333333333343</v>
      </c>
      <c r="N42">
        <f t="shared" si="19"/>
        <v>0.11113333333333328</v>
      </c>
    </row>
    <row r="43" spans="2:17" x14ac:dyDescent="0.45">
      <c r="B43">
        <v>14</v>
      </c>
      <c r="C43" s="3">
        <f t="shared" si="15"/>
        <v>0.82352941176470584</v>
      </c>
      <c r="J43">
        <f>SUM(J40:J41)</f>
        <v>1.1726000000000001</v>
      </c>
    </row>
    <row r="44" spans="2:17" x14ac:dyDescent="0.45">
      <c r="B44">
        <v>15</v>
      </c>
      <c r="C44" s="3">
        <f t="shared" si="15"/>
        <v>0.88235294117647056</v>
      </c>
      <c r="I44" t="s">
        <v>350</v>
      </c>
      <c r="J44">
        <f>J43-1</f>
        <v>0.17260000000000009</v>
      </c>
      <c r="L44">
        <f>1/L42</f>
        <v>1.3299051334338152</v>
      </c>
      <c r="M44">
        <f t="shared" ref="M44:N44" si="20">1/M42</f>
        <v>5.2511815158410613</v>
      </c>
      <c r="N44">
        <f t="shared" si="20"/>
        <v>8.9982003599280187</v>
      </c>
    </row>
    <row r="45" spans="2:17" x14ac:dyDescent="0.45">
      <c r="B45">
        <v>16</v>
      </c>
      <c r="C45" s="3">
        <f t="shared" si="15"/>
        <v>0.94117647058823528</v>
      </c>
    </row>
    <row r="46" spans="2:17" x14ac:dyDescent="0.45">
      <c r="B46">
        <v>17</v>
      </c>
      <c r="C46" s="3">
        <f t="shared" si="15"/>
        <v>1</v>
      </c>
    </row>
    <row r="47" spans="2:17" x14ac:dyDescent="0.45">
      <c r="C47" s="3"/>
      <c r="I47" s="90" t="s">
        <v>407</v>
      </c>
      <c r="J47" s="90">
        <v>0</v>
      </c>
      <c r="K47" s="90">
        <v>1</v>
      </c>
      <c r="L47" s="90">
        <v>3</v>
      </c>
    </row>
    <row r="48" spans="2:17" x14ac:dyDescent="0.45">
      <c r="C48" s="3"/>
      <c r="I48" s="90" t="s">
        <v>408</v>
      </c>
      <c r="J48" s="97">
        <v>0.13469917881682589</v>
      </c>
      <c r="K48" s="97">
        <v>0.23085302497067203</v>
      </c>
      <c r="L48" s="97">
        <v>0.63444779621250214</v>
      </c>
      <c r="N48" s="96">
        <f>SUM(J48:L48)</f>
        <v>1</v>
      </c>
    </row>
    <row r="49" spans="9:17" x14ac:dyDescent="0.45">
      <c r="J49">
        <f>1/J48</f>
        <v>7.4239502332814924</v>
      </c>
      <c r="K49">
        <f t="shared" ref="K49:L49" si="21">1/K48</f>
        <v>4.3317604355716881</v>
      </c>
      <c r="L49">
        <f t="shared" si="21"/>
        <v>1.5761738096810407</v>
      </c>
    </row>
    <row r="50" spans="9:17" x14ac:dyDescent="0.45">
      <c r="J50">
        <f>J47*J48</f>
        <v>0</v>
      </c>
      <c r="K50">
        <f t="shared" ref="K50:L50" si="22">K47*K48</f>
        <v>0.23085302497067203</v>
      </c>
      <c r="L50">
        <f>L47*L48</f>
        <v>1.9033433886375064</v>
      </c>
      <c r="N50">
        <f>SUM(J50:L50)</f>
        <v>2.1341964136081786</v>
      </c>
    </row>
    <row r="52" spans="9:17" x14ac:dyDescent="0.45">
      <c r="J52">
        <f>POWER(J47-$N$50,2)*J48</f>
        <v>0.61352705618080727</v>
      </c>
      <c r="K52">
        <f t="shared" ref="K52:L52" si="23">POWER(K47-$N$50,2)*K48</f>
        <v>0.29696967867334995</v>
      </c>
      <c r="L52">
        <f t="shared" si="23"/>
        <v>0.4755921241710232</v>
      </c>
      <c r="N52">
        <f>SUM(J52:L52)</f>
        <v>1.3860888590251805</v>
      </c>
    </row>
    <row r="54" spans="9:17" x14ac:dyDescent="0.45">
      <c r="I54" s="90" t="s">
        <v>375</v>
      </c>
      <c r="J54" s="90">
        <v>-15</v>
      </c>
      <c r="K54" s="90">
        <v>-5</v>
      </c>
      <c r="L54" s="90">
        <v>-4</v>
      </c>
      <c r="M54" s="90">
        <v>0</v>
      </c>
      <c r="N54" s="90">
        <v>5</v>
      </c>
      <c r="O54" s="90">
        <v>85</v>
      </c>
    </row>
    <row r="55" spans="9:17" x14ac:dyDescent="0.45">
      <c r="I55" s="90" t="s">
        <v>408</v>
      </c>
      <c r="J55" s="90">
        <v>0.2</v>
      </c>
      <c r="K55" s="90">
        <v>0.1</v>
      </c>
      <c r="L55" s="90">
        <v>0.25</v>
      </c>
      <c r="M55" s="90">
        <v>0.25</v>
      </c>
      <c r="N55" s="90">
        <v>0.1</v>
      </c>
      <c r="O55" s="90">
        <v>0.1</v>
      </c>
    </row>
    <row r="57" spans="9:17" x14ac:dyDescent="0.45">
      <c r="J57">
        <f>J54*J55</f>
        <v>-3</v>
      </c>
      <c r="K57">
        <f t="shared" ref="K57:O57" si="24">K54*K55</f>
        <v>-0.5</v>
      </c>
      <c r="L57">
        <f t="shared" si="24"/>
        <v>-1</v>
      </c>
      <c r="M57">
        <f t="shared" si="24"/>
        <v>0</v>
      </c>
      <c r="N57">
        <f t="shared" si="24"/>
        <v>0.5</v>
      </c>
      <c r="O57">
        <f t="shared" si="24"/>
        <v>8.5</v>
      </c>
      <c r="Q57">
        <f>SUM(J57:O57)</f>
        <v>4.5</v>
      </c>
    </row>
    <row r="60" spans="9:17" x14ac:dyDescent="0.45">
      <c r="I60" t="s">
        <v>413</v>
      </c>
      <c r="J60">
        <v>0.74070000000000003</v>
      </c>
      <c r="L60" t="s">
        <v>415</v>
      </c>
      <c r="M60" t="s">
        <v>375</v>
      </c>
      <c r="N60" t="s">
        <v>416</v>
      </c>
    </row>
    <row r="61" spans="9:17" x14ac:dyDescent="0.45">
      <c r="I61" t="s">
        <v>414</v>
      </c>
      <c r="J61">
        <v>0.55330000000000001</v>
      </c>
      <c r="L61">
        <f>J60-M61</f>
        <v>0.44669999999999999</v>
      </c>
      <c r="M61">
        <f>J63-1</f>
        <v>0.29400000000000004</v>
      </c>
      <c r="N61">
        <f>J61-M61</f>
        <v>0.25929999999999997</v>
      </c>
      <c r="P61">
        <f>SUM(L61:N61)</f>
        <v>1</v>
      </c>
    </row>
    <row r="62" spans="9:17" x14ac:dyDescent="0.45">
      <c r="L62">
        <f>L61+$P$62/3</f>
        <v>0.4645333333333333</v>
      </c>
      <c r="M62">
        <f>M61+$P$62/3</f>
        <v>0.31183333333333335</v>
      </c>
      <c r="N62">
        <f>N61+$P$62/3</f>
        <v>0.27713333333333329</v>
      </c>
      <c r="P62">
        <v>5.3499999999999999E-2</v>
      </c>
    </row>
    <row r="63" spans="9:17" x14ac:dyDescent="0.45">
      <c r="J63">
        <f>J60+J61</f>
        <v>1.294</v>
      </c>
      <c r="P63">
        <f>SUM(L62:N62)</f>
        <v>1.0534999999999999</v>
      </c>
    </row>
    <row r="64" spans="9:17" x14ac:dyDescent="0.45">
      <c r="L64" s="98">
        <f>1/L62</f>
        <v>2.1526980482204365</v>
      </c>
      <c r="M64" s="98">
        <f t="shared" ref="M64:N64" si="25">1/M62</f>
        <v>3.2068412613575625</v>
      </c>
      <c r="N64" s="98">
        <f t="shared" si="25"/>
        <v>3.6083714216983407</v>
      </c>
    </row>
    <row r="66" spans="9:14" x14ac:dyDescent="0.45">
      <c r="I66" t="s">
        <v>417</v>
      </c>
      <c r="J66" t="s">
        <v>375</v>
      </c>
      <c r="K66" t="s">
        <v>418</v>
      </c>
    </row>
    <row r="67" spans="9:14" x14ac:dyDescent="0.45">
      <c r="I67">
        <v>2.7</v>
      </c>
      <c r="J67">
        <v>2.87</v>
      </c>
      <c r="K67">
        <v>3</v>
      </c>
    </row>
    <row r="68" spans="9:14" x14ac:dyDescent="0.45">
      <c r="I68">
        <f>1/I67</f>
        <v>0.37037037037037035</v>
      </c>
      <c r="J68">
        <f t="shared" ref="J68:K68" si="26">1/J67</f>
        <v>0.34843205574912889</v>
      </c>
      <c r="K68">
        <f t="shared" si="26"/>
        <v>0.33333333333333331</v>
      </c>
      <c r="M68" s="87">
        <f>SUM(I68:K68)</f>
        <v>1.0521357594528324</v>
      </c>
      <c r="N68" s="87">
        <f>M68-1</f>
        <v>5.2135759452832442E-2</v>
      </c>
    </row>
    <row r="69" spans="9:14" x14ac:dyDescent="0.45">
      <c r="I69" s="87">
        <f>I68-N68/3</f>
        <v>0.35299178388609287</v>
      </c>
      <c r="J69" s="87">
        <f>J68-N68/3</f>
        <v>0.33105346926485141</v>
      </c>
      <c r="K69" s="87">
        <f>K68-N68/3</f>
        <v>0.31595474684905583</v>
      </c>
      <c r="M69">
        <f>SUM(I69:K69)</f>
        <v>1</v>
      </c>
    </row>
    <row r="71" spans="9:14" x14ac:dyDescent="0.45">
      <c r="I71" t="s">
        <v>419</v>
      </c>
      <c r="K71" s="87">
        <f>J69+K69</f>
        <v>0.64700821611390724</v>
      </c>
    </row>
    <row r="72" spans="9:14" x14ac:dyDescent="0.45">
      <c r="I72" t="s">
        <v>420</v>
      </c>
      <c r="K72" s="87">
        <f>I69+J69</f>
        <v>0.68404525315094422</v>
      </c>
    </row>
    <row r="73" spans="9:14" x14ac:dyDescent="0.45">
      <c r="I73" t="s">
        <v>421</v>
      </c>
      <c r="K73" s="87">
        <f>I69+K69</f>
        <v>0.66894653073514876</v>
      </c>
    </row>
  </sheetData>
  <mergeCells count="2">
    <mergeCell ref="A7:D7"/>
    <mergeCell ref="A15:D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</vt:lpstr>
      <vt:lpstr>Sheet2</vt:lpstr>
      <vt:lpstr>Sheet3</vt:lpstr>
      <vt:lpstr>Metra</vt:lpstr>
      <vt:lpstr>Leicester</vt:lpstr>
      <vt:lpstr>LeicesterGraphs</vt:lpstr>
      <vt:lpstr>AthMadrid</vt:lpstr>
      <vt:lpstr>AthMadridGraphs</vt:lpstr>
      <vt:lpstr>RealMadrid</vt:lpstr>
      <vt:lpstr>RealMadridGraphs</vt:lpstr>
      <vt:lpstr>Sheet4</vt:lpstr>
      <vt:lpstr>Barcelona</vt:lpstr>
      <vt:lpstr>Sevilla</vt:lpstr>
      <vt:lpstr>GraphsTop4SP1_2020-2021</vt:lpstr>
      <vt:lpstr>Teams</vt:lpstr>
      <vt:lpstr>GraphSP1_2020-2021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Eduardo González Meléndez</dc:creator>
  <cp:lastModifiedBy>Jaime Eduardo González Meléndez</cp:lastModifiedBy>
  <dcterms:created xsi:type="dcterms:W3CDTF">2022-02-05T16:30:30Z</dcterms:created>
  <dcterms:modified xsi:type="dcterms:W3CDTF">2022-03-24T01:51:03Z</dcterms:modified>
</cp:coreProperties>
</file>