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38400" windowHeight="21060" tabRatio="500"/>
  </bookViews>
  <sheets>
    <sheet name="Sheet1" sheetId="1" r:id="rId1"/>
  </sheets>
  <definedNames>
    <definedName name="age">Sheet1!$K$3:$AI$3</definedName>
    <definedName name="ah">Sheet1!$G$18:$G$20</definedName>
    <definedName name="Bo">Sheet1!$B$18</definedName>
    <definedName name="daq21_">Sheet1!$K$38:$AI$38</definedName>
    <definedName name="dlz1_">Sheet1!$K$31:$AI$31</definedName>
    <definedName name="dlz2_">Sheet1!$K$32:$AI$32</definedName>
    <definedName name="dlz3_">Sheet1!$K$33:$AI$33</definedName>
    <definedName name="dmr">Sheet1!$F$18:$F$20</definedName>
    <definedName name="dphif" localSheetId="0">Sheet1!$G$31:$G$33</definedName>
    <definedName name="dqa1_">Sheet1!$K$35:$AI$35</definedName>
    <definedName name="dqa11_">Sheet1!$K$35:$AI$35</definedName>
    <definedName name="dqa12_">Sheet1!$K$40:$AI$40</definedName>
    <definedName name="dqa13_">Sheet1!$K$42:$AI$42</definedName>
    <definedName name="dqa2_">Sheet1!$K$36:$AI$36</definedName>
    <definedName name="dqa21_">Sheet1!$K$38:$AI$38</definedName>
    <definedName name="dqa22_">Sheet1!$K$36:$AI$36</definedName>
    <definedName name="dqa23_">Sheet1!$K$43:$AI$43</definedName>
    <definedName name="dqa3_">Sheet1!$K$37:$AI$37</definedName>
    <definedName name="dqa31_">Sheet1!$K$39:$AI$39</definedName>
    <definedName name="dqa32_">Sheet1!$K$41:$AI$41</definedName>
    <definedName name="dqa33_">Sheet1!$K$37:$AI$37</definedName>
    <definedName name="dre">Sheet1!$H$31:$H$33</definedName>
    <definedName name="f1_">Sheet1!$B$27</definedName>
    <definedName name="f2_">Sheet1!$B$28</definedName>
    <definedName name="f3_">Sheet1!$B$29</definedName>
    <definedName name="flt1_">Sheet1!$K$18:$AI$18</definedName>
    <definedName name="flt2_">Sheet1!$K$19:$AI$19</definedName>
    <definedName name="flt3_">Sheet1!$K$20:$AI$20</definedName>
    <definedName name="g">Sheet1!$I$18:$I$20</definedName>
    <definedName name="gamma">Sheet1!$I$18:$I$20</definedName>
    <definedName name="gh">Sheet1!$H$18:$H$20</definedName>
    <definedName name="len">Sheet1!$K$4:$AI$4</definedName>
    <definedName name="linf">Sheet1!$B$22</definedName>
    <definedName name="lx">Sheet1!$K$6:$AI$6</definedName>
    <definedName name="lz">Sheet1!$K$7:$AI$7</definedName>
    <definedName name="M">Sheet1!$B$20</definedName>
    <definedName name="ma">Sheet1!$K$9:$AI$9</definedName>
    <definedName name="oa">Sheet1!$K$11:$AI$11</definedName>
    <definedName name="phi_q1">Sheet1!$B$37</definedName>
    <definedName name="phi_q2">Sheet1!$B$38</definedName>
    <definedName name="phi_q3">Sheet1!$B$39</definedName>
    <definedName name="phi_t1">Sheet1!$B$34</definedName>
    <definedName name="phi_t2">Sheet1!$B$35</definedName>
    <definedName name="phi_t3">Sheet1!$B$36</definedName>
    <definedName name="phie">Sheet1!$B$32</definedName>
    <definedName name="phif">Sheet1!$B$33</definedName>
    <definedName name="qa1_">Sheet1!$K$22:$AI$22</definedName>
    <definedName name="qa2_">Sheet1!$K$23:$AI$23</definedName>
    <definedName name="qa3_">Sheet1!$K$24:$AI$24</definedName>
    <definedName name="re">Sheet1!$B$43</definedName>
    <definedName name="reck">Sheet1!$B$19</definedName>
    <definedName name="Ro">Sheet1!$B$21</definedName>
    <definedName name="sa">Sheet1!$K$10:$AI$10</definedName>
    <definedName name="slim">Sheet1!$E$18:$E$20</definedName>
    <definedName name="solver_adj" localSheetId="0" hidden="1">Sheet1!$B$27,Sheet1!$B$28,Sheet1!$B$29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Sheet1!$C$55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spr">Sheet1!$B$42</definedName>
    <definedName name="sr">Sheet1!$K$12:$AI$12</definedName>
    <definedName name="ta1_">Sheet1!$K$26:$AI$26</definedName>
    <definedName name="ta2_">Sheet1!$K$27:$AI$27</definedName>
    <definedName name="ta3_">Sheet1!$K$28:$AI$28</definedName>
    <definedName name="vonbk">Sheet1!$B$23</definedName>
    <definedName name="wa">Sheet1!$K$5:$AI$5</definedName>
    <definedName name="ye_1">Sheet1!$B$44</definedName>
    <definedName name="ye_2">Sheet1!$B$45</definedName>
    <definedName name="ye_3">Sheet1!$B$46</definedName>
    <definedName name="za">Sheet1!$K$8:$AI$8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K8" i="1"/>
  <c r="L7" i="1"/>
  <c r="L8" i="1"/>
  <c r="M7" i="1"/>
  <c r="M8" i="1"/>
  <c r="N7" i="1"/>
  <c r="N8" i="1"/>
  <c r="O7" i="1"/>
  <c r="O8" i="1"/>
  <c r="P7" i="1"/>
  <c r="P8" i="1"/>
  <c r="Q7" i="1"/>
  <c r="Q8" i="1"/>
  <c r="R7" i="1"/>
  <c r="R8" i="1"/>
  <c r="S7" i="1"/>
  <c r="S8" i="1"/>
  <c r="T7" i="1"/>
  <c r="T8" i="1"/>
  <c r="U7" i="1"/>
  <c r="U8" i="1"/>
  <c r="V7" i="1"/>
  <c r="V8" i="1"/>
  <c r="W7" i="1"/>
  <c r="W8" i="1"/>
  <c r="X7" i="1"/>
  <c r="X8" i="1"/>
  <c r="Y7" i="1"/>
  <c r="Y8" i="1"/>
  <c r="Z7" i="1"/>
  <c r="Z8" i="1"/>
  <c r="AA7" i="1"/>
  <c r="AA8" i="1"/>
  <c r="AB7" i="1"/>
  <c r="AB8" i="1"/>
  <c r="AC7" i="1"/>
  <c r="AC8" i="1"/>
  <c r="AD7" i="1"/>
  <c r="AD8" i="1"/>
  <c r="AE7" i="1"/>
  <c r="AE8" i="1"/>
  <c r="AF7" i="1"/>
  <c r="AF8" i="1"/>
  <c r="AG7" i="1"/>
  <c r="AG8" i="1"/>
  <c r="AH7" i="1"/>
  <c r="AH8" i="1"/>
  <c r="AI8" i="1"/>
  <c r="AI7" i="1"/>
  <c r="B33" i="1"/>
  <c r="B42" i="1"/>
  <c r="B43" i="1"/>
  <c r="K12" i="1"/>
  <c r="K18" i="1"/>
  <c r="L12" i="1"/>
  <c r="L18" i="1"/>
  <c r="M12" i="1"/>
  <c r="M18" i="1"/>
  <c r="N12" i="1"/>
  <c r="N18" i="1"/>
  <c r="O12" i="1"/>
  <c r="O18" i="1"/>
  <c r="P12" i="1"/>
  <c r="P18" i="1"/>
  <c r="Q12" i="1"/>
  <c r="Q18" i="1"/>
  <c r="R12" i="1"/>
  <c r="R18" i="1"/>
  <c r="S12" i="1"/>
  <c r="S18" i="1"/>
  <c r="T12" i="1"/>
  <c r="T18" i="1"/>
  <c r="U12" i="1"/>
  <c r="U18" i="1"/>
  <c r="V12" i="1"/>
  <c r="V18" i="1"/>
  <c r="W12" i="1"/>
  <c r="W18" i="1"/>
  <c r="X12" i="1"/>
  <c r="X18" i="1"/>
  <c r="Y12" i="1"/>
  <c r="Y18" i="1"/>
  <c r="Z12" i="1"/>
  <c r="Z18" i="1"/>
  <c r="AA12" i="1"/>
  <c r="AA18" i="1"/>
  <c r="AB12" i="1"/>
  <c r="AB18" i="1"/>
  <c r="AC12" i="1"/>
  <c r="AC18" i="1"/>
  <c r="AD12" i="1"/>
  <c r="AD18" i="1"/>
  <c r="AE12" i="1"/>
  <c r="AE18" i="1"/>
  <c r="AF12" i="1"/>
  <c r="AF18" i="1"/>
  <c r="AG12" i="1"/>
  <c r="AG18" i="1"/>
  <c r="AH12" i="1"/>
  <c r="AH18" i="1"/>
  <c r="AI12" i="1"/>
  <c r="AI18" i="1"/>
  <c r="C51" i="1"/>
  <c r="B51" i="1"/>
  <c r="U53" i="1"/>
  <c r="U54" i="1"/>
  <c r="U57" i="1"/>
  <c r="U55" i="1"/>
  <c r="T57" i="1"/>
  <c r="T54" i="1"/>
  <c r="T55" i="1"/>
  <c r="T53" i="1"/>
  <c r="S57" i="1"/>
  <c r="S55" i="1"/>
  <c r="L10" i="1"/>
  <c r="K10" i="1"/>
  <c r="L31" i="1"/>
  <c r="M10" i="1"/>
  <c r="M31" i="1"/>
  <c r="N10" i="1"/>
  <c r="N31" i="1"/>
  <c r="O10" i="1"/>
  <c r="O31" i="1"/>
  <c r="P10" i="1"/>
  <c r="P31" i="1"/>
  <c r="Q10" i="1"/>
  <c r="Q31" i="1"/>
  <c r="R10" i="1"/>
  <c r="R31" i="1"/>
  <c r="S10" i="1"/>
  <c r="S31" i="1"/>
  <c r="T10" i="1"/>
  <c r="T31" i="1"/>
  <c r="U10" i="1"/>
  <c r="U31" i="1"/>
  <c r="V10" i="1"/>
  <c r="V31" i="1"/>
  <c r="W10" i="1"/>
  <c r="W31" i="1"/>
  <c r="X10" i="1"/>
  <c r="X31" i="1"/>
  <c r="Y10" i="1"/>
  <c r="Y31" i="1"/>
  <c r="Z10" i="1"/>
  <c r="Z31" i="1"/>
  <c r="AA10" i="1"/>
  <c r="AA31" i="1"/>
  <c r="AB10" i="1"/>
  <c r="AB31" i="1"/>
  <c r="AC10" i="1"/>
  <c r="AC31" i="1"/>
  <c r="AD10" i="1"/>
  <c r="AD31" i="1"/>
  <c r="AE10" i="1"/>
  <c r="AE31" i="1"/>
  <c r="AF10" i="1"/>
  <c r="AF31" i="1"/>
  <c r="AG10" i="1"/>
  <c r="AG31" i="1"/>
  <c r="AH10" i="1"/>
  <c r="AH31" i="1"/>
  <c r="AI10" i="1"/>
  <c r="AI11" i="1"/>
  <c r="AI31" i="1"/>
  <c r="K22" i="1"/>
  <c r="K11" i="1"/>
  <c r="K35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B23" i="1"/>
  <c r="K4" i="1"/>
  <c r="K20" i="1"/>
  <c r="L4" i="1"/>
  <c r="L20" i="1"/>
  <c r="M4" i="1"/>
  <c r="M20" i="1"/>
  <c r="N4" i="1"/>
  <c r="N20" i="1"/>
  <c r="O4" i="1"/>
  <c r="O20" i="1"/>
  <c r="P4" i="1"/>
  <c r="P20" i="1"/>
  <c r="Q4" i="1"/>
  <c r="Q20" i="1"/>
  <c r="R4" i="1"/>
  <c r="R20" i="1"/>
  <c r="S4" i="1"/>
  <c r="S20" i="1"/>
  <c r="T4" i="1"/>
  <c r="T20" i="1"/>
  <c r="U4" i="1"/>
  <c r="U20" i="1"/>
  <c r="V4" i="1"/>
  <c r="V20" i="1"/>
  <c r="W4" i="1"/>
  <c r="W20" i="1"/>
  <c r="X4" i="1"/>
  <c r="X20" i="1"/>
  <c r="Y4" i="1"/>
  <c r="Y20" i="1"/>
  <c r="Z4" i="1"/>
  <c r="Z20" i="1"/>
  <c r="AA4" i="1"/>
  <c r="AA20" i="1"/>
  <c r="AB4" i="1"/>
  <c r="AB20" i="1"/>
  <c r="AC4" i="1"/>
  <c r="AC20" i="1"/>
  <c r="AD4" i="1"/>
  <c r="AD20" i="1"/>
  <c r="AE4" i="1"/>
  <c r="AE20" i="1"/>
  <c r="AF4" i="1"/>
  <c r="AF20" i="1"/>
  <c r="AG4" i="1"/>
  <c r="AG20" i="1"/>
  <c r="AH4" i="1"/>
  <c r="AH20" i="1"/>
  <c r="AI4" i="1"/>
  <c r="AI20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K5" i="1"/>
  <c r="K7" i="1"/>
  <c r="K26" i="1"/>
  <c r="L23" i="1"/>
  <c r="L47" i="1"/>
  <c r="M23" i="1"/>
  <c r="M47" i="1"/>
  <c r="N23" i="1"/>
  <c r="N47" i="1"/>
  <c r="O23" i="1"/>
  <c r="O47" i="1"/>
  <c r="P23" i="1"/>
  <c r="P47" i="1"/>
  <c r="Q23" i="1"/>
  <c r="Q47" i="1"/>
  <c r="R23" i="1"/>
  <c r="R47" i="1"/>
  <c r="S23" i="1"/>
  <c r="S47" i="1"/>
  <c r="T23" i="1"/>
  <c r="T47" i="1"/>
  <c r="U23" i="1"/>
  <c r="U47" i="1"/>
  <c r="V23" i="1"/>
  <c r="V47" i="1"/>
  <c r="W23" i="1"/>
  <c r="W47" i="1"/>
  <c r="X23" i="1"/>
  <c r="X47" i="1"/>
  <c r="Y23" i="1"/>
  <c r="Y47" i="1"/>
  <c r="Z23" i="1"/>
  <c r="Z47" i="1"/>
  <c r="AA23" i="1"/>
  <c r="AA47" i="1"/>
  <c r="AB23" i="1"/>
  <c r="AB47" i="1"/>
  <c r="AC23" i="1"/>
  <c r="AC47" i="1"/>
  <c r="AD23" i="1"/>
  <c r="AD47" i="1"/>
  <c r="AE23" i="1"/>
  <c r="AE47" i="1"/>
  <c r="AF23" i="1"/>
  <c r="AF47" i="1"/>
  <c r="AG23" i="1"/>
  <c r="AG47" i="1"/>
  <c r="AH23" i="1"/>
  <c r="AH47" i="1"/>
  <c r="AI23" i="1"/>
  <c r="AI47" i="1"/>
  <c r="L24" i="1"/>
  <c r="L48" i="1"/>
  <c r="M24" i="1"/>
  <c r="M48" i="1"/>
  <c r="N24" i="1"/>
  <c r="N48" i="1"/>
  <c r="O24" i="1"/>
  <c r="O48" i="1"/>
  <c r="P24" i="1"/>
  <c r="P48" i="1"/>
  <c r="Q24" i="1"/>
  <c r="Q48" i="1"/>
  <c r="R24" i="1"/>
  <c r="R48" i="1"/>
  <c r="S24" i="1"/>
  <c r="S48" i="1"/>
  <c r="T24" i="1"/>
  <c r="T48" i="1"/>
  <c r="U24" i="1"/>
  <c r="U48" i="1"/>
  <c r="V24" i="1"/>
  <c r="V48" i="1"/>
  <c r="W24" i="1"/>
  <c r="W48" i="1"/>
  <c r="X24" i="1"/>
  <c r="X48" i="1"/>
  <c r="Y24" i="1"/>
  <c r="Y48" i="1"/>
  <c r="Z24" i="1"/>
  <c r="Z48" i="1"/>
  <c r="AA24" i="1"/>
  <c r="AA48" i="1"/>
  <c r="AB24" i="1"/>
  <c r="AB48" i="1"/>
  <c r="AC24" i="1"/>
  <c r="AC48" i="1"/>
  <c r="AD24" i="1"/>
  <c r="AD48" i="1"/>
  <c r="AE24" i="1"/>
  <c r="AE48" i="1"/>
  <c r="AF24" i="1"/>
  <c r="AF48" i="1"/>
  <c r="AG24" i="1"/>
  <c r="AG48" i="1"/>
  <c r="AH24" i="1"/>
  <c r="AH48" i="1"/>
  <c r="AI24" i="1"/>
  <c r="AI48" i="1"/>
  <c r="K24" i="1"/>
  <c r="K48" i="1"/>
  <c r="K23" i="1"/>
  <c r="K47" i="1"/>
  <c r="L22" i="1"/>
  <c r="L46" i="1"/>
  <c r="M22" i="1"/>
  <c r="M46" i="1"/>
  <c r="N22" i="1"/>
  <c r="N46" i="1"/>
  <c r="O22" i="1"/>
  <c r="O46" i="1"/>
  <c r="P22" i="1"/>
  <c r="P46" i="1"/>
  <c r="Q22" i="1"/>
  <c r="Q46" i="1"/>
  <c r="R22" i="1"/>
  <c r="R46" i="1"/>
  <c r="S22" i="1"/>
  <c r="S46" i="1"/>
  <c r="T22" i="1"/>
  <c r="T46" i="1"/>
  <c r="U22" i="1"/>
  <c r="U46" i="1"/>
  <c r="V22" i="1"/>
  <c r="V46" i="1"/>
  <c r="W22" i="1"/>
  <c r="W46" i="1"/>
  <c r="X22" i="1"/>
  <c r="X46" i="1"/>
  <c r="Y22" i="1"/>
  <c r="Y46" i="1"/>
  <c r="Z22" i="1"/>
  <c r="Z46" i="1"/>
  <c r="AA22" i="1"/>
  <c r="AA46" i="1"/>
  <c r="AB22" i="1"/>
  <c r="AB46" i="1"/>
  <c r="AC22" i="1"/>
  <c r="AC46" i="1"/>
  <c r="AD22" i="1"/>
  <c r="AD46" i="1"/>
  <c r="AE22" i="1"/>
  <c r="AE46" i="1"/>
  <c r="AF22" i="1"/>
  <c r="AF46" i="1"/>
  <c r="AG22" i="1"/>
  <c r="AG46" i="1"/>
  <c r="AH22" i="1"/>
  <c r="AH46" i="1"/>
  <c r="AI22" i="1"/>
  <c r="AI46" i="1"/>
  <c r="K46" i="1"/>
  <c r="K38" i="1"/>
  <c r="L11" i="1"/>
  <c r="L38" i="1"/>
  <c r="M11" i="1"/>
  <c r="M38" i="1"/>
  <c r="N11" i="1"/>
  <c r="N38" i="1"/>
  <c r="O11" i="1"/>
  <c r="O38" i="1"/>
  <c r="P11" i="1"/>
  <c r="P38" i="1"/>
  <c r="Q11" i="1"/>
  <c r="Q38" i="1"/>
  <c r="R11" i="1"/>
  <c r="R38" i="1"/>
  <c r="S11" i="1"/>
  <c r="S38" i="1"/>
  <c r="T11" i="1"/>
  <c r="T38" i="1"/>
  <c r="U11" i="1"/>
  <c r="U38" i="1"/>
  <c r="V11" i="1"/>
  <c r="V38" i="1"/>
  <c r="W11" i="1"/>
  <c r="W38" i="1"/>
  <c r="X11" i="1"/>
  <c r="X38" i="1"/>
  <c r="Y11" i="1"/>
  <c r="Y38" i="1"/>
  <c r="Z11" i="1"/>
  <c r="Z38" i="1"/>
  <c r="AA11" i="1"/>
  <c r="AA38" i="1"/>
  <c r="AB11" i="1"/>
  <c r="AB38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D11" i="1"/>
  <c r="AD38" i="1"/>
  <c r="AE11" i="1"/>
  <c r="AE38" i="1"/>
  <c r="AF11" i="1"/>
  <c r="AF38" i="1"/>
  <c r="AG11" i="1"/>
  <c r="AG38" i="1"/>
  <c r="AH11" i="1"/>
  <c r="AH38" i="1"/>
  <c r="AI38" i="1"/>
  <c r="AD39" i="1"/>
  <c r="AE39" i="1"/>
  <c r="AF39" i="1"/>
  <c r="AG39" i="1"/>
  <c r="AH39" i="1"/>
  <c r="AI39" i="1"/>
  <c r="AD40" i="1"/>
  <c r="AE40" i="1"/>
  <c r="AF40" i="1"/>
  <c r="AG40" i="1"/>
  <c r="AH40" i="1"/>
  <c r="AI40" i="1"/>
  <c r="AD41" i="1"/>
  <c r="AE41" i="1"/>
  <c r="AF41" i="1"/>
  <c r="AG41" i="1"/>
  <c r="AH41" i="1"/>
  <c r="AI41" i="1"/>
  <c r="AD42" i="1"/>
  <c r="AE42" i="1"/>
  <c r="AF42" i="1"/>
  <c r="AG42" i="1"/>
  <c r="AH42" i="1"/>
  <c r="AI42" i="1"/>
  <c r="AD43" i="1"/>
  <c r="AE43" i="1"/>
  <c r="AF43" i="1"/>
  <c r="AG43" i="1"/>
  <c r="AH43" i="1"/>
  <c r="AI43" i="1"/>
  <c r="AC11" i="1"/>
  <c r="AC39" i="1"/>
  <c r="AC38" i="1"/>
  <c r="AC43" i="1"/>
  <c r="AC42" i="1"/>
  <c r="AC41" i="1"/>
  <c r="AC40" i="1"/>
  <c r="I36" i="1"/>
  <c r="H37" i="1"/>
  <c r="G37" i="1"/>
  <c r="H35" i="1"/>
  <c r="I35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G36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G31" i="1"/>
  <c r="B13" i="1"/>
  <c r="B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K28" i="1"/>
  <c r="K27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6" i="1"/>
  <c r="B35" i="1"/>
  <c r="B36" i="1"/>
  <c r="B34" i="1"/>
  <c r="C34" i="1"/>
  <c r="C11" i="1"/>
  <c r="C35" i="1"/>
  <c r="C12" i="1"/>
  <c r="C36" i="1"/>
  <c r="C13" i="1"/>
  <c r="B32" i="1"/>
  <c r="H32" i="1"/>
  <c r="H31" i="1"/>
  <c r="H33" i="1"/>
  <c r="C7" i="1"/>
  <c r="C14" i="1"/>
  <c r="C15" i="1"/>
  <c r="B39" i="1"/>
  <c r="I41" i="1"/>
  <c r="I52" i="1"/>
  <c r="B38" i="1"/>
  <c r="B45" i="1"/>
  <c r="B46" i="1"/>
  <c r="H40" i="1"/>
  <c r="H52" i="1"/>
  <c r="I40" i="1"/>
  <c r="H41" i="1"/>
  <c r="B53" i="1"/>
  <c r="B54" i="1"/>
  <c r="B49" i="1"/>
  <c r="C53" i="1"/>
  <c r="C54" i="1"/>
  <c r="B37" i="1"/>
  <c r="B44" i="1"/>
  <c r="B52" i="1"/>
  <c r="B55" i="1"/>
  <c r="G40" i="1"/>
  <c r="G39" i="1"/>
  <c r="G52" i="1"/>
  <c r="J53" i="1" a="1"/>
  <c r="J54" i="1"/>
  <c r="G54" i="1"/>
  <c r="G48" i="1"/>
  <c r="C44" i="1"/>
  <c r="C4" i="1"/>
  <c r="C45" i="1"/>
  <c r="C5" i="1"/>
  <c r="C46" i="1"/>
  <c r="C6" i="1"/>
  <c r="C8" i="1"/>
  <c r="J55" i="1"/>
  <c r="I55" i="1"/>
  <c r="I49" i="1"/>
  <c r="H55" i="1"/>
  <c r="H49" i="1"/>
  <c r="I54" i="1"/>
  <c r="I48" i="1"/>
  <c r="H54" i="1"/>
  <c r="H48" i="1"/>
  <c r="H39" i="1"/>
  <c r="J53" i="1"/>
  <c r="H53" i="1"/>
  <c r="H47" i="1"/>
  <c r="B47" i="1"/>
  <c r="I39" i="1"/>
  <c r="I53" i="1"/>
  <c r="I47" i="1"/>
  <c r="G41" i="1"/>
  <c r="G55" i="1"/>
  <c r="G49" i="1"/>
  <c r="G53" i="1"/>
  <c r="G47" i="1"/>
  <c r="C52" i="1"/>
  <c r="C55" i="1"/>
</calcChain>
</file>

<file path=xl/comments1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</t>
        </r>
      </text>
    </comment>
  </commentList>
</comments>
</file>

<file path=xl/sharedStrings.xml><?xml version="1.0" encoding="utf-8"?>
<sst xmlns="http://schemas.openxmlformats.org/spreadsheetml/2006/main" count="95" uniqueCount="90">
  <si>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</si>
  <si>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</si>
  <si>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</si>
  <si>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</si>
  <si>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</si>
  <si>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</si>
  <si>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</si>
  <si>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</si>
  <si>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</si>
  <si>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</si>
  <si>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</si>
  <si>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</si>
  <si>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</si>
  <si>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</si>
  <si>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</si>
  <si>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</si>
  <si>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</si>
  <si>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</si>
  <si>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</si>
  <si>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</si>
  <si>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</si>
  <si>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</si>
  <si>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</si>
  <si>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</si>
  <si>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</si>
  <si>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</si>
  <si>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</si>
  <si>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</si>
  <si>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</si>
  <si>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</si>
  <si>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</si>
  <si>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</si>
  <si>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</si>
  <si>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</si>
  <si>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</si>
  <si>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</si>
  <si>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</si>
  <si>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</si>
  <si>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</si>
  <si>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</si>
  <si>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</si>
  <si>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</si>
  <si>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</si>
  <si>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</si>
  <si>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</si>
  <si>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</si>
  <si>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</si>
  <si>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</si>
  <si>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</si>
  <si>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</si>
  <si>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</si>
  <si>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</si>
  <si>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</si>
  <si>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</si>
  <si>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</si>
  <si>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</si>
  <si>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</si>
  <si>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</si>
  <si>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</si>
  <si>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</si>
  <si>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</si>
  <si>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</si>
  <si>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</si>
  <si>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</si>
  <si>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</si>
  <si>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</si>
  <si>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</si>
  <si>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</si>
  <si>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</si>
  <si>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</si>
  <si>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Mitigation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</si>
  <si>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</si>
  <si>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</si>
  <si>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</si>
  <si>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</si>
  <si>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</si>
  <si>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</si>
  <si>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</si>
  <si>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</si>
  <si>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PSC limit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</si>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</sst>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5" formatCode="0.0000"/>
  </numFmts>
  <fonts count="1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4" fillId="0" borderId="0" xfId="0" applyNumberFormat="1" applyFont="1"/>
    <xf numFmtId="2" fontId="0" fillId="0" borderId="0" xfId="0" applyNumberFormat="1" applyFont="1"/>
    <xf numFmtId="0" fontId="2" fillId="4" borderId="0" xfId="5"/>
    <xf numFmtId="0" fontId="2" fillId="6" borderId="0" xfId="7"/>
    <xf numFmtId="0" fontId="2" fillId="2" borderId="0" xfId="3"/>
    <xf numFmtId="2" fontId="2" fillId="5" borderId="0" xfId="6" applyNumberFormat="1"/>
    <xf numFmtId="0" fontId="2" fillId="5" borderId="0" xfId="6"/>
    <xf numFmtId="0" fontId="4" fillId="0" borderId="0" xfId="0" applyFont="1"/>
    <xf numFmtId="9" fontId="4" fillId="0" borderId="0" xfId="2" applyFont="1"/>
    <xf numFmtId="0" fontId="8" fillId="0" borderId="0" xfId="0" applyFont="1" applyAlignment="1">
      <alignment horizontal="right"/>
    </xf>
    <xf numFmtId="10" fontId="9" fillId="0" borderId="0" xfId="2" applyNumberFormat="1" applyFont="1"/>
    <xf numFmtId="0" fontId="10" fillId="0" borderId="0" xfId="0" applyFont="1"/>
    <xf numFmtId="9" fontId="10" fillId="0" borderId="0" xfId="2" applyFont="1"/>
    <xf numFmtId="2" fontId="10" fillId="0" borderId="0" xfId="0" applyNumberFormat="1" applyFont="1"/>
    <xf numFmtId="0" fontId="2" fillId="5" borderId="0" xfId="6" applyAlignment="1">
      <alignment horizontal="left"/>
    </xf>
    <xf numFmtId="9" fontId="8" fillId="0" borderId="0" xfId="2" applyFont="1"/>
    <xf numFmtId="0" fontId="3" fillId="0" borderId="0" xfId="0" applyFont="1"/>
    <xf numFmtId="0" fontId="0" fillId="0" borderId="0" xfId="0" applyFont="1" applyAlignment="1">
      <alignment horizontal="right"/>
    </xf>
    <xf numFmtId="165" fontId="2" fillId="3" borderId="0" xfId="4" applyNumberFormat="1" applyAlignment="1">
      <alignment horizontal="center"/>
    </xf>
    <xf numFmtId="2" fontId="4" fillId="0" borderId="0" xfId="0" applyNumberFormat="1" applyFont="1"/>
    <xf numFmtId="2" fontId="8" fillId="0" borderId="0" xfId="0" applyNumberFormat="1" applyFont="1"/>
    <xf numFmtId="164" fontId="0" fillId="0" borderId="0" xfId="0" applyNumberFormat="1"/>
    <xf numFmtId="0" fontId="2" fillId="6" borderId="1" xfId="7" applyBorder="1"/>
    <xf numFmtId="0" fontId="13" fillId="0" borderId="0" xfId="0" applyFont="1"/>
  </cellXfs>
  <cellStyles count="48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7"/>
  <sheetViews>
    <sheetView tabSelected="1" topLeftCell="A24" zoomScale="125" zoomScaleNormal="125" zoomScalePageLayoutView="125" workbookViewId="0">
      <pane xSplit="10" topLeftCell="K1" activePane="topRight" state="frozen"/>
      <selection pane="topRight" activeCell="C27" sqref="C27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75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$C44</f>
        <v>0.37525792595872431</v>
      </c>
      <c r="J4" t="s">
        <v>80</v>
      </c>
      <c r="K4" s="1">
        <f t="shared" ref="K4:AI4" si="0">linf*(1-EXP(-vonbk*age))</f>
        <v>19.793516300140091</v>
      </c>
      <c r="L4" s="1">
        <f t="shared" si="0"/>
        <v>35.598960092080048</v>
      </c>
      <c r="M4" s="1">
        <f t="shared" si="0"/>
        <v>48.219863304633819</v>
      </c>
      <c r="N4" s="1">
        <f t="shared" si="0"/>
        <v>58.297859215250313</v>
      </c>
      <c r="O4" s="1">
        <f t="shared" si="0"/>
        <v>66.345302402468292</v>
      </c>
      <c r="P4" s="1">
        <f t="shared" si="0"/>
        <v>72.771316307006472</v>
      </c>
      <c r="Q4" s="1">
        <f t="shared" si="0"/>
        <v>77.902592631753492</v>
      </c>
      <c r="R4" s="1">
        <f t="shared" si="0"/>
        <v>82</v>
      </c>
      <c r="S4" s="1">
        <f t="shared" si="0"/>
        <v>85.271846238409012</v>
      </c>
      <c r="T4" s="1">
        <f t="shared" si="0"/>
        <v>87.884468525065458</v>
      </c>
      <c r="U4" s="1">
        <f t="shared" si="0"/>
        <v>89.970689794452838</v>
      </c>
      <c r="V4" s="1">
        <f t="shared" si="0"/>
        <v>91.636571313979459</v>
      </c>
      <c r="W4" s="1">
        <f t="shared" si="0"/>
        <v>92.966804725852967</v>
      </c>
      <c r="X4" s="1">
        <f t="shared" si="0"/>
        <v>94.029017679969584</v>
      </c>
      <c r="Y4" s="1">
        <f t="shared" si="0"/>
        <v>94.877211951608004</v>
      </c>
      <c r="Z4" s="1">
        <f t="shared" si="0"/>
        <v>95.554508834170107</v>
      </c>
      <c r="AA4" s="1">
        <f t="shared" si="0"/>
        <v>96.095341379811089</v>
      </c>
      <c r="AB4" s="1">
        <f t="shared" si="0"/>
        <v>96.527204939138343</v>
      </c>
      <c r="AC4" s="1">
        <f t="shared" si="0"/>
        <v>96.872054995552304</v>
      </c>
      <c r="AD4" s="1">
        <f t="shared" si="0"/>
        <v>97.147423358638946</v>
      </c>
      <c r="AE4" s="1">
        <f t="shared" si="0"/>
        <v>97.367309462696838</v>
      </c>
      <c r="AF4" s="1">
        <f t="shared" si="0"/>
        <v>97.542892083066874</v>
      </c>
      <c r="AG4" s="1">
        <f t="shared" si="0"/>
        <v>97.683097653164623</v>
      </c>
      <c r="AH4" s="1">
        <f t="shared" si="0"/>
        <v>97.795054074848096</v>
      </c>
      <c r="AI4" s="1">
        <f t="shared" si="0"/>
        <v>97.884453093356598</v>
      </c>
    </row>
    <row r="5" spans="1:35">
      <c r="A5" s="5">
        <v>2</v>
      </c>
      <c r="B5" s="25">
        <v>0.33333000000000002</v>
      </c>
      <c r="C5" s="22">
        <f>$C45</f>
        <v>0.24948414051706141</v>
      </c>
      <c r="J5" t="s">
        <v>3</v>
      </c>
      <c r="K5" s="9">
        <f t="shared" ref="K5:AI5" si="1">0.00001*len^3</f>
        <v>7.7547688877270149E-2</v>
      </c>
      <c r="L5" s="9">
        <f t="shared" si="1"/>
        <v>0.45114062302389013</v>
      </c>
      <c r="M5" s="9">
        <f t="shared" si="1"/>
        <v>1.1211866673146547</v>
      </c>
      <c r="N5" s="9">
        <f t="shared" si="1"/>
        <v>1.9813345892591618</v>
      </c>
      <c r="O5" s="9">
        <f t="shared" si="1"/>
        <v>2.9203206124948746</v>
      </c>
      <c r="P5" s="9">
        <f t="shared" si="1"/>
        <v>3.8537247471550278</v>
      </c>
      <c r="Q5" s="9">
        <f t="shared" si="1"/>
        <v>4.7277634002826563</v>
      </c>
      <c r="R5" s="9">
        <f t="shared" si="1"/>
        <v>5.5136800000000008</v>
      </c>
      <c r="S5" s="9">
        <f t="shared" si="1"/>
        <v>6.2003613190327593</v>
      </c>
      <c r="T5" s="9">
        <f t="shared" si="1"/>
        <v>6.7879149497799078</v>
      </c>
      <c r="U5" s="9">
        <f t="shared" si="1"/>
        <v>7.2828799393382431</v>
      </c>
      <c r="V5" s="9">
        <f t="shared" si="1"/>
        <v>7.6949622499586763</v>
      </c>
      <c r="W5" s="9">
        <f t="shared" si="1"/>
        <v>8.0349598962254518</v>
      </c>
      <c r="X5" s="9">
        <f t="shared" si="1"/>
        <v>8.3135343813632918</v>
      </c>
      <c r="Y5" s="9">
        <f t="shared" si="1"/>
        <v>8.5405480865639891</v>
      </c>
      <c r="Z5" s="9">
        <f t="shared" si="1"/>
        <v>8.724761289990024</v>
      </c>
      <c r="AA5" s="9">
        <f t="shared" si="1"/>
        <v>8.8737461724953501</v>
      </c>
      <c r="AB5" s="9">
        <f t="shared" si="1"/>
        <v>8.9939235686508034</v>
      </c>
      <c r="AC5" s="9">
        <f t="shared" si="1"/>
        <v>9.0906625791293632</v>
      </c>
      <c r="AD5" s="9">
        <f t="shared" si="1"/>
        <v>9.1684064683953039</v>
      </c>
      <c r="AE5" s="9">
        <f t="shared" si="1"/>
        <v>9.2308035438579932</v>
      </c>
      <c r="AF5" s="9">
        <f t="shared" si="1"/>
        <v>9.2808314179412932</v>
      </c>
      <c r="AG5" s="9">
        <f t="shared" si="1"/>
        <v>9.3209090332404063</v>
      </c>
      <c r="AH5" s="9">
        <f t="shared" si="1"/>
        <v>9.3529943822889159</v>
      </c>
      <c r="AI5" s="9">
        <f t="shared" si="1"/>
        <v>9.3786678620287827</v>
      </c>
    </row>
    <row r="6" spans="1:35">
      <c r="A6" s="5">
        <v>3</v>
      </c>
      <c r="B6" s="25">
        <f>1-SUM(B4:B5)</f>
        <v>0.33333999999999997</v>
      </c>
      <c r="C6" s="22">
        <f>$C46</f>
        <v>0.37525793352421427</v>
      </c>
      <c r="J6" t="s">
        <v>6</v>
      </c>
      <c r="K6" s="1">
        <f t="shared" ref="K6:AH6" si="2">EXP(-M*(age-1))</f>
        <v>1</v>
      </c>
      <c r="L6" s="1">
        <f t="shared" si="2"/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0.39999855522103445</v>
      </c>
      <c r="J7" t="s">
        <v>7</v>
      </c>
      <c r="K7" s="1">
        <f>1</f>
        <v>1</v>
      </c>
      <c r="L7" s="1">
        <f>K7*EXP(-K8)</f>
        <v>0.85900827925841472</v>
      </c>
      <c r="M7" s="1">
        <f t="shared" ref="M7:AH7" si="3">L7*EXP(-L8)</f>
        <v>0.72936528936255107</v>
      </c>
      <c r="N7" s="1">
        <f t="shared" si="3"/>
        <v>0.59437660857517127</v>
      </c>
      <c r="O7" s="1">
        <f t="shared" si="3"/>
        <v>0.4791557486424079</v>
      </c>
      <c r="P7" s="1">
        <f t="shared" si="3"/>
        <v>0.38436277876920294</v>
      </c>
      <c r="Q7" s="1">
        <f t="shared" si="3"/>
        <v>0.30505155612601553</v>
      </c>
      <c r="R7" s="1">
        <f t="shared" si="3"/>
        <v>0.24338143204333321</v>
      </c>
      <c r="S7" s="1">
        <f t="shared" si="3"/>
        <v>0.19523019947119899</v>
      </c>
      <c r="T7" s="1">
        <f t="shared" si="3"/>
        <v>0.15715041457524606</v>
      </c>
      <c r="U7" s="1">
        <f t="shared" si="3"/>
        <v>0.12676713971690712</v>
      </c>
      <c r="V7" s="1">
        <f t="shared" si="3"/>
        <v>0.10239017874408822</v>
      </c>
      <c r="W7" s="1">
        <f t="shared" si="3"/>
        <v>8.2765654137124944E-2</v>
      </c>
      <c r="X7" s="1">
        <f t="shared" si="3"/>
        <v>6.6934286147931288E-2</v>
      </c>
      <c r="Y7" s="1">
        <f t="shared" si="3"/>
        <v>5.4146789719211719E-2</v>
      </c>
      <c r="Z7" s="1">
        <f t="shared" si="3"/>
        <v>4.3809997570385346E-2</v>
      </c>
      <c r="AA7" s="1">
        <f t="shared" si="3"/>
        <v>3.5450337216877535E-2</v>
      </c>
      <c r="AB7" s="1">
        <f t="shared" si="3"/>
        <v>2.868772143813518E-2</v>
      </c>
      <c r="AC7" s="1">
        <f t="shared" si="3"/>
        <v>2.3216102618967307E-2</v>
      </c>
      <c r="AD7" s="1">
        <f t="shared" si="3"/>
        <v>1.8788560049267523E-2</v>
      </c>
      <c r="AE7" s="1">
        <f t="shared" si="3"/>
        <v>1.5205635217165262E-2</v>
      </c>
      <c r="AF7" s="1">
        <f t="shared" si="3"/>
        <v>1.2306089767026372E-2</v>
      </c>
      <c r="AG7" s="1">
        <f t="shared" si="3"/>
        <v>9.9595231708173929E-3</v>
      </c>
      <c r="AH7" s="1">
        <f t="shared" si="3"/>
        <v>8.0604459486215609E-3</v>
      </c>
      <c r="AI7" s="1">
        <f>AH7*EXP(-AH8)/(1-EXP(-AI8))</f>
        <v>3.4212785794285813E-2</v>
      </c>
    </row>
    <row r="8" spans="1:35">
      <c r="A8" s="5"/>
      <c r="B8" s="26" t="s">
        <v>50</v>
      </c>
      <c r="C8" s="26">
        <f>SUMXMY2(B4:B7,C4:C7)</f>
        <v>1.0545192280660786E-2</v>
      </c>
      <c r="J8" t="s">
        <v>11</v>
      </c>
      <c r="K8" s="1">
        <f t="shared" ref="K8:AI8" si="4">M+f1_*flt1_ +f2_*flt2_ +f3_*flt3_</f>
        <v>0.15197671879239133</v>
      </c>
      <c r="L8" s="1">
        <f t="shared" si="4"/>
        <v>0.16360387087929923</v>
      </c>
      <c r="M8" s="1">
        <f t="shared" si="4"/>
        <v>0.20466154968398695</v>
      </c>
      <c r="N8" s="1">
        <f t="shared" si="4"/>
        <v>0.21548744132458728</v>
      </c>
      <c r="O8" s="1">
        <f t="shared" si="4"/>
        <v>0.22043885531855648</v>
      </c>
      <c r="P8" s="1">
        <f t="shared" si="4"/>
        <v>0.2311060441822208</v>
      </c>
      <c r="Q8" s="1">
        <f t="shared" si="4"/>
        <v>0.22585090692859816</v>
      </c>
      <c r="R8" s="1">
        <f t="shared" si="4"/>
        <v>0.22045051945419322</v>
      </c>
      <c r="S8" s="1">
        <f t="shared" si="4"/>
        <v>0.21697597109200883</v>
      </c>
      <c r="T8" s="1">
        <f t="shared" si="4"/>
        <v>0.2148515434060404</v>
      </c>
      <c r="U8" s="1">
        <f t="shared" si="4"/>
        <v>0.21356106061683644</v>
      </c>
      <c r="V8" s="1">
        <f t="shared" si="4"/>
        <v>0.21277762707482792</v>
      </c>
      <c r="W8" s="1">
        <f t="shared" si="4"/>
        <v>0.21230183590258897</v>
      </c>
      <c r="X8" s="1">
        <f t="shared" si="4"/>
        <v>0.2120126476001975</v>
      </c>
      <c r="Y8" s="1">
        <f t="shared" si="4"/>
        <v>0.21183664035799113</v>
      </c>
      <c r="Z8" s="1">
        <f t="shared" si="4"/>
        <v>0.21172928097010918</v>
      </c>
      <c r="AA8" s="1">
        <f t="shared" si="4"/>
        <v>0.21166355863034145</v>
      </c>
      <c r="AB8" s="1">
        <f t="shared" si="4"/>
        <v>0.21162309045235206</v>
      </c>
      <c r="AC8" s="1">
        <f t="shared" si="4"/>
        <v>0.21159793971293653</v>
      </c>
      <c r="AD8" s="1">
        <f t="shared" si="4"/>
        <v>0.21158207948478536</v>
      </c>
      <c r="AE8" s="1">
        <f t="shared" si="4"/>
        <v>0.21157185425169875</v>
      </c>
      <c r="AF8" s="1">
        <f t="shared" si="4"/>
        <v>0.21156504683102398</v>
      </c>
      <c r="AG8" s="1">
        <f t="shared" si="4"/>
        <v>0.21156031243350348</v>
      </c>
      <c r="AH8" s="1">
        <f t="shared" si="4"/>
        <v>0.2115568354032214</v>
      </c>
      <c r="AI8" s="1">
        <f t="shared" si="4"/>
        <v>0.21155412101985654</v>
      </c>
    </row>
    <row r="9" spans="1:35">
      <c r="A9" s="12" t="s">
        <v>74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5">EXP(-za)</f>
        <v>0.85900827925841472</v>
      </c>
      <c r="L10" s="1">
        <f t="shared" si="5"/>
        <v>0.84907829991139905</v>
      </c>
      <c r="M10" s="1">
        <f t="shared" si="5"/>
        <v>0.81492308071671893</v>
      </c>
      <c r="N10" s="1">
        <f t="shared" si="5"/>
        <v>0.80614839435056385</v>
      </c>
      <c r="O10" s="1">
        <f t="shared" si="5"/>
        <v>0.80216668558859638</v>
      </c>
      <c r="P10" s="1">
        <f t="shared" si="5"/>
        <v>0.79365529904545939</v>
      </c>
      <c r="Q10" s="1">
        <f t="shared" si="5"/>
        <v>0.79783704477414086</v>
      </c>
      <c r="R10" s="1">
        <f t="shared" si="5"/>
        <v>0.80215732906214032</v>
      </c>
      <c r="S10" s="1">
        <f t="shared" si="5"/>
        <v>0.80494931112555368</v>
      </c>
      <c r="T10" s="1">
        <f t="shared" si="5"/>
        <v>0.80666118546069143</v>
      </c>
      <c r="U10" s="1">
        <f t="shared" si="5"/>
        <v>0.80770283981119351</v>
      </c>
      <c r="V10" s="1">
        <f t="shared" si="5"/>
        <v>0.80833586924374468</v>
      </c>
      <c r="W10" s="1">
        <f t="shared" si="5"/>
        <v>0.8087205598234688</v>
      </c>
      <c r="X10" s="1">
        <f t="shared" si="5"/>
        <v>0.80895446616913258</v>
      </c>
      <c r="Y10" s="1">
        <f t="shared" si="5"/>
        <v>0.80909686054464658</v>
      </c>
      <c r="Z10" s="1">
        <f t="shared" si="5"/>
        <v>0.80918372935133942</v>
      </c>
      <c r="AA10" s="1">
        <f t="shared" si="5"/>
        <v>0.80923691254697727</v>
      </c>
      <c r="AB10" s="1">
        <f t="shared" si="5"/>
        <v>0.80926966155303159</v>
      </c>
      <c r="AC10" s="1">
        <f t="shared" si="5"/>
        <v>0.80929001553936408</v>
      </c>
      <c r="AD10" s="1">
        <f t="shared" si="5"/>
        <v>0.80930285116543865</v>
      </c>
      <c r="AE10" s="1">
        <f t="shared" si="5"/>
        <v>0.80931112651803816</v>
      </c>
      <c r="AF10" s="1">
        <f t="shared" si="5"/>
        <v>0.80931663585808533</v>
      </c>
      <c r="AG10" s="1">
        <f t="shared" si="5"/>
        <v>0.80932046749382969</v>
      </c>
      <c r="AH10" s="1">
        <f t="shared" si="5"/>
        <v>0.80932328153049526</v>
      </c>
      <c r="AI10" s="1">
        <f t="shared" si="5"/>
        <v>0.80932547834712898</v>
      </c>
    </row>
    <row r="11" spans="1:35">
      <c r="A11" s="5">
        <v>1</v>
      </c>
      <c r="B11" s="25">
        <v>0.33333000000000002</v>
      </c>
      <c r="C11" s="18">
        <f>$C34</f>
        <v>0.25841295705322731</v>
      </c>
      <c r="J11" t="s">
        <v>56</v>
      </c>
      <c r="K11" s="1">
        <f>1-sa</f>
        <v>0.14099172074158528</v>
      </c>
      <c r="L11" s="1">
        <f t="shared" ref="L11:AI11" si="6">1-sa</f>
        <v>0.15092170008860095</v>
      </c>
      <c r="M11" s="1">
        <f t="shared" si="6"/>
        <v>0.18507691928328107</v>
      </c>
      <c r="N11" s="1">
        <f t="shared" si="6"/>
        <v>0.19385160564943615</v>
      </c>
      <c r="O11" s="1">
        <f t="shared" si="6"/>
        <v>0.19783331441140362</v>
      </c>
      <c r="P11" s="1">
        <f t="shared" si="6"/>
        <v>0.20634470095454061</v>
      </c>
      <c r="Q11" s="1">
        <f t="shared" si="6"/>
        <v>0.20216295522585914</v>
      </c>
      <c r="R11" s="1">
        <f t="shared" si="6"/>
        <v>0.19784267093785968</v>
      </c>
      <c r="S11" s="1">
        <f t="shared" si="6"/>
        <v>0.19505068887444632</v>
      </c>
      <c r="T11" s="1">
        <f t="shared" si="6"/>
        <v>0.19333881453930857</v>
      </c>
      <c r="U11" s="1">
        <f t="shared" si="6"/>
        <v>0.19229716018880649</v>
      </c>
      <c r="V11" s="1">
        <f t="shared" si="6"/>
        <v>0.19166413075625532</v>
      </c>
      <c r="W11" s="1">
        <f t="shared" si="6"/>
        <v>0.1912794401765312</v>
      </c>
      <c r="X11" s="1">
        <f t="shared" si="6"/>
        <v>0.19104553383086742</v>
      </c>
      <c r="Y11" s="1">
        <f t="shared" si="6"/>
        <v>0.19090313945535342</v>
      </c>
      <c r="Z11" s="1">
        <f t="shared" si="6"/>
        <v>0.19081627064866058</v>
      </c>
      <c r="AA11" s="1">
        <f t="shared" si="6"/>
        <v>0.19076308745302273</v>
      </c>
      <c r="AB11" s="1">
        <f t="shared" si="6"/>
        <v>0.19073033844696841</v>
      </c>
      <c r="AC11" s="1">
        <f t="shared" si="6"/>
        <v>0.19070998446063592</v>
      </c>
      <c r="AD11" s="1">
        <f t="shared" si="6"/>
        <v>0.19069714883456135</v>
      </c>
      <c r="AE11" s="1">
        <f t="shared" si="6"/>
        <v>0.19068887348196184</v>
      </c>
      <c r="AF11" s="1">
        <f t="shared" si="6"/>
        <v>0.19068336414191467</v>
      </c>
      <c r="AG11" s="1">
        <f t="shared" si="6"/>
        <v>0.19067953250617031</v>
      </c>
      <c r="AH11" s="1">
        <f t="shared" si="6"/>
        <v>0.19067671846950474</v>
      </c>
      <c r="AI11" s="1">
        <f t="shared" si="6"/>
        <v>0.19067452165287102</v>
      </c>
    </row>
    <row r="12" spans="1:35">
      <c r="A12" s="5">
        <v>2</v>
      </c>
      <c r="B12" s="25">
        <v>0.33333000000000002</v>
      </c>
      <c r="C12" s="18">
        <f>$C35</f>
        <v>0.48317407867273576</v>
      </c>
      <c r="J12" t="s">
        <v>85</v>
      </c>
      <c r="K12">
        <f t="shared" ref="K12:AI12" si="7">1/(1+EXP(($E18-len)/2.5))</f>
        <v>0.99963578667333364</v>
      </c>
      <c r="L12">
        <f t="shared" si="7"/>
        <v>0.99999934562463089</v>
      </c>
      <c r="M12">
        <f t="shared" si="7"/>
        <v>0.99999999579900867</v>
      </c>
      <c r="N12">
        <f t="shared" si="7"/>
        <v>0.99999999992541966</v>
      </c>
      <c r="O12">
        <f t="shared" si="7"/>
        <v>0.99999999999701705</v>
      </c>
      <c r="P12">
        <f t="shared" si="7"/>
        <v>0.99999999999977174</v>
      </c>
      <c r="Q12">
        <f t="shared" si="7"/>
        <v>0.99999999999997069</v>
      </c>
      <c r="R12">
        <f t="shared" si="7"/>
        <v>0.99999999999999423</v>
      </c>
      <c r="S12">
        <f t="shared" si="7"/>
        <v>0.99999999999999845</v>
      </c>
      <c r="T12">
        <f t="shared" si="7"/>
        <v>0.99999999999999956</v>
      </c>
      <c r="U12">
        <f t="shared" si="7"/>
        <v>0.99999999999999978</v>
      </c>
      <c r="V12">
        <f t="shared" si="7"/>
        <v>0.99999999999999978</v>
      </c>
      <c r="W12">
        <f t="shared" si="7"/>
        <v>1</v>
      </c>
      <c r="X12">
        <f t="shared" si="7"/>
        <v>1</v>
      </c>
      <c r="Y12">
        <f t="shared" si="7"/>
        <v>1</v>
      </c>
      <c r="Z12">
        <f t="shared" si="7"/>
        <v>1</v>
      </c>
      <c r="AA12">
        <f t="shared" si="7"/>
        <v>1</v>
      </c>
      <c r="AB12">
        <f t="shared" si="7"/>
        <v>1</v>
      </c>
      <c r="AC12">
        <f t="shared" si="7"/>
        <v>1</v>
      </c>
      <c r="AD12">
        <f t="shared" si="7"/>
        <v>1</v>
      </c>
      <c r="AE12">
        <f t="shared" si="7"/>
        <v>1</v>
      </c>
      <c r="AF12">
        <f t="shared" si="7"/>
        <v>1</v>
      </c>
      <c r="AG12">
        <f t="shared" si="7"/>
        <v>1</v>
      </c>
      <c r="AH12">
        <f t="shared" si="7"/>
        <v>1</v>
      </c>
      <c r="AI12">
        <f t="shared" si="7"/>
        <v>1</v>
      </c>
    </row>
    <row r="13" spans="1:35">
      <c r="A13" s="5">
        <v>3</v>
      </c>
      <c r="B13" s="25">
        <f>1-SUM(B11:B12)</f>
        <v>0.33333999999999997</v>
      </c>
      <c r="C13" s="18">
        <f>$C36</f>
        <v>0.25841296427403693</v>
      </c>
    </row>
    <row r="14" spans="1:35">
      <c r="A14" s="27" t="s">
        <v>49</v>
      </c>
      <c r="B14" s="30">
        <v>0.4</v>
      </c>
      <c r="C14" s="29">
        <f>spr</f>
        <v>0.39999855522103445</v>
      </c>
    </row>
    <row r="15" spans="1:35">
      <c r="A15" s="5"/>
      <c r="B15" s="26" t="s">
        <v>50</v>
      </c>
      <c r="C15" s="26">
        <f>SUMXMY2(B11:B14,C11:C14)</f>
        <v>3.3679871921936735E-2</v>
      </c>
    </row>
    <row r="17" spans="1:35">
      <c r="A17" s="13" t="s">
        <v>4</v>
      </c>
      <c r="B17" s="13"/>
      <c r="C17" s="13"/>
      <c r="E17" t="s">
        <v>83</v>
      </c>
      <c r="F17" t="s">
        <v>84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0</v>
      </c>
      <c r="F18">
        <v>0</v>
      </c>
      <c r="G18" s="3">
        <v>5</v>
      </c>
      <c r="H18" s="3">
        <v>0.4</v>
      </c>
      <c r="I18" s="7">
        <v>1.0000000000000001E-5</v>
      </c>
      <c r="J18" s="8" t="s">
        <v>16</v>
      </c>
      <c r="K18" s="4">
        <f t="shared" ref="K18:AI18" si="8">((EXP(g*(ah-age)/gh)/(1+EXP((ah-age)/gh))) *(1/(1-g))*((1-g)/g)^g) *(sr+(1-sr)*dmr)</f>
        <v>4.5391552007444657E-5</v>
      </c>
      <c r="L18" s="4">
        <f t="shared" si="8"/>
        <v>5.5288891334603083E-4</v>
      </c>
      <c r="M18" s="4">
        <f t="shared" si="8"/>
        <v>6.6940231124641893E-3</v>
      </c>
      <c r="N18" s="4">
        <f t="shared" si="8"/>
        <v>7.5869569398736056E-2</v>
      </c>
      <c r="O18" s="4">
        <f t="shared" si="8"/>
        <v>0.50006256851532582</v>
      </c>
      <c r="P18" s="4">
        <f t="shared" si="8"/>
        <v>0.92423435819677513</v>
      </c>
      <c r="Q18" s="4">
        <f t="shared" si="8"/>
        <v>0.99338177825514906</v>
      </c>
      <c r="R18" s="4">
        <f t="shared" si="8"/>
        <v>0.99949732411316172</v>
      </c>
      <c r="S18" s="4">
        <f t="shared" si="8"/>
        <v>0.99997973051085998</v>
      </c>
      <c r="T18" s="4">
        <f t="shared" si="8"/>
        <v>0.99999640256489186</v>
      </c>
      <c r="U18" s="4">
        <f t="shared" si="8"/>
        <v>0.99997482361930579</v>
      </c>
      <c r="V18" s="4">
        <f t="shared" si="8"/>
        <v>0.99995010533943796</v>
      </c>
      <c r="W18" s="4">
        <f t="shared" si="8"/>
        <v>0.99992512994639815</v>
      </c>
      <c r="X18" s="4">
        <f t="shared" si="8"/>
        <v>0.99990013402239852</v>
      </c>
      <c r="Y18" s="4">
        <f t="shared" si="8"/>
        <v>0.99987513698679642</v>
      </c>
      <c r="Z18" s="4">
        <f t="shared" si="8"/>
        <v>0.99985014043357634</v>
      </c>
      <c r="AA18" s="4">
        <f t="shared" si="8"/>
        <v>0.9998251444935623</v>
      </c>
      <c r="AB18" s="4">
        <f t="shared" si="8"/>
        <v>0.99980014917747839</v>
      </c>
      <c r="AC18" s="4">
        <f t="shared" si="8"/>
        <v>0.99977515448619114</v>
      </c>
      <c r="AD18" s="4">
        <f t="shared" si="8"/>
        <v>0.99975016041975662</v>
      </c>
      <c r="AE18" s="4">
        <f t="shared" si="8"/>
        <v>0.9997251669781656</v>
      </c>
      <c r="AF18" s="4">
        <f t="shared" si="8"/>
        <v>0.99970017416140255</v>
      </c>
      <c r="AG18" s="4">
        <f t="shared" si="8"/>
        <v>0.99967518196945226</v>
      </c>
      <c r="AH18" s="4">
        <f t="shared" si="8"/>
        <v>0.99965019040229885</v>
      </c>
      <c r="AI18" s="4">
        <f t="shared" si="8"/>
        <v>0.99962519945992701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3</v>
      </c>
      <c r="H19" s="3">
        <v>0.4</v>
      </c>
      <c r="I19" s="7">
        <v>0.2</v>
      </c>
      <c r="J19" s="8" t="s">
        <v>17</v>
      </c>
      <c r="K19" s="4">
        <f t="shared" ref="K19:T20" si="9">(EXP(g*(ah-age)/gh)/(1+EXP((ah-age)/gh))) *(1/(1-g))*((1-g)/g)^g</f>
        <v>3.0007350071316975E-2</v>
      </c>
      <c r="L19" s="4">
        <f t="shared" si="9"/>
        <v>0.20628691029874971</v>
      </c>
      <c r="M19" s="4">
        <f t="shared" si="9"/>
        <v>0.82469244423305887</v>
      </c>
      <c r="N19" s="4">
        <f t="shared" si="9"/>
        <v>0.92451379123971533</v>
      </c>
      <c r="O19" s="4">
        <f t="shared" si="9"/>
        <v>0.60271373782445525</v>
      </c>
      <c r="P19" s="4">
        <f t="shared" si="9"/>
        <v>0.36782407656213434</v>
      </c>
      <c r="Q19" s="4">
        <f t="shared" si="9"/>
        <v>0.22320983733581354</v>
      </c>
      <c r="R19" s="4">
        <f t="shared" si="9"/>
        <v>0.13538925175123626</v>
      </c>
      <c r="S19" s="4">
        <f t="shared" si="9"/>
        <v>8.2118013086893454E-2</v>
      </c>
      <c r="T19" s="4">
        <f t="shared" si="9"/>
        <v>4.9807106637333357E-2</v>
      </c>
      <c r="U19" s="4">
        <f t="shared" ref="U19:AI20" si="10">(EXP(g*(ah-age)/gh)/(1+EXP((ah-age)/gh))) *(1/(1-g))*((1-g)/g)^g</f>
        <v>3.0209537943414012E-2</v>
      </c>
      <c r="V19" s="4">
        <f t="shared" si="10"/>
        <v>1.8323011013099209E-2</v>
      </c>
      <c r="W19" s="4">
        <f t="shared" si="10"/>
        <v>1.1113467959422852E-2</v>
      </c>
      <c r="X19" s="4">
        <f t="shared" si="10"/>
        <v>6.7406590532098857E-3</v>
      </c>
      <c r="Y19" s="4">
        <f t="shared" si="10"/>
        <v>4.0884163824456031E-3</v>
      </c>
      <c r="Z19" s="4">
        <f t="shared" si="10"/>
        <v>2.479749885624884E-3</v>
      </c>
      <c r="AA19" s="4">
        <f t="shared" si="10"/>
        <v>1.5040443340503991E-3</v>
      </c>
      <c r="AB19" s="4">
        <f t="shared" si="10"/>
        <v>9.1224900216863752E-4</v>
      </c>
      <c r="AC19" s="4">
        <f t="shared" si="10"/>
        <v>5.5330698910753529E-4</v>
      </c>
      <c r="AD19" s="4">
        <f t="shared" si="10"/>
        <v>3.3559765312700423E-4</v>
      </c>
      <c r="AE19" s="4">
        <f t="shared" si="10"/>
        <v>2.0355026594913339E-4</v>
      </c>
      <c r="AF19" s="4">
        <f t="shared" si="10"/>
        <v>1.2345947709080986E-4</v>
      </c>
      <c r="AG19" s="4">
        <f t="shared" si="10"/>
        <v>7.4881958087665658E-5</v>
      </c>
      <c r="AH19" s="4">
        <f t="shared" si="10"/>
        <v>4.5418203439485613E-5</v>
      </c>
      <c r="AI19" s="4">
        <f t="shared" si="10"/>
        <v>2.7547532895113808E-5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5</v>
      </c>
      <c r="H20" s="3">
        <v>0.4</v>
      </c>
      <c r="I20" s="7">
        <v>1.0000000000000001E-5</v>
      </c>
      <c r="J20" s="8" t="s">
        <v>18</v>
      </c>
      <c r="K20" s="4">
        <f t="shared" si="9"/>
        <v>4.5408090239048184E-5</v>
      </c>
      <c r="L20" s="4">
        <f t="shared" si="9"/>
        <v>5.5288927514315434E-4</v>
      </c>
      <c r="M20" s="4">
        <f t="shared" si="9"/>
        <v>6.6940231405857222E-3</v>
      </c>
      <c r="N20" s="4">
        <f t="shared" si="9"/>
        <v>7.5869569404394432E-2</v>
      </c>
      <c r="O20" s="4">
        <f t="shared" si="9"/>
        <v>0.50006256851681752</v>
      </c>
      <c r="P20" s="4">
        <f t="shared" si="9"/>
        <v>0.92423435819698607</v>
      </c>
      <c r="Q20" s="4">
        <f t="shared" si="9"/>
        <v>0.99338177825517815</v>
      </c>
      <c r="R20" s="4">
        <f t="shared" si="9"/>
        <v>0.9994973241131675</v>
      </c>
      <c r="S20" s="4">
        <f t="shared" si="9"/>
        <v>0.99997973051086153</v>
      </c>
      <c r="T20" s="4">
        <f t="shared" si="9"/>
        <v>0.99999640256489231</v>
      </c>
      <c r="U20" s="4">
        <f t="shared" si="10"/>
        <v>0.99997482361930601</v>
      </c>
      <c r="V20" s="4">
        <f t="shared" si="10"/>
        <v>0.99995010533943818</v>
      </c>
      <c r="W20" s="4">
        <f t="shared" si="10"/>
        <v>0.99992512994639815</v>
      </c>
      <c r="X20" s="4">
        <f t="shared" si="10"/>
        <v>0.99990013402239852</v>
      </c>
      <c r="Y20" s="4">
        <f t="shared" si="10"/>
        <v>0.99987513698679642</v>
      </c>
      <c r="Z20" s="4">
        <f t="shared" si="10"/>
        <v>0.99985014043357634</v>
      </c>
      <c r="AA20" s="4">
        <f t="shared" si="10"/>
        <v>0.9998251444935623</v>
      </c>
      <c r="AB20" s="4">
        <f t="shared" si="10"/>
        <v>0.99980014917747839</v>
      </c>
      <c r="AC20" s="4">
        <f t="shared" si="10"/>
        <v>0.99977515448619114</v>
      </c>
      <c r="AD20" s="4">
        <f t="shared" si="10"/>
        <v>0.99975016041975662</v>
      </c>
      <c r="AE20" s="4">
        <f t="shared" si="10"/>
        <v>0.9997251669781656</v>
      </c>
      <c r="AF20" s="4">
        <f t="shared" si="10"/>
        <v>0.99970017416140255</v>
      </c>
      <c r="AG20" s="4">
        <f t="shared" si="10"/>
        <v>0.99967518196945226</v>
      </c>
      <c r="AH20" s="4">
        <f t="shared" si="10"/>
        <v>0.99965019040229885</v>
      </c>
      <c r="AI20" s="4">
        <f t="shared" si="10"/>
        <v>0.99962519945992701</v>
      </c>
    </row>
    <row r="21" spans="1:35">
      <c r="A21" t="s">
        <v>42</v>
      </c>
      <c r="B21" s="1">
        <f>Bo/phie</f>
        <v>8.2438682882849061</v>
      </c>
      <c r="J21" s="2" t="s">
        <v>72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81</v>
      </c>
      <c r="B22" s="1">
        <v>98.238757374230488</v>
      </c>
      <c r="J22" s="8" t="s">
        <v>23</v>
      </c>
      <c r="K22" s="1">
        <f t="shared" ref="K22:AI22" si="11">wa*flt1_*(1-EXP(-za))/za</f>
        <v>3.2655808350543217E-6</v>
      </c>
      <c r="L22" s="1">
        <f t="shared" si="11"/>
        <v>2.3009539672437534E-4</v>
      </c>
      <c r="M22" s="1">
        <f t="shared" si="11"/>
        <v>6.787051360975121E-3</v>
      </c>
      <c r="N22" s="1">
        <f t="shared" si="11"/>
        <v>0.13522994726863335</v>
      </c>
      <c r="O22" s="1">
        <f t="shared" si="11"/>
        <v>1.3105879209331885</v>
      </c>
      <c r="P22" s="1">
        <f t="shared" si="11"/>
        <v>3.1801295895148693</v>
      </c>
      <c r="Q22" s="1">
        <f t="shared" si="11"/>
        <v>4.2038930844753279</v>
      </c>
      <c r="R22" s="1">
        <f t="shared" si="11"/>
        <v>4.9457485563634975</v>
      </c>
      <c r="S22" s="1">
        <f t="shared" si="11"/>
        <v>5.5737058202817948</v>
      </c>
      <c r="T22" s="1">
        <f t="shared" si="11"/>
        <v>6.1082303046212862</v>
      </c>
      <c r="U22" s="1">
        <f t="shared" si="11"/>
        <v>6.5575712507721953</v>
      </c>
      <c r="V22" s="1">
        <f t="shared" si="11"/>
        <v>6.9310607701675107</v>
      </c>
      <c r="W22" s="1">
        <f t="shared" si="11"/>
        <v>7.2387860179234256</v>
      </c>
      <c r="X22" s="1">
        <f t="shared" si="11"/>
        <v>7.4906144439321123</v>
      </c>
      <c r="Y22" s="1">
        <f t="shared" si="11"/>
        <v>7.6956180045381997</v>
      </c>
      <c r="Z22" s="1">
        <f t="shared" si="11"/>
        <v>7.8618172879284858</v>
      </c>
      <c r="AA22" s="1">
        <f t="shared" si="11"/>
        <v>7.9961200483677413</v>
      </c>
      <c r="AB22" s="1">
        <f t="shared" si="11"/>
        <v>8.104367324155465</v>
      </c>
      <c r="AC22" s="1">
        <f t="shared" si="11"/>
        <v>8.19143282470956</v>
      </c>
      <c r="AD22" s="1">
        <f t="shared" si="11"/>
        <v>8.2613431173784324</v>
      </c>
      <c r="AE22" s="1">
        <f t="shared" si="11"/>
        <v>8.3174001148777066</v>
      </c>
      <c r="AF22" s="1">
        <f t="shared" si="11"/>
        <v>8.3622960478271651</v>
      </c>
      <c r="AG22" s="1">
        <f t="shared" si="11"/>
        <v>8.3982163541531687</v>
      </c>
      <c r="AH22" s="1">
        <f t="shared" si="11"/>
        <v>8.426928978432386</v>
      </c>
      <c r="AI22" s="1">
        <f t="shared" si="11"/>
        <v>8.4498602722864771</v>
      </c>
    </row>
    <row r="23" spans="1:35">
      <c r="A23" t="s">
        <v>82</v>
      </c>
      <c r="B23" s="1">
        <f>1.5*M</f>
        <v>0.22499999999999998</v>
      </c>
      <c r="J23" s="8" t="s">
        <v>24</v>
      </c>
      <c r="K23" s="1">
        <f t="shared" ref="K23:AI23" si="12">wa*flt2_*(1-EXP(-za))/za</f>
        <v>2.1588031906815412E-3</v>
      </c>
      <c r="L23" s="1">
        <f t="shared" si="12"/>
        <v>8.5850280804110821E-2</v>
      </c>
      <c r="M23" s="1">
        <f t="shared" si="12"/>
        <v>0.8361533687560635</v>
      </c>
      <c r="N23" s="1">
        <f t="shared" si="12"/>
        <v>1.6478537077416682</v>
      </c>
      <c r="O23" s="1">
        <f t="shared" si="12"/>
        <v>1.5796210200624421</v>
      </c>
      <c r="P23" s="1">
        <f t="shared" si="12"/>
        <v>1.2656186379972079</v>
      </c>
      <c r="Q23" s="1">
        <f t="shared" si="12"/>
        <v>0.94460187624045111</v>
      </c>
      <c r="R23" s="1">
        <f t="shared" si="12"/>
        <v>0.66993795805300171</v>
      </c>
      <c r="S23" s="1">
        <f t="shared" si="12"/>
        <v>0.45771092505901934</v>
      </c>
      <c r="T23" s="1">
        <f t="shared" si="12"/>
        <v>0.30423437261107672</v>
      </c>
      <c r="U23" s="1">
        <f t="shared" si="12"/>
        <v>0.1981061851135778</v>
      </c>
      <c r="V23" s="1">
        <f t="shared" si="12"/>
        <v>0.12700423965766686</v>
      </c>
      <c r="W23" s="1">
        <f t="shared" si="12"/>
        <v>8.045404007360292E-2</v>
      </c>
      <c r="X23" s="1">
        <f t="shared" si="12"/>
        <v>5.0496720970001067E-2</v>
      </c>
      <c r="Y23" s="1">
        <f t="shared" si="12"/>
        <v>3.1466819764729079E-2</v>
      </c>
      <c r="Z23" s="1">
        <f t="shared" si="12"/>
        <v>1.9498262521711916E-2</v>
      </c>
      <c r="AA23" s="1">
        <f t="shared" si="12"/>
        <v>1.2028622323982512E-2</v>
      </c>
      <c r="AB23" s="1">
        <f t="shared" si="12"/>
        <v>7.3946788373168548E-3</v>
      </c>
      <c r="AC23" s="1">
        <f t="shared" si="12"/>
        <v>4.5333963465475184E-3</v>
      </c>
      <c r="AD23" s="1">
        <f t="shared" si="12"/>
        <v>2.773180212049248E-3</v>
      </c>
      <c r="AE23" s="1">
        <f t="shared" si="12"/>
        <v>1.6934744280831789E-3</v>
      </c>
      <c r="AF23" s="1">
        <f t="shared" si="12"/>
        <v>1.0327143317838466E-3</v>
      </c>
      <c r="AG23" s="1">
        <f t="shared" si="12"/>
        <v>6.2907922131657243E-4</v>
      </c>
      <c r="AH23" s="1">
        <f t="shared" si="12"/>
        <v>3.8286990628042661E-4</v>
      </c>
      <c r="AI23" s="1">
        <f t="shared" si="12"/>
        <v>2.3286007989363263E-4</v>
      </c>
    </row>
    <row r="24" spans="1:35">
      <c r="B24" s="1"/>
      <c r="J24" s="8" t="s">
        <v>25</v>
      </c>
      <c r="K24" s="1">
        <f t="shared" ref="K24:AI24" si="13">wa*flt3_*(1-EXP(-za))/za</f>
        <v>3.2667706364552806E-6</v>
      </c>
      <c r="L24" s="1">
        <f t="shared" si="13"/>
        <v>2.3009554729323399E-4</v>
      </c>
      <c r="M24" s="1">
        <f t="shared" si="13"/>
        <v>6.7870513894874645E-3</v>
      </c>
      <c r="N24" s="1">
        <f t="shared" si="13"/>
        <v>0.13522994727871884</v>
      </c>
      <c r="O24" s="1">
        <f t="shared" si="13"/>
        <v>1.3105879209370981</v>
      </c>
      <c r="P24" s="1">
        <f t="shared" si="13"/>
        <v>3.180129589515595</v>
      </c>
      <c r="Q24" s="1">
        <f t="shared" si="13"/>
        <v>4.2038930844754514</v>
      </c>
      <c r="R24" s="1">
        <f t="shared" si="13"/>
        <v>4.9457485563635268</v>
      </c>
      <c r="S24" s="1">
        <f t="shared" si="13"/>
        <v>5.5737058202818037</v>
      </c>
      <c r="T24" s="1">
        <f t="shared" si="13"/>
        <v>6.1082303046212889</v>
      </c>
      <c r="U24" s="1">
        <f t="shared" si="13"/>
        <v>6.5575712507721962</v>
      </c>
      <c r="V24" s="1">
        <f t="shared" si="13"/>
        <v>6.9310607701675115</v>
      </c>
      <c r="W24" s="1">
        <f t="shared" si="13"/>
        <v>7.2387860179234256</v>
      </c>
      <c r="X24" s="1">
        <f t="shared" si="13"/>
        <v>7.4906144439321123</v>
      </c>
      <c r="Y24" s="1">
        <f t="shared" si="13"/>
        <v>7.6956180045381997</v>
      </c>
      <c r="Z24" s="1">
        <f t="shared" si="13"/>
        <v>7.8618172879284858</v>
      </c>
      <c r="AA24" s="1">
        <f t="shared" si="13"/>
        <v>7.9961200483677413</v>
      </c>
      <c r="AB24" s="1">
        <f t="shared" si="13"/>
        <v>8.104367324155465</v>
      </c>
      <c r="AC24" s="1">
        <f t="shared" si="13"/>
        <v>8.19143282470956</v>
      </c>
      <c r="AD24" s="1">
        <f t="shared" si="13"/>
        <v>8.2613431173784324</v>
      </c>
      <c r="AE24" s="1">
        <f t="shared" si="13"/>
        <v>8.3174001148777066</v>
      </c>
      <c r="AF24" s="1">
        <f t="shared" si="13"/>
        <v>8.3622960478271651</v>
      </c>
      <c r="AG24" s="1">
        <f t="shared" si="13"/>
        <v>8.3982163541531687</v>
      </c>
      <c r="AH24" s="1">
        <f t="shared" si="13"/>
        <v>8.426928978432386</v>
      </c>
      <c r="AI24" s="1">
        <f t="shared" si="13"/>
        <v>8.4498602722864771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4.2110614543555917E-5</v>
      </c>
      <c r="L26">
        <f t="shared" ref="L26:AI26" si="14">qa1_/wa</f>
        <v>5.1003032088331945E-4</v>
      </c>
      <c r="M26">
        <f t="shared" si="14"/>
        <v>6.0534535049642842E-3</v>
      </c>
      <c r="N26">
        <f t="shared" si="14"/>
        <v>6.825194896496356E-2</v>
      </c>
      <c r="O26">
        <f t="shared" si="14"/>
        <v>0.44878220402434965</v>
      </c>
      <c r="P26">
        <f t="shared" si="14"/>
        <v>0.82520932297060579</v>
      </c>
      <c r="Q26">
        <f t="shared" si="14"/>
        <v>0.88919278071825503</v>
      </c>
      <c r="R26">
        <f t="shared" si="14"/>
        <v>0.89699593671803524</v>
      </c>
      <c r="S26">
        <f t="shared" si="14"/>
        <v>0.89893242240135751</v>
      </c>
      <c r="T26">
        <f t="shared" si="14"/>
        <v>0.89986842054044003</v>
      </c>
      <c r="U26">
        <f t="shared" si="14"/>
        <v>0.90040908341103965</v>
      </c>
      <c r="V26">
        <f t="shared" si="14"/>
        <v>0.90072706597160135</v>
      </c>
      <c r="W26">
        <f t="shared" si="14"/>
        <v>0.90091128162617939</v>
      </c>
      <c r="X26">
        <f t="shared" si="14"/>
        <v>0.90101443024329764</v>
      </c>
      <c r="Y26">
        <f t="shared" si="14"/>
        <v>0.90106840059187354</v>
      </c>
      <c r="Z26">
        <f t="shared" si="14"/>
        <v>0.90109253727645255</v>
      </c>
      <c r="AA26">
        <f t="shared" si="14"/>
        <v>0.90109857696314799</v>
      </c>
      <c r="AB26">
        <f t="shared" si="14"/>
        <v>0.90109363975518164</v>
      </c>
      <c r="AC26">
        <f t="shared" si="14"/>
        <v>0.90108204472528941</v>
      </c>
      <c r="AD26">
        <f t="shared" si="14"/>
        <v>0.90106641168848289</v>
      </c>
      <c r="AE26">
        <f t="shared" si="14"/>
        <v>0.90104832968869231</v>
      </c>
      <c r="AF26">
        <f t="shared" si="14"/>
        <v>0.90102876253753994</v>
      </c>
      <c r="AG26">
        <f t="shared" si="14"/>
        <v>0.90100829481365896</v>
      </c>
      <c r="AH26">
        <f t="shared" si="14"/>
        <v>0.90098728107758164</v>
      </c>
      <c r="AI26">
        <f t="shared" si="14"/>
        <v>0.90096593637751587</v>
      </c>
    </row>
    <row r="27" spans="1:35">
      <c r="A27" t="s">
        <v>14</v>
      </c>
      <c r="B27" s="28">
        <v>3.0787693388999178E-2</v>
      </c>
      <c r="C27">
        <v>3.0826511509620572E-2</v>
      </c>
      <c r="J27" s="8" t="s">
        <v>31</v>
      </c>
      <c r="K27">
        <f t="shared" ref="K27:AI27" si="15">qa2_/wa</f>
        <v>2.7838394953306003E-2</v>
      </c>
      <c r="L27">
        <f t="shared" si="15"/>
        <v>0.19029605498320337</v>
      </c>
      <c r="M27">
        <f t="shared" si="15"/>
        <v>0.74577534065645623</v>
      </c>
      <c r="N27">
        <f t="shared" si="15"/>
        <v>0.83168876002806524</v>
      </c>
      <c r="O27">
        <f t="shared" si="15"/>
        <v>0.5409067118534453</v>
      </c>
      <c r="P27">
        <f t="shared" si="15"/>
        <v>0.3284143837547136</v>
      </c>
      <c r="Q27">
        <f t="shared" si="15"/>
        <v>0.1997988892980509</v>
      </c>
      <c r="R27">
        <f t="shared" si="15"/>
        <v>0.12150468617203058</v>
      </c>
      <c r="S27">
        <f t="shared" si="15"/>
        <v>7.3820040721501223E-2</v>
      </c>
      <c r="T27">
        <f t="shared" si="15"/>
        <v>4.4820003618481E-2</v>
      </c>
      <c r="U27">
        <f t="shared" si="15"/>
        <v>2.7201627208422535E-2</v>
      </c>
      <c r="V27">
        <f t="shared" si="15"/>
        <v>1.6504855453754682E-2</v>
      </c>
      <c r="W27">
        <f t="shared" si="15"/>
        <v>1.0012998336357281E-2</v>
      </c>
      <c r="X27">
        <f t="shared" si="15"/>
        <v>6.0740376660017347E-3</v>
      </c>
      <c r="Y27">
        <f t="shared" si="15"/>
        <v>3.6844028563263703E-3</v>
      </c>
      <c r="Z27">
        <f t="shared" si="15"/>
        <v>2.2348190252588804E-3</v>
      </c>
      <c r="AA27">
        <f t="shared" si="15"/>
        <v>1.355529230852452E-3</v>
      </c>
      <c r="AB27">
        <f t="shared" si="15"/>
        <v>8.2218608829318139E-4</v>
      </c>
      <c r="AC27">
        <f t="shared" si="15"/>
        <v>4.986871206676878E-4</v>
      </c>
      <c r="AD27">
        <f t="shared" si="15"/>
        <v>3.0247134238744355E-4</v>
      </c>
      <c r="AE27">
        <f t="shared" si="15"/>
        <v>1.8345904774563049E-4</v>
      </c>
      <c r="AF27">
        <f t="shared" si="15"/>
        <v>1.1127390265784259E-4</v>
      </c>
      <c r="AG27">
        <f t="shared" si="15"/>
        <v>6.7491187723551203E-5</v>
      </c>
      <c r="AH27">
        <f t="shared" si="15"/>
        <v>4.0935543274295071E-5</v>
      </c>
      <c r="AI27">
        <f t="shared" si="15"/>
        <v>2.4828694577873729E-5</v>
      </c>
    </row>
    <row r="28" spans="1:35">
      <c r="A28" t="s">
        <v>15</v>
      </c>
      <c r="B28" s="28">
        <v>6.5781326112657759E-2</v>
      </c>
      <c r="C28">
        <v>6.5872059610417921E-2</v>
      </c>
      <c r="J28" s="8" t="s">
        <v>32</v>
      </c>
      <c r="K28">
        <f t="shared" ref="K28:AI28" si="16">qa3_/wa</f>
        <v>4.212595737863179E-5</v>
      </c>
      <c r="L28">
        <f t="shared" si="16"/>
        <v>5.1003065463481724E-4</v>
      </c>
      <c r="M28">
        <f t="shared" si="16"/>
        <v>6.0534535303947892E-3</v>
      </c>
      <c r="N28">
        <f t="shared" si="16"/>
        <v>6.8251948970053808E-2</v>
      </c>
      <c r="O28">
        <f t="shared" si="16"/>
        <v>0.44878220402568836</v>
      </c>
      <c r="P28">
        <f t="shared" si="16"/>
        <v>0.82520932297079408</v>
      </c>
      <c r="Q28">
        <f t="shared" si="16"/>
        <v>0.88919278071828123</v>
      </c>
      <c r="R28">
        <f t="shared" si="16"/>
        <v>0.89699593671804057</v>
      </c>
      <c r="S28">
        <f t="shared" si="16"/>
        <v>0.89893242240135895</v>
      </c>
      <c r="T28">
        <f t="shared" si="16"/>
        <v>0.89986842054044047</v>
      </c>
      <c r="U28">
        <f t="shared" si="16"/>
        <v>0.90040908341103976</v>
      </c>
      <c r="V28">
        <f t="shared" si="16"/>
        <v>0.90072706597160146</v>
      </c>
      <c r="W28">
        <f t="shared" si="16"/>
        <v>0.90091128162617939</v>
      </c>
      <c r="X28">
        <f t="shared" si="16"/>
        <v>0.90101443024329764</v>
      </c>
      <c r="Y28">
        <f t="shared" si="16"/>
        <v>0.90106840059187354</v>
      </c>
      <c r="Z28">
        <f t="shared" si="16"/>
        <v>0.90109253727645255</v>
      </c>
      <c r="AA28">
        <f t="shared" si="16"/>
        <v>0.90109857696314799</v>
      </c>
      <c r="AB28">
        <f t="shared" si="16"/>
        <v>0.90109363975518164</v>
      </c>
      <c r="AC28">
        <f t="shared" si="16"/>
        <v>0.90108204472528941</v>
      </c>
      <c r="AD28">
        <f t="shared" si="16"/>
        <v>0.90106641168848289</v>
      </c>
      <c r="AE28">
        <f t="shared" si="16"/>
        <v>0.90104832968869231</v>
      </c>
      <c r="AF28">
        <f t="shared" si="16"/>
        <v>0.90102876253753994</v>
      </c>
      <c r="AG28">
        <f t="shared" si="16"/>
        <v>0.90100829481365896</v>
      </c>
      <c r="AH28">
        <f t="shared" si="16"/>
        <v>0.90098728107758164</v>
      </c>
      <c r="AI28">
        <f t="shared" si="16"/>
        <v>0.90096593637751587</v>
      </c>
    </row>
    <row r="29" spans="1:35">
      <c r="A29" t="s">
        <v>19</v>
      </c>
      <c r="B29" s="28">
        <v>3.0787694006063286E-2</v>
      </c>
      <c r="C29">
        <v>3.0717558531607573E-2</v>
      </c>
    </row>
    <row r="30" spans="1:35">
      <c r="G30" t="s">
        <v>58</v>
      </c>
      <c r="H30" t="s">
        <v>59</v>
      </c>
      <c r="J30" s="2" t="s">
        <v>51</v>
      </c>
    </row>
    <row r="31" spans="1:35">
      <c r="A31" s="12" t="s">
        <v>22</v>
      </c>
      <c r="B31" s="12"/>
      <c r="C31" s="12"/>
      <c r="G31">
        <f>SUMPRODUCT(dlz1_,wa,ma)</f>
        <v>-49.079690806817631</v>
      </c>
      <c r="H31">
        <f>Ro/(reck-1)*phie/phif^2*dphif</f>
        <v>-18.951970709822817</v>
      </c>
      <c r="J31" s="8" t="s">
        <v>52</v>
      </c>
      <c r="K31">
        <v>0</v>
      </c>
      <c r="L31">
        <f t="shared" ref="L31:AH31" si="17">K31*sa-K$7*K18*K$10</f>
        <v>-3.8991718982783872E-5</v>
      </c>
      <c r="M31">
        <f t="shared" si="17"/>
        <v>-4.3503323402386499E-4</v>
      </c>
      <c r="N31">
        <f t="shared" si="17"/>
        <v>-4.3294720984077481E-3</v>
      </c>
      <c r="O31">
        <f t="shared" si="17"/>
        <v>-3.9826298607956542E-2</v>
      </c>
      <c r="P31">
        <f t="shared" si="17"/>
        <v>-0.22381379132458709</v>
      </c>
      <c r="Q31">
        <f t="shared" si="17"/>
        <v>-0.46050606304316027</v>
      </c>
      <c r="R31">
        <f t="shared" si="17"/>
        <v>-0.61116899330511409</v>
      </c>
      <c r="S31">
        <f t="shared" si="17"/>
        <v>-0.68709212209979187</v>
      </c>
      <c r="T31">
        <f t="shared" si="17"/>
        <v>-0.71139777495034473</v>
      </c>
      <c r="U31">
        <f t="shared" si="17"/>
        <v>-0.70136468674310593</v>
      </c>
      <c r="V31">
        <f t="shared" si="17"/>
        <v>-0.66932583464532402</v>
      </c>
      <c r="W31">
        <f t="shared" si="17"/>
        <v>-0.62405908827158252</v>
      </c>
      <c r="X31">
        <f t="shared" si="17"/>
        <v>-0.5717646613850732</v>
      </c>
      <c r="Y31">
        <f t="shared" si="17"/>
        <v>-0.51675437479415809</v>
      </c>
      <c r="Z31">
        <f t="shared" si="17"/>
        <v>-0.46195375947663692</v>
      </c>
      <c r="AA31">
        <f t="shared" si="17"/>
        <v>-0.40927505870305525</v>
      </c>
      <c r="AB31">
        <f t="shared" si="17"/>
        <v>-0.35989659347079322</v>
      </c>
      <c r="AC31">
        <f t="shared" si="17"/>
        <v>-0.31447218258430565</v>
      </c>
      <c r="AD31">
        <f t="shared" si="17"/>
        <v>-0.27328756950352651</v>
      </c>
      <c r="AE31">
        <f t="shared" si="17"/>
        <v>-0.23637650698592094</v>
      </c>
      <c r="AF31">
        <f t="shared" si="17"/>
        <v>-0.20360614707691949</v>
      </c>
      <c r="AG31">
        <f t="shared" si="17"/>
        <v>-0.17473915918534058</v>
      </c>
      <c r="AH31">
        <f t="shared" si="17"/>
        <v>-0.14947829749420263</v>
      </c>
      <c r="AI31">
        <f>(AH31*sa-AH$7*AH18*AH$10)/oa-AH$7*AH$10*flt1_*sa/oa^2</f>
        <v>-0.81383039081007091</v>
      </c>
    </row>
    <row r="32" spans="1:35">
      <c r="A32" t="s">
        <v>28</v>
      </c>
      <c r="B32" s="1">
        <f>SUMPRODUCT(lx,wa,ma)</f>
        <v>12.130227764811181</v>
      </c>
      <c r="G32">
        <f>SUMPRODUCT(dlz2_,wa,ma)</f>
        <v>-16.996357177698648</v>
      </c>
      <c r="H32">
        <f>Ro/(reck-1)*phie/phif^2*dphif</f>
        <v>-6.5630907226637794</v>
      </c>
      <c r="J32" s="8" t="s">
        <v>53</v>
      </c>
      <c r="K32">
        <v>0</v>
      </c>
      <c r="L32">
        <f t="shared" ref="L32:AH32" si="18">K32*sa-K$7*K19*K$10</f>
        <v>-2.5776562149866865E-2</v>
      </c>
      <c r="M32">
        <f t="shared" si="18"/>
        <v>-0.17146442745920967</v>
      </c>
      <c r="N32">
        <f t="shared" si="18"/>
        <v>-0.62840367100529471</v>
      </c>
      <c r="O32">
        <f t="shared" si="18"/>
        <v>-0.94707058775372066</v>
      </c>
      <c r="P32">
        <f t="shared" si="18"/>
        <v>-0.98330831761341875</v>
      </c>
      <c r="Q32">
        <f t="shared" si="18"/>
        <v>-0.89672510916241599</v>
      </c>
      <c r="R32">
        <f t="shared" si="18"/>
        <v>-0.77363974832562965</v>
      </c>
      <c r="S32">
        <f t="shared" si="18"/>
        <v>-0.64917285309971251</v>
      </c>
      <c r="T32">
        <f t="shared" si="18"/>
        <v>-0.53656742305101413</v>
      </c>
      <c r="U32">
        <f t="shared" si="18"/>
        <v>-0.4397009357944679</v>
      </c>
      <c r="V32">
        <f t="shared" si="18"/>
        <v>-0.35851919813251165</v>
      </c>
      <c r="W32">
        <f t="shared" si="18"/>
        <v>-0.29145836261344682</v>
      </c>
      <c r="X32">
        <f t="shared" si="18"/>
        <v>-0.23652041618298222</v>
      </c>
      <c r="Y32">
        <f t="shared" si="18"/>
        <v>-0.1917329112366872</v>
      </c>
      <c r="Z32">
        <f t="shared" si="18"/>
        <v>-0.15532626566567354</v>
      </c>
      <c r="AA32">
        <f t="shared" si="18"/>
        <v>-0.12578365563440011</v>
      </c>
      <c r="AB32">
        <f t="shared" si="18"/>
        <v>-0.1018360440290399</v>
      </c>
      <c r="AC32">
        <f t="shared" si="18"/>
        <v>-8.2436072521177461E-2</v>
      </c>
      <c r="AD32">
        <f t="shared" si="18"/>
        <v>-6.6726144371860321E-2</v>
      </c>
      <c r="AE32">
        <f t="shared" si="18"/>
        <v>-5.4007314045288718E-2</v>
      </c>
      <c r="AF32">
        <f t="shared" si="18"/>
        <v>-4.3711522622709054E-2</v>
      </c>
      <c r="AG32">
        <f t="shared" si="18"/>
        <v>-3.5377859521400747E-2</v>
      </c>
      <c r="AH32">
        <f t="shared" si="18"/>
        <v>-2.8632728943360622E-2</v>
      </c>
      <c r="AI32">
        <f>(AH32*sa-AH$7*AH19*AH$10)/oa-AH$7*AH$10*flt2_*sa/oa^2</f>
        <v>-0.12153829418246669</v>
      </c>
    </row>
    <row r="33" spans="1:35">
      <c r="A33" t="s">
        <v>27</v>
      </c>
      <c r="B33" s="1">
        <f>SUMPRODUCT(lz,wa,ma)</f>
        <v>4.8520735804265502</v>
      </c>
      <c r="G33">
        <f>SUMPRODUCT(dlz3_,wa,ma)</f>
        <v>-49.079690885129232</v>
      </c>
      <c r="H33">
        <f>Ro/(reck-1)*phie/phif^2*dphif</f>
        <v>-18.951970740062599</v>
      </c>
      <c r="J33" s="8" t="s">
        <v>54</v>
      </c>
      <c r="K33">
        <v>0</v>
      </c>
      <c r="L33">
        <f t="shared" ref="L33:AH33" si="19">K33*sa-K$7*K20*K$10</f>
        <v>-3.9005925460655596E-5</v>
      </c>
      <c r="M33">
        <f t="shared" si="19"/>
        <v>-4.3504507509284211E-4</v>
      </c>
      <c r="N33">
        <f t="shared" si="19"/>
        <v>-4.3294816607812731E-3</v>
      </c>
      <c r="O33">
        <f t="shared" si="19"/>
        <v>-3.9826306281285272E-2</v>
      </c>
      <c r="P33">
        <f t="shared" si="19"/>
        <v>-0.22381379741513843</v>
      </c>
      <c r="Q33">
        <f t="shared" si="19"/>
        <v>-0.4605060679024921</v>
      </c>
      <c r="R33">
        <f t="shared" si="19"/>
        <v>-0.61116899720306983</v>
      </c>
      <c r="S33">
        <f t="shared" si="19"/>
        <v>-0.68709212523744978</v>
      </c>
      <c r="T33">
        <f t="shared" si="19"/>
        <v>-0.71139777748137178</v>
      </c>
      <c r="U33">
        <f t="shared" si="19"/>
        <v>-0.70136468878742364</v>
      </c>
      <c r="V33">
        <f t="shared" si="19"/>
        <v>-0.66932583629781939</v>
      </c>
      <c r="W33">
        <f t="shared" si="19"/>
        <v>-0.62405908960798961</v>
      </c>
      <c r="X33">
        <f t="shared" si="19"/>
        <v>-0.57176466246616575</v>
      </c>
      <c r="Y33">
        <f t="shared" si="19"/>
        <v>-0.51675437566886662</v>
      </c>
      <c r="Z33">
        <f t="shared" si="19"/>
        <v>-0.46195376018443685</v>
      </c>
      <c r="AA33">
        <f t="shared" si="19"/>
        <v>-0.40927505927583308</v>
      </c>
      <c r="AB33">
        <f t="shared" si="19"/>
        <v>-0.35989659393432494</v>
      </c>
      <c r="AC33">
        <f t="shared" si="19"/>
        <v>-0.31447218295943719</v>
      </c>
      <c r="AD33">
        <f t="shared" si="19"/>
        <v>-0.27328756980712154</v>
      </c>
      <c r="AE33">
        <f t="shared" si="19"/>
        <v>-0.23637650723162379</v>
      </c>
      <c r="AF33">
        <f t="shared" si="19"/>
        <v>-0.20360614727577089</v>
      </c>
      <c r="AG33">
        <f t="shared" si="19"/>
        <v>-0.1747391593462751</v>
      </c>
      <c r="AH33">
        <f t="shared" si="19"/>
        <v>-0.14947829762445067</v>
      </c>
      <c r="AI33">
        <f>(AH33*sa-AH$7*AH20*AH$10)/oa-AH$7*AH$10*flt3_*sa/oa^2</f>
        <v>-0.8138303913629138</v>
      </c>
    </row>
    <row r="34" spans="1:35">
      <c r="A34" t="s">
        <v>33</v>
      </c>
      <c r="B34" s="1">
        <f>f1_*SUMPRODUCT(lz,ta1_)</f>
        <v>6.0995221285221717E-2</v>
      </c>
      <c r="C34" s="10">
        <f>phi_t1/SUM(phi_t1,phi_t2,phi_t3)</f>
        <v>0.25841295705322731</v>
      </c>
      <c r="G34" t="s">
        <v>57</v>
      </c>
      <c r="J34" s="8"/>
    </row>
    <row r="35" spans="1:35">
      <c r="A35" t="s">
        <v>34</v>
      </c>
      <c r="B35" s="1">
        <f>f2_*SUMPRODUCT(lz,ta2_)</f>
        <v>0.11404733796632423</v>
      </c>
      <c r="C35" s="10">
        <f>phi_t2/SUM(phi_t1,phi_t2,phi_t3)</f>
        <v>0.48317407867273576</v>
      </c>
      <c r="G35" s="1">
        <f>SUM(dqa11_)</f>
        <v>137.4084926040556</v>
      </c>
      <c r="H35" s="1">
        <f>SUM(dqa12_)</f>
        <v>141.92146068490834</v>
      </c>
      <c r="I35" s="11">
        <f>SUM(dqa13_)</f>
        <v>137.40849260405466</v>
      </c>
      <c r="J35" s="8" t="s">
        <v>62</v>
      </c>
      <c r="K35">
        <f>flt1_*qa1_+lz*wa*flt1_^2/za*(sa-oa/za)</f>
        <v>7.5991458553258747E-11</v>
      </c>
      <c r="L35">
        <f t="shared" ref="L35:AI35" si="20">flt1_*qa1_+lz*wa*flt1_^2/za*(sa-oa/za)</f>
        <v>7.4066112649766338E-8</v>
      </c>
      <c r="M35">
        <f t="shared" si="20"/>
        <v>2.9428931251104205E-5</v>
      </c>
      <c r="N35">
        <f t="shared" si="20"/>
        <v>7.3201566582624319E-3</v>
      </c>
      <c r="O35">
        <f t="shared" si="20"/>
        <v>0.50412636455546866</v>
      </c>
      <c r="P35">
        <f t="shared" si="20"/>
        <v>2.3960659894751637</v>
      </c>
      <c r="Q35">
        <f t="shared" si="20"/>
        <v>3.5630682569194243</v>
      </c>
      <c r="R35">
        <f t="shared" si="20"/>
        <v>4.3637973900479512</v>
      </c>
      <c r="S35">
        <f t="shared" si="20"/>
        <v>5.0491855067432923</v>
      </c>
      <c r="T35">
        <f t="shared" si="20"/>
        <v>5.6454278537903626</v>
      </c>
      <c r="U35">
        <f t="shared" si="20"/>
        <v>6.1565569056829492</v>
      </c>
      <c r="V35">
        <f t="shared" si="20"/>
        <v>6.5884698005544049</v>
      </c>
      <c r="W35">
        <f t="shared" si="20"/>
        <v>6.9492958745598514</v>
      </c>
      <c r="X35">
        <f t="shared" si="20"/>
        <v>7.2480526662468492</v>
      </c>
      <c r="Y35">
        <f t="shared" si="20"/>
        <v>7.4936861067749199</v>
      </c>
      <c r="Z35">
        <f t="shared" si="20"/>
        <v>7.6945234758923098</v>
      </c>
      <c r="AA35">
        <f t="shared" si="20"/>
        <v>7.8580094232575695</v>
      </c>
      <c r="AB35">
        <f t="shared" si="20"/>
        <v>7.9906192237875393</v>
      </c>
      <c r="AC35">
        <f t="shared" si="20"/>
        <v>8.0978759257291291</v>
      </c>
      <c r="AD35">
        <f t="shared" si="20"/>
        <v>8.18442319511378</v>
      </c>
      <c r="AE35">
        <f t="shared" si="20"/>
        <v>8.254123462604646</v>
      </c>
      <c r="AF35">
        <f t="shared" si="20"/>
        <v>8.3101630606320711</v>
      </c>
      <c r="AG35">
        <f t="shared" si="20"/>
        <v>8.3551539683607459</v>
      </c>
      <c r="AH35">
        <f t="shared" si="20"/>
        <v>8.3912268209169678</v>
      </c>
      <c r="AI35">
        <f t="shared" si="20"/>
        <v>8.3072916726785966</v>
      </c>
    </row>
    <row r="36" spans="1:35">
      <c r="A36" t="s">
        <v>35</v>
      </c>
      <c r="B36" s="1">
        <f>f3_*SUMPRODUCT(lz,ta3_)</f>
        <v>6.0995222989605608E-2</v>
      </c>
      <c r="C36" s="10">
        <f>phi_t3/SUM(phi_t1,phi_t2,phi_t3)</f>
        <v>0.25841296427403693</v>
      </c>
      <c r="G36" s="1">
        <f>SUM(dqa21_)</f>
        <v>141.92146068490834</v>
      </c>
      <c r="H36" s="1">
        <f>SUM(dqa22_)</f>
        <v>2.9730494024317755</v>
      </c>
      <c r="I36" s="11">
        <f>SUM(dqa23_)</f>
        <v>141.92146068486642</v>
      </c>
      <c r="J36" s="8" t="s">
        <v>63</v>
      </c>
      <c r="K36">
        <f t="shared" ref="K36:AI36" si="21">flt2_*qa2_+lz*wa*flt2_^2/za*(sa-oa/za)</f>
        <v>3.3210086412017938E-5</v>
      </c>
      <c r="L36">
        <f t="shared" si="21"/>
        <v>1.031067578412727E-2</v>
      </c>
      <c r="M36">
        <f t="shared" si="21"/>
        <v>0.44666724568426142</v>
      </c>
      <c r="N36">
        <f t="shared" si="21"/>
        <v>1.0869559022189095</v>
      </c>
      <c r="O36">
        <f t="shared" si="21"/>
        <v>0.7323402385867368</v>
      </c>
      <c r="P36">
        <f t="shared" si="21"/>
        <v>0.37950269363964428</v>
      </c>
      <c r="Q36">
        <f t="shared" si="21"/>
        <v>0.17989472351343327</v>
      </c>
      <c r="R36">
        <f t="shared" si="21"/>
        <v>8.0069973139530112E-2</v>
      </c>
      <c r="S36">
        <f t="shared" si="21"/>
        <v>3.4049896676572079E-2</v>
      </c>
      <c r="T36">
        <f t="shared" si="21"/>
        <v>1.4004983896324381E-2</v>
      </c>
      <c r="U36">
        <f t="shared" si="21"/>
        <v>5.6188563835489098E-3</v>
      </c>
      <c r="V36">
        <f t="shared" si="21"/>
        <v>2.2121857167051741E-3</v>
      </c>
      <c r="W36">
        <f t="shared" si="21"/>
        <v>8.5843030277643595E-4</v>
      </c>
      <c r="X36">
        <f t="shared" si="21"/>
        <v>3.2939181920639478E-4</v>
      </c>
      <c r="Y36">
        <f t="shared" si="21"/>
        <v>1.2528936227013192E-4</v>
      </c>
      <c r="Z36">
        <f t="shared" si="21"/>
        <v>4.7329036448110664E-5</v>
      </c>
      <c r="AA36">
        <f t="shared" si="21"/>
        <v>1.7782209068844278E-5</v>
      </c>
      <c r="AB36">
        <f t="shared" si="21"/>
        <v>6.6524379948985889E-6</v>
      </c>
      <c r="AC36">
        <f t="shared" si="21"/>
        <v>2.4802688028012363E-6</v>
      </c>
      <c r="AD36">
        <f t="shared" si="21"/>
        <v>9.2223785082610458E-7</v>
      </c>
      <c r="AE36">
        <f t="shared" si="21"/>
        <v>3.4217876827308521E-7</v>
      </c>
      <c r="AF36">
        <f t="shared" si="21"/>
        <v>1.2674150981331357E-7</v>
      </c>
      <c r="AG36">
        <f t="shared" si="21"/>
        <v>4.6880368971055735E-8</v>
      </c>
      <c r="AH36">
        <f t="shared" si="21"/>
        <v>1.7321649920367821E-8</v>
      </c>
      <c r="AI36">
        <f t="shared" si="21"/>
        <v>6.308854163722762E-9</v>
      </c>
    </row>
    <row r="37" spans="1:35">
      <c r="A37" s="1" t="s">
        <v>36</v>
      </c>
      <c r="B37" s="1">
        <f>SUMPRODUCT(lz,qa1_)</f>
        <v>11.403971758770538</v>
      </c>
      <c r="G37" s="1">
        <f>SUM(dqa31_)</f>
        <v>137.40849260405466</v>
      </c>
      <c r="H37" s="1">
        <f>SUM(dqa32_)</f>
        <v>141.92146068486642</v>
      </c>
      <c r="I37" s="1">
        <f>SUM(dqa33_)</f>
        <v>137.40849260406148</v>
      </c>
      <c r="J37" s="8" t="s">
        <v>64</v>
      </c>
      <c r="K37">
        <f t="shared" ref="K37:AI37" si="22">flt3_*qa3_+lz*wa*flt3_^2/za*(sa-oa/za)</f>
        <v>7.6046843012894936E-11</v>
      </c>
      <c r="L37">
        <f t="shared" si="22"/>
        <v>7.406620958394106E-8</v>
      </c>
      <c r="M37">
        <f t="shared" si="22"/>
        <v>2.9428931498365567E-5</v>
      </c>
      <c r="N37">
        <f t="shared" si="22"/>
        <v>7.3201566593543094E-3</v>
      </c>
      <c r="O37">
        <f t="shared" si="22"/>
        <v>0.50412636455847637</v>
      </c>
      <c r="P37">
        <f t="shared" si="22"/>
        <v>2.3960659894762575</v>
      </c>
      <c r="Q37">
        <f t="shared" si="22"/>
        <v>3.5630682569196335</v>
      </c>
      <c r="R37">
        <f t="shared" si="22"/>
        <v>4.3637973900480027</v>
      </c>
      <c r="S37">
        <f t="shared" si="22"/>
        <v>5.0491855067433082</v>
      </c>
      <c r="T37">
        <f t="shared" si="22"/>
        <v>5.6454278537903679</v>
      </c>
      <c r="U37">
        <f t="shared" si="22"/>
        <v>6.1565569056829519</v>
      </c>
      <c r="V37">
        <f t="shared" si="22"/>
        <v>6.5884698005544067</v>
      </c>
      <c r="W37">
        <f t="shared" si="22"/>
        <v>6.9492958745598514</v>
      </c>
      <c r="X37">
        <f t="shared" si="22"/>
        <v>7.2480526662468492</v>
      </c>
      <c r="Y37">
        <f t="shared" si="22"/>
        <v>7.4936861067749199</v>
      </c>
      <c r="Z37">
        <f t="shared" si="22"/>
        <v>7.6945234758923098</v>
      </c>
      <c r="AA37">
        <f t="shared" si="22"/>
        <v>7.8580094232575695</v>
      </c>
      <c r="AB37">
        <f t="shared" si="22"/>
        <v>7.9906192237875393</v>
      </c>
      <c r="AC37">
        <f t="shared" si="22"/>
        <v>8.0978759257291291</v>
      </c>
      <c r="AD37">
        <f t="shared" si="22"/>
        <v>8.18442319511378</v>
      </c>
      <c r="AE37">
        <f t="shared" si="22"/>
        <v>8.254123462604646</v>
      </c>
      <c r="AF37">
        <f t="shared" si="22"/>
        <v>8.3101630606320711</v>
      </c>
      <c r="AG37">
        <f t="shared" si="22"/>
        <v>8.3551539683607459</v>
      </c>
      <c r="AH37">
        <f t="shared" si="22"/>
        <v>8.3912268209169678</v>
      </c>
      <c r="AI37">
        <f t="shared" si="22"/>
        <v>8.3072916726785966</v>
      </c>
    </row>
    <row r="38" spans="1:35">
      <c r="A38" s="1" t="s">
        <v>37</v>
      </c>
      <c r="B38" s="1">
        <f>SUMPRODUCT(lz,qa2_)</f>
        <v>3.5484911859250294</v>
      </c>
      <c r="G38" t="s">
        <v>69</v>
      </c>
      <c r="J38" s="8" t="s">
        <v>60</v>
      </c>
      <c r="K38">
        <f t="shared" ref="K38:AI38" si="23">flt1_*qa1_+lz*wa*flt2_*flt1_/za*(sa-oa/za)</f>
        <v>-4.7606926709027299E-8</v>
      </c>
      <c r="L38">
        <f t="shared" si="23"/>
        <v>-1.9703841193112173E-5</v>
      </c>
      <c r="M38">
        <f t="shared" si="23"/>
        <v>-1.9262022199289192E-3</v>
      </c>
      <c r="N38">
        <f t="shared" si="23"/>
        <v>-2.5561847199012975E-2</v>
      </c>
      <c r="O38">
        <f t="shared" si="23"/>
        <v>0.47307835373947793</v>
      </c>
      <c r="P38">
        <f t="shared" si="23"/>
        <v>2.7230361087979573</v>
      </c>
      <c r="Q38">
        <f t="shared" si="23"/>
        <v>4.0383310001771173</v>
      </c>
      <c r="R38">
        <f t="shared" si="23"/>
        <v>4.8647696507974993</v>
      </c>
      <c r="S38">
        <f t="shared" si="23"/>
        <v>5.5305286826307247</v>
      </c>
      <c r="T38">
        <f t="shared" si="23"/>
        <v>6.0851584911777588</v>
      </c>
      <c r="U38">
        <f t="shared" si="23"/>
        <v>6.5452963793789767</v>
      </c>
      <c r="V38">
        <f t="shared" si="23"/>
        <v>6.9244436727479801</v>
      </c>
      <c r="W38">
        <f t="shared" si="23"/>
        <v>7.2350325928987802</v>
      </c>
      <c r="X38">
        <f t="shared" si="23"/>
        <v>7.4882362397597193</v>
      </c>
      <c r="Y38">
        <f t="shared" si="23"/>
        <v>7.6938353507511783</v>
      </c>
      <c r="Z38">
        <f t="shared" si="23"/>
        <v>7.8602271324102384</v>
      </c>
      <c r="AA38">
        <f t="shared" si="23"/>
        <v>7.9945162251867012</v>
      </c>
      <c r="AB38">
        <f t="shared" si="23"/>
        <v>8.102645350179321</v>
      </c>
      <c r="AC38">
        <f t="shared" si="23"/>
        <v>8.1895402597731035</v>
      </c>
      <c r="AD38">
        <f t="shared" si="23"/>
        <v>8.2592539791355222</v>
      </c>
      <c r="AE38">
        <f t="shared" si="23"/>
        <v>8.3151018005728083</v>
      </c>
      <c r="AF38">
        <f t="shared" si="23"/>
        <v>8.3597826867947767</v>
      </c>
      <c r="AG38">
        <f t="shared" si="23"/>
        <v>8.395485440749658</v>
      </c>
      <c r="AH38">
        <f t="shared" si="23"/>
        <v>8.4239796696328746</v>
      </c>
      <c r="AI38">
        <f t="shared" si="23"/>
        <v>8.4466894184832295</v>
      </c>
    </row>
    <row r="39" spans="1:35">
      <c r="A39" s="1" t="s">
        <v>38</v>
      </c>
      <c r="B39" s="1">
        <f>SUMPRODUCT(lz,qa3_)</f>
        <v>11.403971760118671</v>
      </c>
      <c r="G39" s="1">
        <f>re*phi_q1+f1_*phi_q1*$H31+f1_*re*G35</f>
        <v>104.65857013892038</v>
      </c>
      <c r="H39" s="1">
        <f>re*phi_q1+f1_*phi_q1*$H32+f1_*re*H35</f>
        <v>109.99756890612824</v>
      </c>
      <c r="I39" s="1">
        <f>re*phi_q1+f1_*phi_q1*$H33+f1_*re*I35</f>
        <v>104.65857012830291</v>
      </c>
      <c r="J39" s="8" t="s">
        <v>66</v>
      </c>
      <c r="K39">
        <f t="shared" ref="K39:AI39" si="24">flt1_*qa1_+lz*wa*flt3_*flt1_/za*(sa-oa/za)</f>
        <v>7.5965138807048583E-11</v>
      </c>
      <c r="L39">
        <f t="shared" si="24"/>
        <v>7.4066077868985193E-8</v>
      </c>
      <c r="M39">
        <f t="shared" si="24"/>
        <v>2.9428931183872598E-5</v>
      </c>
      <c r="N39">
        <f t="shared" si="24"/>
        <v>7.3201566580431889E-3</v>
      </c>
      <c r="O39">
        <f t="shared" si="24"/>
        <v>0.50412636455501747</v>
      </c>
      <c r="P39">
        <f t="shared" si="24"/>
        <v>2.3960659894750398</v>
      </c>
      <c r="Q39">
        <f t="shared" si="24"/>
        <v>3.5630682569194061</v>
      </c>
      <c r="R39">
        <f t="shared" si="24"/>
        <v>4.3637973900479485</v>
      </c>
      <c r="S39">
        <f t="shared" si="24"/>
        <v>5.0491855067432914</v>
      </c>
      <c r="T39">
        <f t="shared" si="24"/>
        <v>5.6454278537903626</v>
      </c>
      <c r="U39">
        <f t="shared" si="24"/>
        <v>6.1565569056829492</v>
      </c>
      <c r="V39">
        <f t="shared" si="24"/>
        <v>6.5884698005544049</v>
      </c>
      <c r="W39">
        <f t="shared" si="24"/>
        <v>6.9492958745598514</v>
      </c>
      <c r="X39">
        <f t="shared" si="24"/>
        <v>7.2480526662468492</v>
      </c>
      <c r="Y39">
        <f t="shared" si="24"/>
        <v>7.4936861067749199</v>
      </c>
      <c r="Z39">
        <f t="shared" si="24"/>
        <v>7.6945234758923098</v>
      </c>
      <c r="AA39">
        <f t="shared" si="24"/>
        <v>7.8580094232575695</v>
      </c>
      <c r="AB39">
        <f t="shared" si="24"/>
        <v>7.9906192237875393</v>
      </c>
      <c r="AC39">
        <f t="shared" si="24"/>
        <v>8.0978759257291291</v>
      </c>
      <c r="AD39">
        <f t="shared" si="24"/>
        <v>8.18442319511378</v>
      </c>
      <c r="AE39">
        <f t="shared" si="24"/>
        <v>8.254123462604646</v>
      </c>
      <c r="AF39">
        <f t="shared" si="24"/>
        <v>8.3101630606320711</v>
      </c>
      <c r="AG39">
        <f t="shared" si="24"/>
        <v>8.3551539683607459</v>
      </c>
      <c r="AH39">
        <f t="shared" si="24"/>
        <v>8.3912268209169678</v>
      </c>
      <c r="AI39">
        <f t="shared" si="24"/>
        <v>8.3072916726785966</v>
      </c>
    </row>
    <row r="40" spans="1:35">
      <c r="G40" s="1">
        <f>re*phi_q1+f1_*phi_q1*$H32+f1_*re*G36</f>
        <v>109.99756890612824</v>
      </c>
      <c r="H40" s="1">
        <f>re*phi_q2+f2_*phi_q2*$H32+f2_*re*H36</f>
        <v>25.124605857598642</v>
      </c>
      <c r="I40" s="1">
        <f>re*phi_q3+f3_*phi_q3*$H33+f3_*re*I36</f>
        <v>105.64780902756542</v>
      </c>
      <c r="J40" s="8" t="s">
        <v>65</v>
      </c>
      <c r="K40">
        <f t="shared" ref="K40:AI40" si="25">flt1_*qa1_+lz*wa*flt1_*flt2_/za*(sa-oa/za)</f>
        <v>-4.7606926709027292E-8</v>
      </c>
      <c r="L40">
        <f t="shared" si="25"/>
        <v>-1.9703841193112177E-5</v>
      </c>
      <c r="M40">
        <f t="shared" si="25"/>
        <v>-1.9262022199289187E-3</v>
      </c>
      <c r="N40">
        <f t="shared" si="25"/>
        <v>-2.5561847199012975E-2</v>
      </c>
      <c r="O40">
        <f t="shared" si="25"/>
        <v>0.47307835373947793</v>
      </c>
      <c r="P40">
        <f t="shared" si="25"/>
        <v>2.7230361087979573</v>
      </c>
      <c r="Q40">
        <f t="shared" si="25"/>
        <v>4.0383310001771173</v>
      </c>
      <c r="R40">
        <f t="shared" si="25"/>
        <v>4.8647696507974993</v>
      </c>
      <c r="S40">
        <f t="shared" si="25"/>
        <v>5.5305286826307247</v>
      </c>
      <c r="T40">
        <f t="shared" si="25"/>
        <v>6.0851584911777588</v>
      </c>
      <c r="U40">
        <f t="shared" si="25"/>
        <v>6.5452963793789767</v>
      </c>
      <c r="V40">
        <f t="shared" si="25"/>
        <v>6.9244436727479801</v>
      </c>
      <c r="W40">
        <f t="shared" si="25"/>
        <v>7.2350325928987802</v>
      </c>
      <c r="X40">
        <f t="shared" si="25"/>
        <v>7.4882362397597193</v>
      </c>
      <c r="Y40">
        <f t="shared" si="25"/>
        <v>7.6938353507511783</v>
      </c>
      <c r="Z40">
        <f t="shared" si="25"/>
        <v>7.8602271324102384</v>
      </c>
      <c r="AA40">
        <f t="shared" si="25"/>
        <v>7.9945162251867012</v>
      </c>
      <c r="AB40">
        <f t="shared" si="25"/>
        <v>8.102645350179321</v>
      </c>
      <c r="AC40">
        <f t="shared" si="25"/>
        <v>8.1895402597731035</v>
      </c>
      <c r="AD40">
        <f t="shared" si="25"/>
        <v>8.2592539791355222</v>
      </c>
      <c r="AE40">
        <f t="shared" si="25"/>
        <v>8.3151018005728083</v>
      </c>
      <c r="AF40">
        <f t="shared" si="25"/>
        <v>8.3597826867947767</v>
      </c>
      <c r="AG40">
        <f t="shared" si="25"/>
        <v>8.395485440749658</v>
      </c>
      <c r="AH40">
        <f t="shared" si="25"/>
        <v>8.4239796696328746</v>
      </c>
      <c r="AI40">
        <f t="shared" si="25"/>
        <v>8.4466894184832295</v>
      </c>
    </row>
    <row r="41" spans="1:35">
      <c r="A41" s="15" t="s">
        <v>39</v>
      </c>
      <c r="B41" s="16"/>
      <c r="C41" s="16"/>
      <c r="G41" s="1">
        <f>re*phi_q1+f1_*phi_q1*$H33+f1_*re*G37</f>
        <v>104.65857012830291</v>
      </c>
      <c r="H41" s="1">
        <f>re*phi_q3+f3_*phi_q3*$H33+f3_*re*H37</f>
        <v>105.64780902756542</v>
      </c>
      <c r="I41" s="1">
        <f>re*phi_q3+f1_*phi_q3*$H33+f3_*re*I37</f>
        <v>104.65857074079418</v>
      </c>
      <c r="J41" s="8" t="s">
        <v>67</v>
      </c>
      <c r="K41">
        <f t="shared" ref="K41:AI41" si="26">flt1_*qa1_+lz*wa*flt3_*flt2_/za*(sa-oa/za)</f>
        <v>-4.7624326110532381E-8</v>
      </c>
      <c r="L41">
        <f t="shared" si="26"/>
        <v>-1.9703854170076816E-5</v>
      </c>
      <c r="M41">
        <f t="shared" si="26"/>
        <v>-1.9262022282117393E-3</v>
      </c>
      <c r="N41">
        <f t="shared" si="26"/>
        <v>-2.5561847201684567E-2</v>
      </c>
      <c r="O41">
        <f t="shared" si="26"/>
        <v>0.47307835373893414</v>
      </c>
      <c r="P41">
        <f t="shared" si="26"/>
        <v>2.723036108797908</v>
      </c>
      <c r="Q41">
        <f t="shared" si="26"/>
        <v>4.0383310001771138</v>
      </c>
      <c r="R41">
        <f t="shared" si="26"/>
        <v>4.8647696507974985</v>
      </c>
      <c r="S41">
        <f t="shared" si="26"/>
        <v>5.5305286826307247</v>
      </c>
      <c r="T41">
        <f t="shared" si="26"/>
        <v>6.0851584911777588</v>
      </c>
      <c r="U41">
        <f t="shared" si="26"/>
        <v>6.5452963793789767</v>
      </c>
      <c r="V41">
        <f t="shared" si="26"/>
        <v>6.9244436727479801</v>
      </c>
      <c r="W41">
        <f t="shared" si="26"/>
        <v>7.2350325928987802</v>
      </c>
      <c r="X41">
        <f t="shared" si="26"/>
        <v>7.4882362397597193</v>
      </c>
      <c r="Y41">
        <f t="shared" si="26"/>
        <v>7.6938353507511783</v>
      </c>
      <c r="Z41">
        <f t="shared" si="26"/>
        <v>7.8602271324102384</v>
      </c>
      <c r="AA41">
        <f t="shared" si="26"/>
        <v>7.9945162251867012</v>
      </c>
      <c r="AB41">
        <f t="shared" si="26"/>
        <v>8.102645350179321</v>
      </c>
      <c r="AC41">
        <f t="shared" si="26"/>
        <v>8.1895402597731035</v>
      </c>
      <c r="AD41">
        <f t="shared" si="26"/>
        <v>8.2592539791355222</v>
      </c>
      <c r="AE41">
        <f t="shared" si="26"/>
        <v>8.3151018005728083</v>
      </c>
      <c r="AF41">
        <f t="shared" si="26"/>
        <v>8.3597826867947767</v>
      </c>
      <c r="AG41">
        <f t="shared" si="26"/>
        <v>8.395485440749658</v>
      </c>
      <c r="AH41">
        <f t="shared" si="26"/>
        <v>8.4239796696328746</v>
      </c>
      <c r="AI41">
        <f t="shared" si="26"/>
        <v>8.4466894184832295</v>
      </c>
    </row>
    <row r="42" spans="1:35">
      <c r="A42" s="1" t="s">
        <v>40</v>
      </c>
      <c r="B42" s="1">
        <f>phif/phie</f>
        <v>0.39999855522103445</v>
      </c>
      <c r="J42" s="8" t="s">
        <v>68</v>
      </c>
      <c r="K42">
        <f t="shared" ref="K42:AI42" si="27">flt1_*qa1_+lz*wa*flt1_*flt3_/za*(sa-oa/za)</f>
        <v>7.5965138807048583E-11</v>
      </c>
      <c r="L42">
        <f t="shared" si="27"/>
        <v>7.4066077868985193E-8</v>
      </c>
      <c r="M42">
        <f t="shared" si="27"/>
        <v>2.9428931183872598E-5</v>
      </c>
      <c r="N42">
        <f t="shared" si="27"/>
        <v>7.3201566580431889E-3</v>
      </c>
      <c r="O42">
        <f t="shared" si="27"/>
        <v>0.50412636455501747</v>
      </c>
      <c r="P42">
        <f t="shared" si="27"/>
        <v>2.3960659894750398</v>
      </c>
      <c r="Q42">
        <f t="shared" si="27"/>
        <v>3.5630682569194061</v>
      </c>
      <c r="R42">
        <f t="shared" si="27"/>
        <v>4.3637973900479485</v>
      </c>
      <c r="S42">
        <f t="shared" si="27"/>
        <v>5.0491855067432914</v>
      </c>
      <c r="T42">
        <f t="shared" si="27"/>
        <v>5.6454278537903626</v>
      </c>
      <c r="U42">
        <f t="shared" si="27"/>
        <v>6.1565569056829492</v>
      </c>
      <c r="V42">
        <f t="shared" si="27"/>
        <v>6.5884698005544049</v>
      </c>
      <c r="W42">
        <f t="shared" si="27"/>
        <v>6.9492958745598514</v>
      </c>
      <c r="X42">
        <f t="shared" si="27"/>
        <v>7.2480526662468492</v>
      </c>
      <c r="Y42">
        <f t="shared" si="27"/>
        <v>7.4936861067749199</v>
      </c>
      <c r="Z42">
        <f t="shared" si="27"/>
        <v>7.6945234758923098</v>
      </c>
      <c r="AA42">
        <f t="shared" si="27"/>
        <v>7.8580094232575695</v>
      </c>
      <c r="AB42">
        <f t="shared" si="27"/>
        <v>7.9906192237875393</v>
      </c>
      <c r="AC42">
        <f t="shared" si="27"/>
        <v>8.0978759257291291</v>
      </c>
      <c r="AD42">
        <f t="shared" si="27"/>
        <v>8.18442319511378</v>
      </c>
      <c r="AE42">
        <f t="shared" si="27"/>
        <v>8.254123462604646</v>
      </c>
      <c r="AF42">
        <f t="shared" si="27"/>
        <v>8.3101630606320711</v>
      </c>
      <c r="AG42">
        <f t="shared" si="27"/>
        <v>8.3551539683607459</v>
      </c>
      <c r="AH42">
        <f t="shared" si="27"/>
        <v>8.3912268209169678</v>
      </c>
      <c r="AI42">
        <f t="shared" si="27"/>
        <v>8.3072916726785966</v>
      </c>
    </row>
    <row r="43" spans="1:35">
      <c r="A43" s="1" t="s">
        <v>41</v>
      </c>
      <c r="B43" s="11">
        <f>MAX(0,Ro*(reck-1/spr)/(reck-1))</f>
        <v>7.1196976633991707</v>
      </c>
      <c r="J43" s="8" t="s">
        <v>61</v>
      </c>
      <c r="K43">
        <f t="shared" ref="K43:AI43" si="28">flt1_*qa1_+lz*wa*flt2_*flt3_/za*(sa-oa/za)</f>
        <v>-4.7624326110532381E-8</v>
      </c>
      <c r="L43">
        <f t="shared" si="28"/>
        <v>-1.9703854170076816E-5</v>
      </c>
      <c r="M43">
        <f t="shared" si="28"/>
        <v>-1.9262022282117402E-3</v>
      </c>
      <c r="N43">
        <f t="shared" si="28"/>
        <v>-2.556184720168456E-2</v>
      </c>
      <c r="O43">
        <f t="shared" si="28"/>
        <v>0.47307835373893414</v>
      </c>
      <c r="P43">
        <f t="shared" si="28"/>
        <v>2.723036108797908</v>
      </c>
      <c r="Q43">
        <f t="shared" si="28"/>
        <v>4.0383310001771138</v>
      </c>
      <c r="R43">
        <f t="shared" si="28"/>
        <v>4.8647696507974985</v>
      </c>
      <c r="S43">
        <f t="shared" si="28"/>
        <v>5.5305286826307247</v>
      </c>
      <c r="T43">
        <f t="shared" si="28"/>
        <v>6.0851584911777588</v>
      </c>
      <c r="U43">
        <f t="shared" si="28"/>
        <v>6.5452963793789767</v>
      </c>
      <c r="V43">
        <f t="shared" si="28"/>
        <v>6.9244436727479801</v>
      </c>
      <c r="W43">
        <f t="shared" si="28"/>
        <v>7.2350325928987802</v>
      </c>
      <c r="X43">
        <f t="shared" si="28"/>
        <v>7.4882362397597193</v>
      </c>
      <c r="Y43">
        <f t="shared" si="28"/>
        <v>7.6938353507511783</v>
      </c>
      <c r="Z43">
        <f t="shared" si="28"/>
        <v>7.8602271324102384</v>
      </c>
      <c r="AA43">
        <f t="shared" si="28"/>
        <v>7.9945162251867012</v>
      </c>
      <c r="AB43">
        <f t="shared" si="28"/>
        <v>8.102645350179321</v>
      </c>
      <c r="AC43">
        <f t="shared" si="28"/>
        <v>8.1895402597731035</v>
      </c>
      <c r="AD43">
        <f t="shared" si="28"/>
        <v>8.2592539791355222</v>
      </c>
      <c r="AE43">
        <f t="shared" si="28"/>
        <v>8.3151018005728083</v>
      </c>
      <c r="AF43">
        <f t="shared" si="28"/>
        <v>8.3597826867947767</v>
      </c>
      <c r="AG43">
        <f t="shared" si="28"/>
        <v>8.395485440749658</v>
      </c>
      <c r="AH43">
        <f t="shared" si="28"/>
        <v>8.4239796696328746</v>
      </c>
      <c r="AI43">
        <f t="shared" si="28"/>
        <v>8.4466894184832295</v>
      </c>
    </row>
    <row r="44" spans="1:35">
      <c r="A44" s="1" t="s">
        <v>43</v>
      </c>
      <c r="B44" s="1">
        <f>f1_*re*phi_q1</f>
        <v>2.4997399888109619</v>
      </c>
      <c r="C44" s="20">
        <f>ye_1/SUM(ye_1,ye_2,ye_3)</f>
        <v>0.37525792595872431</v>
      </c>
    </row>
    <row r="45" spans="1:35">
      <c r="A45" s="1" t="s">
        <v>44</v>
      </c>
      <c r="B45" s="1">
        <f>f2_*re*phi_q2</f>
        <v>1.6619115533171394</v>
      </c>
      <c r="C45" s="20">
        <f>ye_2/SUM(ye_1,ye_2,ye_3)</f>
        <v>0.24948414051706141</v>
      </c>
      <c r="J45" s="2" t="s">
        <v>89</v>
      </c>
    </row>
    <row r="46" spans="1:35" ht="19" thickBot="1">
      <c r="A46" s="1" t="s">
        <v>45</v>
      </c>
      <c r="B46" s="1">
        <f>f3_*re*phi_q3</f>
        <v>2.4997400392076532</v>
      </c>
      <c r="C46" s="20">
        <f>ye_3/SUM(ye_1,ye_2,ye_3)</f>
        <v>0.37525793352421427</v>
      </c>
      <c r="G46" s="32" t="s">
        <v>70</v>
      </c>
      <c r="H46" s="32"/>
      <c r="I46" s="32"/>
      <c r="J46" s="8" t="s">
        <v>76</v>
      </c>
      <c r="K46">
        <f t="shared" ref="K46:AI46" si="29">lz*qa1_</f>
        <v>3.2655808350543217E-6</v>
      </c>
      <c r="L46">
        <f t="shared" si="29"/>
        <v>1.9765385080548794E-4</v>
      </c>
      <c r="M46">
        <f t="shared" si="29"/>
        <v>4.9502396798161152E-3</v>
      </c>
      <c r="N46">
        <f t="shared" si="29"/>
        <v>8.0377517435329546E-2</v>
      </c>
      <c r="O46">
        <f t="shared" si="29"/>
        <v>0.62797573641643889</v>
      </c>
      <c r="P46">
        <f t="shared" si="29"/>
        <v>1.2223234458721</v>
      </c>
      <c r="Q46">
        <f t="shared" si="29"/>
        <v>1.282404127206594</v>
      </c>
      <c r="R46">
        <f t="shared" si="29"/>
        <v>1.203703366173996</v>
      </c>
      <c r="S46">
        <f t="shared" si="29"/>
        <v>1.0881556990873975</v>
      </c>
      <c r="T46">
        <f t="shared" si="29"/>
        <v>0.95991092469231665</v>
      </c>
      <c r="U46">
        <f t="shared" si="29"/>
        <v>0.83128455095021225</v>
      </c>
      <c r="V46">
        <f t="shared" si="29"/>
        <v>0.70967255114358918</v>
      </c>
      <c r="W46">
        <f t="shared" si="29"/>
        <v>0.59912285993210612</v>
      </c>
      <c r="X46">
        <f t="shared" si="29"/>
        <v>0.5013789306139792</v>
      </c>
      <c r="Y46">
        <f t="shared" si="29"/>
        <v>0.41669300985110957</v>
      </c>
      <c r="Z46">
        <f t="shared" si="29"/>
        <v>0.34442619628296045</v>
      </c>
      <c r="AA46">
        <f t="shared" si="29"/>
        <v>0.28346515214127155</v>
      </c>
      <c r="AB46">
        <f t="shared" si="29"/>
        <v>0.23249583222769699</v>
      </c>
      <c r="AC46">
        <f t="shared" si="29"/>
        <v>0.19017314505483437</v>
      </c>
      <c r="AD46">
        <f t="shared" si="29"/>
        <v>0.15521874124846763</v>
      </c>
      <c r="AE46">
        <f t="shared" si="29"/>
        <v>0.12647135210203886</v>
      </c>
      <c r="AF46">
        <f t="shared" si="29"/>
        <v>0.10290716582301095</v>
      </c>
      <c r="AG46">
        <f t="shared" si="29"/>
        <v>8.3642230372726056E-2</v>
      </c>
      <c r="AH46">
        <f t="shared" si="29"/>
        <v>6.792480554352695E-2</v>
      </c>
      <c r="AI46">
        <f t="shared" si="29"/>
        <v>0.28909325948738285</v>
      </c>
    </row>
    <row r="47" spans="1:35" ht="19" thickTop="1">
      <c r="A47" s="1" t="s">
        <v>73</v>
      </c>
      <c r="B47" s="1">
        <f>SUM(B44:B46)</f>
        <v>6.6613915813357547</v>
      </c>
      <c r="F47" t="s">
        <v>86</v>
      </c>
      <c r="G47" s="31">
        <f>G39/G53</f>
        <v>1.0000000000000002</v>
      </c>
      <c r="H47" s="31">
        <f t="shared" ref="H47:I47" si="30">H39/H53</f>
        <v>2.1450926732367432</v>
      </c>
      <c r="I47" s="31">
        <f t="shared" si="30"/>
        <v>0.99999999702313569</v>
      </c>
      <c r="J47" s="8" t="s">
        <v>77</v>
      </c>
      <c r="K47">
        <f t="shared" ref="K47:AI47" si="31">lz*qa2_</f>
        <v>2.1588031906815412E-3</v>
      </c>
      <c r="L47">
        <f t="shared" si="31"/>
        <v>7.3746101987390955E-2</v>
      </c>
      <c r="M47">
        <f t="shared" si="31"/>
        <v>0.60986124375423811</v>
      </c>
      <c r="N47">
        <f t="shared" si="31"/>
        <v>0.97944569823551419</v>
      </c>
      <c r="O47">
        <f t="shared" si="31"/>
        <v>0.75688449243930345</v>
      </c>
      <c r="P47">
        <f t="shared" si="31"/>
        <v>0.48645669656270074</v>
      </c>
      <c r="Q47">
        <f t="shared" si="31"/>
        <v>0.28815227226670354</v>
      </c>
      <c r="R47">
        <f t="shared" si="31"/>
        <v>0.16305045961112605</v>
      </c>
      <c r="S47">
        <f t="shared" si="31"/>
        <v>8.9358995199419353E-2</v>
      </c>
      <c r="T47">
        <f t="shared" si="31"/>
        <v>4.781055778387059E-2</v>
      </c>
      <c r="U47">
        <f t="shared" si="31"/>
        <v>2.5113354447076384E-2</v>
      </c>
      <c r="V47">
        <f t="shared" si="31"/>
        <v>1.3003986799805528E-2</v>
      </c>
      <c r="W47">
        <f t="shared" si="31"/>
        <v>6.6588312546662096E-3</v>
      </c>
      <c r="X47">
        <f t="shared" si="31"/>
        <v>3.3799619709382936E-3</v>
      </c>
      <c r="Y47">
        <f t="shared" si="31"/>
        <v>1.7038272729331205E-3</v>
      </c>
      <c r="Z47">
        <f t="shared" si="31"/>
        <v>8.5421883370293472E-4</v>
      </c>
      <c r="AA47">
        <f t="shared" si="31"/>
        <v>4.264187176396412E-4</v>
      </c>
      <c r="AB47">
        <f t="shared" si="31"/>
        <v>2.1213648660941927E-4</v>
      </c>
      <c r="AC47">
        <f t="shared" si="31"/>
        <v>1.0524779479389867E-4</v>
      </c>
      <c r="AD47">
        <f t="shared" si="31"/>
        <v>5.2104062941527744E-5</v>
      </c>
      <c r="AE47">
        <f t="shared" si="31"/>
        <v>2.5750354403030386E-5</v>
      </c>
      <c r="AF47">
        <f t="shared" si="31"/>
        <v>1.2708675270626672E-5</v>
      </c>
      <c r="AG47">
        <f t="shared" si="31"/>
        <v>6.2653290809821656E-6</v>
      </c>
      <c r="AH47">
        <f t="shared" si="31"/>
        <v>3.0861021849271816E-6</v>
      </c>
      <c r="AI47">
        <f t="shared" si="31"/>
        <v>7.9667920334411347E-6</v>
      </c>
    </row>
    <row r="48" spans="1:35">
      <c r="A48" s="1"/>
      <c r="B48" s="1"/>
      <c r="F48" t="s">
        <v>87</v>
      </c>
      <c r="G48" s="31">
        <f>G40/G54</f>
        <v>2.1450926732367432</v>
      </c>
      <c r="H48" s="31">
        <f t="shared" ref="H48:I48" si="32">H40/H54</f>
        <v>1</v>
      </c>
      <c r="I48" s="31">
        <f t="shared" si="32"/>
        <v>2.060266810353844</v>
      </c>
      <c r="J48" s="8" t="s">
        <v>78</v>
      </c>
      <c r="K48">
        <f t="shared" ref="K48:AI48" si="33">lz*qa3_</f>
        <v>3.2667706364552806E-6</v>
      </c>
      <c r="L48">
        <f t="shared" si="33"/>
        <v>1.9765398014538413E-4</v>
      </c>
      <c r="M48">
        <f t="shared" si="33"/>
        <v>4.9502397006120288E-3</v>
      </c>
      <c r="N48">
        <f t="shared" si="33"/>
        <v>8.0377517441324112E-2</v>
      </c>
      <c r="O48">
        <f t="shared" si="33"/>
        <v>0.62797573641831217</v>
      </c>
      <c r="P48">
        <f t="shared" si="33"/>
        <v>1.2223234458723788</v>
      </c>
      <c r="Q48">
        <f t="shared" si="33"/>
        <v>1.2824041272066318</v>
      </c>
      <c r="R48">
        <f t="shared" si="33"/>
        <v>1.2037033661740031</v>
      </c>
      <c r="S48">
        <f t="shared" si="33"/>
        <v>1.0881556990873993</v>
      </c>
      <c r="T48">
        <f t="shared" si="33"/>
        <v>0.95991092469231709</v>
      </c>
      <c r="U48">
        <f t="shared" si="33"/>
        <v>0.83128455095021236</v>
      </c>
      <c r="V48">
        <f t="shared" si="33"/>
        <v>0.70967255114358929</v>
      </c>
      <c r="W48">
        <f t="shared" si="33"/>
        <v>0.59912285993210612</v>
      </c>
      <c r="X48">
        <f t="shared" si="33"/>
        <v>0.5013789306139792</v>
      </c>
      <c r="Y48">
        <f t="shared" si="33"/>
        <v>0.41669300985110957</v>
      </c>
      <c r="Z48">
        <f t="shared" si="33"/>
        <v>0.34442619628296045</v>
      </c>
      <c r="AA48">
        <f t="shared" si="33"/>
        <v>0.28346515214127155</v>
      </c>
      <c r="AB48">
        <f t="shared" si="33"/>
        <v>0.23249583222769699</v>
      </c>
      <c r="AC48">
        <f t="shared" si="33"/>
        <v>0.19017314505483437</v>
      </c>
      <c r="AD48">
        <f t="shared" si="33"/>
        <v>0.15521874124846763</v>
      </c>
      <c r="AE48">
        <f t="shared" si="33"/>
        <v>0.12647135210203886</v>
      </c>
      <c r="AF48">
        <f t="shared" si="33"/>
        <v>0.10290716582301095</v>
      </c>
      <c r="AG48">
        <f t="shared" si="33"/>
        <v>8.3642230372726056E-2</v>
      </c>
      <c r="AH48">
        <f t="shared" si="33"/>
        <v>6.792480554352695E-2</v>
      </c>
      <c r="AI48">
        <f t="shared" si="33"/>
        <v>0.28909325948738285</v>
      </c>
    </row>
    <row r="49" spans="1:21">
      <c r="A49" s="1" t="s">
        <v>79</v>
      </c>
      <c r="B49" s="1">
        <f>ye_2</f>
        <v>1.6619115533171394</v>
      </c>
      <c r="F49" t="s">
        <v>88</v>
      </c>
      <c r="G49" s="31">
        <f>G41/G55</f>
        <v>0.99999999702313569</v>
      </c>
      <c r="H49" s="31">
        <f t="shared" ref="H49:I49" si="34">H41/H55</f>
        <v>2.060266810353844</v>
      </c>
      <c r="I49" s="31">
        <f t="shared" si="34"/>
        <v>1</v>
      </c>
    </row>
    <row r="51" spans="1:21">
      <c r="B51">
        <f>1000000*(C51-B7)^2</f>
        <v>2.0873862593703405E-6</v>
      </c>
      <c r="C51">
        <f>spr</f>
        <v>0.39999855522103445</v>
      </c>
      <c r="G51" t="s">
        <v>71</v>
      </c>
    </row>
    <row r="52" spans="1:21">
      <c r="B52">
        <f>-(ye_1)</f>
        <v>-2.4997399888109619</v>
      </c>
      <c r="C52">
        <f>-LN(ye_1)</f>
        <v>-0.9161867219896993</v>
      </c>
      <c r="G52" s="1">
        <f>G39^0.5</f>
        <v>10.230277129135866</v>
      </c>
      <c r="H52" s="1">
        <f>H40^0.5</f>
        <v>5.0124450977141528</v>
      </c>
      <c r="I52" s="11">
        <f>I41^0.5</f>
        <v>10.230277158552166</v>
      </c>
    </row>
    <row r="53" spans="1:21">
      <c r="B53">
        <f>-(ye_2)</f>
        <v>-1.6619115533171394</v>
      </c>
      <c r="C53">
        <f>-LN(ye_2)</f>
        <v>-0.5079684779998157</v>
      </c>
      <c r="G53">
        <f t="shared" ref="G53:I55" si="35">G$52*$J53</f>
        <v>104.65857013892037</v>
      </c>
      <c r="H53">
        <f t="shared" si="35"/>
        <v>51.278702444194288</v>
      </c>
      <c r="I53">
        <f t="shared" si="35"/>
        <v>104.65857043985727</v>
      </c>
      <c r="J53">
        <f t="array" ref="J53:J55">TRANSPOSE(G52:I52)</f>
        <v>10.230277129135866</v>
      </c>
      <c r="S53">
        <v>0.33</v>
      </c>
      <c r="T53">
        <f>S53/S$57</f>
        <v>0.28695652173913044</v>
      </c>
      <c r="U53">
        <f>S53/S57</f>
        <v>0.28695652173913044</v>
      </c>
    </row>
    <row r="54" spans="1:21">
      <c r="B54">
        <f>-(ye_3)</f>
        <v>-2.4997400392076532</v>
      </c>
      <c r="C54">
        <f>-LN(ye_3)</f>
        <v>-0.91618674215047247</v>
      </c>
      <c r="G54">
        <f t="shared" si="35"/>
        <v>51.278702444194288</v>
      </c>
      <c r="H54">
        <f t="shared" si="35"/>
        <v>25.124605857598642</v>
      </c>
      <c r="I54">
        <f t="shared" si="35"/>
        <v>51.278702591641881</v>
      </c>
      <c r="J54">
        <v>5.0124450977141528</v>
      </c>
      <c r="S54">
        <v>0.32</v>
      </c>
      <c r="T54">
        <f t="shared" ref="T54:T55" si="36">S54/S$57</f>
        <v>0.27826086956521739</v>
      </c>
      <c r="U54">
        <f>S54*(1-S$55)</f>
        <v>0.16</v>
      </c>
    </row>
    <row r="55" spans="1:21">
      <c r="B55">
        <f>SUM(B51:B54)</f>
        <v>-6.6613894939494953</v>
      </c>
      <c r="C55">
        <f>SUM(C52:C54,B51)</f>
        <v>-2.340339854753728</v>
      </c>
      <c r="G55">
        <f t="shared" si="35"/>
        <v>104.65857043985727</v>
      </c>
      <c r="H55">
        <f t="shared" si="35"/>
        <v>51.278702591641881</v>
      </c>
      <c r="I55">
        <f t="shared" si="35"/>
        <v>104.65857074079418</v>
      </c>
      <c r="J55">
        <v>10.230277158552166</v>
      </c>
      <c r="S55" s="33">
        <f>0.5</f>
        <v>0.5</v>
      </c>
      <c r="T55">
        <f t="shared" si="36"/>
        <v>0.43478260869565222</v>
      </c>
      <c r="U55">
        <f>S55</f>
        <v>0.5</v>
      </c>
    </row>
    <row r="57" spans="1:21">
      <c r="S57">
        <f>SUM(S53:S55)</f>
        <v>1.1499999999999999</v>
      </c>
      <c r="T57">
        <f>SUM(T53:T55)</f>
        <v>1</v>
      </c>
      <c r="U57">
        <f>SUM(U53:U55)</f>
        <v>0.94695652173913047</v>
      </c>
    </row>
  </sheetData>
  <phoneticPr fontId="5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Sheet1!K46:AI46</xm:f>
              <xm:sqref>J46</xm:sqref>
            </x14:sparkline>
            <x14:sparkline>
              <xm:f>Sheet1!K47:AI47</xm:f>
              <xm:sqref>J47</xm:sqref>
            </x14:sparkline>
            <x14:sparkline>
              <xm:f>Sheet1!K48:AI48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Sheet1!K35:AI35</xm:f>
              <xm:sqref>J35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Sheet1!K18:AI18</xm:f>
              <xm:sqref>J18</xm:sqref>
            </x14:sparkline>
            <x14:sparkline>
              <xm:f>Sheet1!K19:AI19</xm:f>
              <xm:sqref>J19</xm:sqref>
            </x14:sparkline>
            <x14:sparkline>
              <xm:f>Sheet1!K20:AI20</xm:f>
              <xm:sqref>J20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2015-07-24T19:33:23Z</dcterms:modified>
</cp:coreProperties>
</file>