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8320" windowWidth="51200" windowHeight="28260" tabRatio="500"/>
  </bookViews>
  <sheets>
    <sheet name="fbar" sheetId="2" r:id="rId1"/>
    <sheet name="Proof of Concept" sheetId="1" r:id="rId2"/>
  </sheets>
  <definedNames>
    <definedName name="age" localSheetId="0">fbar!$K$3:$AI$3</definedName>
    <definedName name="age">'Proof of Concept'!$K$3:$AI$3</definedName>
    <definedName name="ah" localSheetId="0">fbar!$G$18:$G$20</definedName>
    <definedName name="ah">'Proof of Concept'!$G$18:$G$20</definedName>
    <definedName name="Bo" localSheetId="0">fbar!$B$18</definedName>
    <definedName name="Bo">'Proof of Concept'!$B$18</definedName>
    <definedName name="daq21_" localSheetId="0">fbar!$K$38:$AI$38</definedName>
    <definedName name="daq21_">'Proof of Concept'!$K$38:$AI$38</definedName>
    <definedName name="dlz1_" localSheetId="0">fbar!$K$31:$AI$31</definedName>
    <definedName name="dlz1_">'Proof of Concept'!$K$31:$AI$31</definedName>
    <definedName name="dlz2_" localSheetId="0">fbar!$K$32:$AI$32</definedName>
    <definedName name="dlz2_">'Proof of Concept'!$K$32:$AI$32</definedName>
    <definedName name="dlz3_" localSheetId="0">fbar!$K$33:$AI$33</definedName>
    <definedName name="dlz3_">'Proof of Concept'!$K$33:$AI$33</definedName>
    <definedName name="dmr" localSheetId="0">fbar!$F$18:$F$20</definedName>
    <definedName name="dmr">'Proof of Concept'!$F$18:$F$20</definedName>
    <definedName name="dphif" localSheetId="0">fbar!$G$31:$G$33</definedName>
    <definedName name="dphif" localSheetId="1">'Proof of Concept'!$G$31:$G$33</definedName>
    <definedName name="dqa1_" localSheetId="0">fbar!$K$35:$AI$35</definedName>
    <definedName name="dqa1_">'Proof of Concept'!$K$35:$AI$35</definedName>
    <definedName name="dqa11_" localSheetId="0">fbar!$K$35:$AI$35</definedName>
    <definedName name="dqa11_">'Proof of Concept'!$K$35:$AI$35</definedName>
    <definedName name="dqa12_" localSheetId="0">fbar!$K$40:$AI$40</definedName>
    <definedName name="dqa12_">'Proof of Concept'!$K$40:$AI$40</definedName>
    <definedName name="dqa13_" localSheetId="0">fbar!$K$42:$AI$42</definedName>
    <definedName name="dqa13_">'Proof of Concept'!$K$42:$AI$42</definedName>
    <definedName name="dqa2_" localSheetId="0">fbar!$K$36:$AI$36</definedName>
    <definedName name="dqa2_">'Proof of Concept'!$K$36:$AI$36</definedName>
    <definedName name="dqa21_" localSheetId="0">fbar!$K$38:$AI$38</definedName>
    <definedName name="dqa21_">'Proof of Concept'!$K$38:$AI$38</definedName>
    <definedName name="dqa22_" localSheetId="0">fbar!$K$36:$AI$36</definedName>
    <definedName name="dqa22_">'Proof of Concept'!$K$36:$AI$36</definedName>
    <definedName name="dqa23_" localSheetId="0">fbar!$K$43:$AI$43</definedName>
    <definedName name="dqa23_">'Proof of Concept'!$K$43:$AI$43</definedName>
    <definedName name="dqa3_" localSheetId="0">fbar!$K$37:$AI$37</definedName>
    <definedName name="dqa3_">'Proof of Concept'!$K$37:$AI$37</definedName>
    <definedName name="dqa31_" localSheetId="0">fbar!$K$39:$AI$39</definedName>
    <definedName name="dqa31_">'Proof of Concept'!$K$39:$AI$39</definedName>
    <definedName name="dqa32_" localSheetId="0">fbar!$K$41:$AI$41</definedName>
    <definedName name="dqa32_">'Proof of Concept'!$K$41:$AI$41</definedName>
    <definedName name="dqa33_" localSheetId="0">fbar!$K$37:$AI$37</definedName>
    <definedName name="dqa33_">'Proof of Concept'!$K$37:$AI$37</definedName>
    <definedName name="dre" localSheetId="0">fbar!$H$31:$H$33</definedName>
    <definedName name="dre">'Proof of Concept'!$H$31:$H$33</definedName>
    <definedName name="f1_" localSheetId="0">fbar!$B$27</definedName>
    <definedName name="f1_">'Proof of Concept'!$B$27</definedName>
    <definedName name="f2_" localSheetId="0">fbar!$B$28</definedName>
    <definedName name="f2_">'Proof of Concept'!$B$28</definedName>
    <definedName name="f3_" localSheetId="0">fbar!$B$29</definedName>
    <definedName name="f3_">'Proof of Concept'!$B$29</definedName>
    <definedName name="fbar" localSheetId="0">fbar!$B$30</definedName>
    <definedName name="fbar">'Proof of Concept'!$B$30</definedName>
    <definedName name="flt1_" localSheetId="0">fbar!$K$18:$AI$18</definedName>
    <definedName name="flt1_">'Proof of Concept'!$K$18:$AI$18</definedName>
    <definedName name="flt2_" localSheetId="0">fbar!$K$19:$AI$19</definedName>
    <definedName name="flt2_">'Proof of Concept'!$K$19:$AI$19</definedName>
    <definedName name="flt3_" localSheetId="0">fbar!$K$20:$AI$20</definedName>
    <definedName name="flt3_">'Proof of Concept'!$K$20:$AI$20</definedName>
    <definedName name="ftotal">fbar!$B$31</definedName>
    <definedName name="g" localSheetId="0">fbar!$I$18:$I$20</definedName>
    <definedName name="g">'Proof of Concept'!$I$18:$I$20</definedName>
    <definedName name="gamma" localSheetId="0">fbar!$I$18:$I$20</definedName>
    <definedName name="gamma">'Proof of Concept'!$I$18:$I$20</definedName>
    <definedName name="gh" localSheetId="0">fbar!$H$18:$H$20</definedName>
    <definedName name="gh">'Proof of Concept'!$H$18:$H$20</definedName>
    <definedName name="len" localSheetId="0">fbar!$K$4:$AI$4</definedName>
    <definedName name="len">'Proof of Concept'!$K$4:$AI$4</definedName>
    <definedName name="linf" localSheetId="0">fbar!$B$22</definedName>
    <definedName name="linf">'Proof of Concept'!$B$22</definedName>
    <definedName name="lx" localSheetId="0">fbar!$K$6:$AI$6</definedName>
    <definedName name="lx">'Proof of Concept'!$K$6:$AI$6</definedName>
    <definedName name="lz" localSheetId="0">fbar!$K$7:$AI$7</definedName>
    <definedName name="lz">'Proof of Concept'!$K$7:$AI$7</definedName>
    <definedName name="M" localSheetId="0">fbar!$B$20</definedName>
    <definedName name="M">'Proof of Concept'!$B$20</definedName>
    <definedName name="ma" localSheetId="0">fbar!$K$9:$AI$9</definedName>
    <definedName name="ma">'Proof of Concept'!$K$9:$AI$9</definedName>
    <definedName name="mpr1_" localSheetId="0">fbar!$B$55</definedName>
    <definedName name="mpr1_">'Proof of Concept'!$B$53</definedName>
    <definedName name="mpr2_" localSheetId="0">fbar!$B$56</definedName>
    <definedName name="mpr2_">'Proof of Concept'!$B$54</definedName>
    <definedName name="mpr3_" localSheetId="0">fbar!$B$57</definedName>
    <definedName name="mpr3_">'Proof of Concept'!$B$55</definedName>
    <definedName name="oa" localSheetId="0">fbar!$K$11:$AI$11</definedName>
    <definedName name="oa">'Proof of Concept'!$K$11:$AI$11</definedName>
    <definedName name="phi_q1" localSheetId="0">fbar!$B$38</definedName>
    <definedName name="phi_q1">'Proof of Concept'!$B$38</definedName>
    <definedName name="phi_q2" localSheetId="0">fbar!$B$39</definedName>
    <definedName name="phi_q2">'Proof of Concept'!$B$39</definedName>
    <definedName name="phi_q3" localSheetId="0">fbar!$B$40</definedName>
    <definedName name="phi_q3">'Proof of Concept'!$B$40</definedName>
    <definedName name="phi_t1" localSheetId="0">fbar!$B$35</definedName>
    <definedName name="phi_t1">'Proof of Concept'!$B$35</definedName>
    <definedName name="phi_t2" localSheetId="0">fbar!$B$36</definedName>
    <definedName name="phi_t2">'Proof of Concept'!$B$36</definedName>
    <definedName name="phi_t3" localSheetId="0">fbar!$B$37</definedName>
    <definedName name="phi_t3">'Proof of Concept'!$B$37</definedName>
    <definedName name="phie" localSheetId="0">fbar!$B$33</definedName>
    <definedName name="phie">'Proof of Concept'!$B$33</definedName>
    <definedName name="phif" localSheetId="0">fbar!$B$34</definedName>
    <definedName name="phif">'Proof of Concept'!$B$34</definedName>
    <definedName name="qa1_" localSheetId="0">fbar!$K$22:$AI$22</definedName>
    <definedName name="qa1_">'Proof of Concept'!$K$22:$AI$22</definedName>
    <definedName name="qa2_" localSheetId="0">fbar!$K$23:$AI$23</definedName>
    <definedName name="qa2_">'Proof of Concept'!$K$23:$AI$23</definedName>
    <definedName name="qa3_" localSheetId="0">fbar!$K$24:$AI$24</definedName>
    <definedName name="qa3_">'Proof of Concept'!$K$24:$AI$24</definedName>
    <definedName name="re" localSheetId="0">fbar!$B$46</definedName>
    <definedName name="re">'Proof of Concept'!$B$44</definedName>
    <definedName name="reck" localSheetId="0">fbar!$B$19</definedName>
    <definedName name="reck">'Proof of Concept'!$B$19</definedName>
    <definedName name="Ro" localSheetId="0">fbar!$B$21</definedName>
    <definedName name="Ro">'Proof of Concept'!$B$21</definedName>
    <definedName name="sa" localSheetId="0">fbar!$K$10:$AI$10</definedName>
    <definedName name="sa">'Proof of Concept'!$K$10:$AI$10</definedName>
    <definedName name="slim" localSheetId="0">fbar!$E$18:$E$20</definedName>
    <definedName name="slim">'Proof of Concept'!$E$18:$E$20</definedName>
    <definedName name="solver_adj" localSheetId="0" hidden="1">fbar!$B$18</definedName>
    <definedName name="solver_adj" localSheetId="1" hidden="1">'Proof of Concept'!$B$27,'Proof of Concept'!$B$28,'Proof of Concept'!$B$29</definedName>
    <definedName name="solver_cvg" localSheetId="0" hidden="1">0.000001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fbar!$B$30</definedName>
    <definedName name="solver_lhs2" localSheetId="0" hidden="1">fbar!$B$30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1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fbar!$F$8</definedName>
    <definedName name="solver_opt" localSheetId="1" hidden="1">'Proof of Concept'!$C$15</definedName>
    <definedName name="solver_pre" localSheetId="0" hidden="1">0.000000001</definedName>
    <definedName name="solver_pre" localSheetId="1" hidden="1">0.000000001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2" localSheetId="0" hidden="1">3</definedName>
    <definedName name="solver_rhs1" localSheetId="0" hidden="1">2</definedName>
    <definedName name="solver_rhs2" localSheetId="0" hidden="1">0</definedName>
    <definedName name="solver_rlx" localSheetId="0" hidden="1">2</definedName>
    <definedName name="solver_rlx" localSheetId="1" hidden="1">2</definedName>
    <definedName name="solver_rsd" localSheetId="0" hidden="1">123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spr" localSheetId="0">fbar!$B$45</definedName>
    <definedName name="spr">'Proof of Concept'!$B$43</definedName>
    <definedName name="sr" localSheetId="0">fbar!$K$12:$AI$12</definedName>
    <definedName name="sr">'Proof of Concept'!$K$12:$AI$12</definedName>
    <definedName name="sr_1">fbar!$K$12:$AI$12</definedName>
    <definedName name="sr_2">fbar!$K$13:$AI$13</definedName>
    <definedName name="sr_3">fbar!$K$14:$AI$14</definedName>
    <definedName name="ta1_" localSheetId="0">fbar!$K$26:$AI$26</definedName>
    <definedName name="ta1_">'Proof of Concept'!$K$26:$AI$26</definedName>
    <definedName name="ta2_" localSheetId="0">fbar!$K$27:$AI$27</definedName>
    <definedName name="ta2_">'Proof of Concept'!$K$27:$AI$27</definedName>
    <definedName name="ta3_" localSheetId="0">fbar!$K$28:$AI$28</definedName>
    <definedName name="ta3_">'Proof of Concept'!$K$28:$AI$28</definedName>
    <definedName name="vonbk" localSheetId="0">fbar!$B$23</definedName>
    <definedName name="vonbk">'Proof of Concept'!$B$23</definedName>
    <definedName name="wa" localSheetId="0">fbar!$K$5:$AI$5</definedName>
    <definedName name="wa">'Proof of Concept'!$K$5:$AI$5</definedName>
    <definedName name="ye_1" localSheetId="0">fbar!$B$47</definedName>
    <definedName name="ye_1">'Proof of Concept'!$B$45</definedName>
    <definedName name="ye_2" localSheetId="0">fbar!$B$48</definedName>
    <definedName name="ye_2">'Proof of Concept'!$B$46</definedName>
    <definedName name="ye_3" localSheetId="0">fbar!$B$49</definedName>
    <definedName name="ye_3">'Proof of Concept'!$B$47</definedName>
    <definedName name="ypr1" localSheetId="0">fbar!$B$52</definedName>
    <definedName name="ypr1">'Proof of Concept'!$B$50</definedName>
    <definedName name="ypr2" localSheetId="0">fbar!$B$53</definedName>
    <definedName name="ypr2">'Proof of Concept'!$B$51</definedName>
    <definedName name="ypr3" localSheetId="0">fbar!$B$54</definedName>
    <definedName name="ypr3">'Proof of Concept'!$B$52</definedName>
    <definedName name="za" localSheetId="0">fbar!$K$8:$AI$8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4" i="2"/>
  <c r="B23" i="2"/>
  <c r="Q4" i="2"/>
  <c r="Q12" i="2"/>
  <c r="Q18" i="2"/>
  <c r="R4" i="2"/>
  <c r="R12" i="2"/>
  <c r="R18" i="2"/>
  <c r="S4" i="2"/>
  <c r="S12" i="2"/>
  <c r="S18" i="2"/>
  <c r="T4" i="2"/>
  <c r="T12" i="2"/>
  <c r="T18" i="2"/>
  <c r="U4" i="2"/>
  <c r="U12" i="2"/>
  <c r="U18" i="2"/>
  <c r="V4" i="2"/>
  <c r="V12" i="2"/>
  <c r="V18" i="2"/>
  <c r="W4" i="2"/>
  <c r="W12" i="2"/>
  <c r="W18" i="2"/>
  <c r="X4" i="2"/>
  <c r="X12" i="2"/>
  <c r="X18" i="2"/>
  <c r="Y4" i="2"/>
  <c r="Y12" i="2"/>
  <c r="Y18" i="2"/>
  <c r="Z4" i="2"/>
  <c r="Z12" i="2"/>
  <c r="Z18" i="2"/>
  <c r="AA4" i="2"/>
  <c r="AA12" i="2"/>
  <c r="AA18" i="2"/>
  <c r="AB4" i="2"/>
  <c r="AB12" i="2"/>
  <c r="AB18" i="2"/>
  <c r="AC4" i="2"/>
  <c r="AC12" i="2"/>
  <c r="AC18" i="2"/>
  <c r="AD4" i="2"/>
  <c r="AD12" i="2"/>
  <c r="AD18" i="2"/>
  <c r="AE4" i="2"/>
  <c r="AE12" i="2"/>
  <c r="AE18" i="2"/>
  <c r="AF4" i="2"/>
  <c r="AF12" i="2"/>
  <c r="AF18" i="2"/>
  <c r="AG4" i="2"/>
  <c r="AG12" i="2"/>
  <c r="AG18" i="2"/>
  <c r="AH4" i="2"/>
  <c r="AH12" i="2"/>
  <c r="AH18" i="2"/>
  <c r="AI4" i="2"/>
  <c r="AI12" i="2"/>
  <c r="AI18" i="2"/>
  <c r="Q13" i="2"/>
  <c r="Q19" i="2"/>
  <c r="R13" i="2"/>
  <c r="R19" i="2"/>
  <c r="S13" i="2"/>
  <c r="S19" i="2"/>
  <c r="T13" i="2"/>
  <c r="T19" i="2"/>
  <c r="U13" i="2"/>
  <c r="U19" i="2"/>
  <c r="V13" i="2"/>
  <c r="V19" i="2"/>
  <c r="W13" i="2"/>
  <c r="W19" i="2"/>
  <c r="X13" i="2"/>
  <c r="X19" i="2"/>
  <c r="Y13" i="2"/>
  <c r="Y19" i="2"/>
  <c r="Z13" i="2"/>
  <c r="Z19" i="2"/>
  <c r="AA13" i="2"/>
  <c r="AA19" i="2"/>
  <c r="AB13" i="2"/>
  <c r="AB19" i="2"/>
  <c r="AC13" i="2"/>
  <c r="AC19" i="2"/>
  <c r="AD13" i="2"/>
  <c r="AD19" i="2"/>
  <c r="AE13" i="2"/>
  <c r="AE19" i="2"/>
  <c r="AF13" i="2"/>
  <c r="AF19" i="2"/>
  <c r="AG13" i="2"/>
  <c r="AG19" i="2"/>
  <c r="AH13" i="2"/>
  <c r="AH19" i="2"/>
  <c r="AI13" i="2"/>
  <c r="AI19" i="2"/>
  <c r="Q14" i="2"/>
  <c r="Q20" i="2"/>
  <c r="R14" i="2"/>
  <c r="R20" i="2"/>
  <c r="S14" i="2"/>
  <c r="S20" i="2"/>
  <c r="T14" i="2"/>
  <c r="T20" i="2"/>
  <c r="U14" i="2"/>
  <c r="U20" i="2"/>
  <c r="V14" i="2"/>
  <c r="V20" i="2"/>
  <c r="W14" i="2"/>
  <c r="W20" i="2"/>
  <c r="X14" i="2"/>
  <c r="X20" i="2"/>
  <c r="Y14" i="2"/>
  <c r="Y20" i="2"/>
  <c r="Z14" i="2"/>
  <c r="Z20" i="2"/>
  <c r="AA14" i="2"/>
  <c r="AA20" i="2"/>
  <c r="AB14" i="2"/>
  <c r="AB20" i="2"/>
  <c r="AC14" i="2"/>
  <c r="AC20" i="2"/>
  <c r="AD14" i="2"/>
  <c r="AD20" i="2"/>
  <c r="AE14" i="2"/>
  <c r="AE20" i="2"/>
  <c r="AF14" i="2"/>
  <c r="AF20" i="2"/>
  <c r="AG14" i="2"/>
  <c r="AG20" i="2"/>
  <c r="AH14" i="2"/>
  <c r="AH20" i="2"/>
  <c r="AI14" i="2"/>
  <c r="AI20" i="2"/>
  <c r="P4" i="2"/>
  <c r="P14" i="2"/>
  <c r="P20" i="2"/>
  <c r="P13" i="2"/>
  <c r="P19" i="2"/>
  <c r="P12" i="2"/>
  <c r="P18" i="2"/>
  <c r="L4" i="2"/>
  <c r="L13" i="2"/>
  <c r="M4" i="2"/>
  <c r="M13" i="2"/>
  <c r="N4" i="2"/>
  <c r="N13" i="2"/>
  <c r="O4" i="2"/>
  <c r="O13" i="2"/>
  <c r="L14" i="2"/>
  <c r="M14" i="2"/>
  <c r="N14" i="2"/>
  <c r="O14" i="2"/>
  <c r="K4" i="2"/>
  <c r="K13" i="2"/>
  <c r="K14" i="2"/>
  <c r="K12" i="2"/>
  <c r="K18" i="2"/>
  <c r="K20" i="2"/>
  <c r="L12" i="2"/>
  <c r="L18" i="2"/>
  <c r="M12" i="2"/>
  <c r="M18" i="2"/>
  <c r="N12" i="2"/>
  <c r="N18" i="2"/>
  <c r="O12" i="2"/>
  <c r="O18" i="2"/>
  <c r="L19" i="2"/>
  <c r="M19" i="2"/>
  <c r="N19" i="2"/>
  <c r="O19" i="2"/>
  <c r="L20" i="2"/>
  <c r="M20" i="2"/>
  <c r="N20" i="2"/>
  <c r="O20" i="2"/>
  <c r="K19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K7" i="2"/>
  <c r="B13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B6" i="2"/>
  <c r="B23" i="1"/>
  <c r="K4" i="1"/>
  <c r="K12" i="1"/>
  <c r="K18" i="1"/>
  <c r="B30" i="1"/>
  <c r="K6" i="1"/>
  <c r="K19" i="1"/>
  <c r="K20" i="1"/>
  <c r="K8" i="1"/>
  <c r="K7" i="1"/>
  <c r="L7" i="1"/>
  <c r="L19" i="1"/>
  <c r="L4" i="1"/>
  <c r="L12" i="1"/>
  <c r="L18" i="1"/>
  <c r="L20" i="1"/>
  <c r="L8" i="1"/>
  <c r="M7" i="1"/>
  <c r="M19" i="1"/>
  <c r="M4" i="1"/>
  <c r="M12" i="1"/>
  <c r="M18" i="1"/>
  <c r="M20" i="1"/>
  <c r="M8" i="1"/>
  <c r="N7" i="1"/>
  <c r="N19" i="1"/>
  <c r="N4" i="1"/>
  <c r="N12" i="1"/>
  <c r="N18" i="1"/>
  <c r="N20" i="1"/>
  <c r="N8" i="1"/>
  <c r="O7" i="1"/>
  <c r="O19" i="1"/>
  <c r="O4" i="1"/>
  <c r="O12" i="1"/>
  <c r="O18" i="1"/>
  <c r="O20" i="1"/>
  <c r="O8" i="1"/>
  <c r="P7" i="1"/>
  <c r="P19" i="1"/>
  <c r="P4" i="1"/>
  <c r="P12" i="1"/>
  <c r="P18" i="1"/>
  <c r="P20" i="1"/>
  <c r="P8" i="1"/>
  <c r="Q7" i="1"/>
  <c r="Q19" i="1"/>
  <c r="Q4" i="1"/>
  <c r="Q12" i="1"/>
  <c r="Q18" i="1"/>
  <c r="Q20" i="1"/>
  <c r="Q8" i="1"/>
  <c r="R7" i="1"/>
  <c r="R19" i="1"/>
  <c r="R4" i="1"/>
  <c r="R12" i="1"/>
  <c r="R18" i="1"/>
  <c r="R20" i="1"/>
  <c r="R8" i="1"/>
  <c r="S7" i="1"/>
  <c r="S19" i="1"/>
  <c r="S4" i="1"/>
  <c r="S12" i="1"/>
  <c r="S18" i="1"/>
  <c r="S20" i="1"/>
  <c r="S8" i="1"/>
  <c r="T7" i="1"/>
  <c r="T19" i="1"/>
  <c r="T4" i="1"/>
  <c r="T12" i="1"/>
  <c r="T18" i="1"/>
  <c r="T20" i="1"/>
  <c r="T8" i="1"/>
  <c r="U7" i="1"/>
  <c r="U19" i="1"/>
  <c r="U4" i="1"/>
  <c r="U12" i="1"/>
  <c r="U18" i="1"/>
  <c r="U20" i="1"/>
  <c r="U8" i="1"/>
  <c r="V7" i="1"/>
  <c r="V19" i="1"/>
  <c r="V4" i="1"/>
  <c r="V12" i="1"/>
  <c r="V18" i="1"/>
  <c r="V20" i="1"/>
  <c r="V8" i="1"/>
  <c r="W7" i="1"/>
  <c r="W19" i="1"/>
  <c r="W4" i="1"/>
  <c r="W12" i="1"/>
  <c r="W18" i="1"/>
  <c r="W20" i="1"/>
  <c r="W8" i="1"/>
  <c r="X7" i="1"/>
  <c r="X19" i="1"/>
  <c r="X4" i="1"/>
  <c r="X12" i="1"/>
  <c r="X18" i="1"/>
  <c r="X20" i="1"/>
  <c r="X8" i="1"/>
  <c r="Y7" i="1"/>
  <c r="Y19" i="1"/>
  <c r="Y4" i="1"/>
  <c r="Y12" i="1"/>
  <c r="Y18" i="1"/>
  <c r="Y20" i="1"/>
  <c r="Y8" i="1"/>
  <c r="Z7" i="1"/>
  <c r="Z19" i="1"/>
  <c r="Z4" i="1"/>
  <c r="Z12" i="1"/>
  <c r="Z18" i="1"/>
  <c r="Z20" i="1"/>
  <c r="Z8" i="1"/>
  <c r="AA7" i="1"/>
  <c r="AA19" i="1"/>
  <c r="AA4" i="1"/>
  <c r="AA12" i="1"/>
  <c r="AA18" i="1"/>
  <c r="AA20" i="1"/>
  <c r="AA8" i="1"/>
  <c r="AB7" i="1"/>
  <c r="AB19" i="1"/>
  <c r="AB4" i="1"/>
  <c r="AB12" i="1"/>
  <c r="AB18" i="1"/>
  <c r="AB20" i="1"/>
  <c r="AB8" i="1"/>
  <c r="AC7" i="1"/>
  <c r="AC19" i="1"/>
  <c r="AC4" i="1"/>
  <c r="AC12" i="1"/>
  <c r="AC18" i="1"/>
  <c r="AC20" i="1"/>
  <c r="AC8" i="1"/>
  <c r="AD7" i="1"/>
  <c r="AD19" i="1"/>
  <c r="AD4" i="1"/>
  <c r="AD12" i="1"/>
  <c r="AD18" i="1"/>
  <c r="AD20" i="1"/>
  <c r="AD8" i="1"/>
  <c r="AE7" i="1"/>
  <c r="AE19" i="1"/>
  <c r="AE4" i="1"/>
  <c r="AE12" i="1"/>
  <c r="AE18" i="1"/>
  <c r="AE20" i="1"/>
  <c r="AE8" i="1"/>
  <c r="AF7" i="1"/>
  <c r="AF19" i="1"/>
  <c r="AF4" i="1"/>
  <c r="AF12" i="1"/>
  <c r="AF18" i="1"/>
  <c r="AF20" i="1"/>
  <c r="AF8" i="1"/>
  <c r="AG7" i="1"/>
  <c r="AG19" i="1"/>
  <c r="AG4" i="1"/>
  <c r="AG12" i="1"/>
  <c r="AG18" i="1"/>
  <c r="AG20" i="1"/>
  <c r="AG8" i="1"/>
  <c r="AH7" i="1"/>
  <c r="AH19" i="1"/>
  <c r="AH4" i="1"/>
  <c r="AH12" i="1"/>
  <c r="AH18" i="1"/>
  <c r="AH20" i="1"/>
  <c r="AH8" i="1"/>
  <c r="AI19" i="1"/>
  <c r="AI4" i="1"/>
  <c r="AI12" i="1"/>
  <c r="AI18" i="1"/>
  <c r="AI20" i="1"/>
  <c r="AI8" i="1"/>
  <c r="AI7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3" i="2"/>
  <c r="B21" i="2"/>
  <c r="C4" i="2"/>
  <c r="F4" i="2"/>
  <c r="C5" i="2"/>
  <c r="F5" i="2"/>
  <c r="C6" i="2"/>
  <c r="F6" i="2"/>
  <c r="C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F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C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C12" i="2"/>
  <c r="C13" i="2"/>
  <c r="C14" i="2"/>
  <c r="C15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B27" i="2"/>
  <c r="C27" i="2"/>
  <c r="E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B28" i="2"/>
  <c r="C28" i="2"/>
  <c r="E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9" i="2"/>
  <c r="C29" i="2"/>
  <c r="E29" i="2"/>
  <c r="C30" i="2"/>
  <c r="B31" i="2"/>
  <c r="G31" i="2"/>
  <c r="H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G32" i="2"/>
  <c r="H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G33" i="2"/>
  <c r="H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B34" i="2"/>
  <c r="B35" i="2"/>
  <c r="C35" i="2"/>
  <c r="E35" i="2"/>
  <c r="G35" i="2"/>
  <c r="H35" i="2"/>
  <c r="I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B36" i="2"/>
  <c r="C36" i="2"/>
  <c r="E36" i="2"/>
  <c r="G36" i="2"/>
  <c r="H36" i="2"/>
  <c r="I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B37" i="2"/>
  <c r="C37" i="2"/>
  <c r="E37" i="2"/>
  <c r="G37" i="2"/>
  <c r="H37" i="2"/>
  <c r="I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B38" i="2"/>
  <c r="C38" i="2"/>
  <c r="E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B39" i="2"/>
  <c r="C39" i="2"/>
  <c r="E39" i="2"/>
  <c r="G39" i="2"/>
  <c r="H39" i="2"/>
  <c r="I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B40" i="2"/>
  <c r="C40" i="2"/>
  <c r="E40" i="2"/>
  <c r="G40" i="2"/>
  <c r="H40" i="2"/>
  <c r="I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B41" i="2"/>
  <c r="G41" i="2"/>
  <c r="H41" i="2"/>
  <c r="I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B45" i="2"/>
  <c r="B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B47" i="2"/>
  <c r="C47" i="2"/>
  <c r="G47" i="2"/>
  <c r="H47" i="2"/>
  <c r="I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B48" i="2"/>
  <c r="C48" i="2"/>
  <c r="G48" i="2"/>
  <c r="H48" i="2"/>
  <c r="I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B49" i="2"/>
  <c r="C49" i="2"/>
  <c r="G49" i="2"/>
  <c r="H49" i="2"/>
  <c r="I49" i="2"/>
  <c r="B50" i="2"/>
  <c r="B52" i="2"/>
  <c r="C52" i="2"/>
  <c r="G52" i="2"/>
  <c r="H52" i="2"/>
  <c r="I52" i="2"/>
  <c r="B53" i="2"/>
  <c r="C53" i="2"/>
  <c r="G53" i="2"/>
  <c r="H53" i="2"/>
  <c r="I53" i="2"/>
  <c r="J53" i="2" a="1"/>
  <c r="J53" i="2"/>
  <c r="B54" i="2"/>
  <c r="C54" i="2"/>
  <c r="G54" i="2"/>
  <c r="H54" i="2"/>
  <c r="I54" i="2"/>
  <c r="J54" i="2"/>
  <c r="B55" i="2"/>
  <c r="C55" i="2"/>
  <c r="G55" i="2"/>
  <c r="H55" i="2"/>
  <c r="I55" i="2"/>
  <c r="J55" i="2"/>
  <c r="B56" i="2"/>
  <c r="C56" i="2"/>
  <c r="B57" i="2"/>
  <c r="C57" i="2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<sst xmlns="http://schemas.openxmlformats.org/spreadsheetml/2006/main" count="214" uniqueCount="115">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</sst>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5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</cellXfs>
  <cellStyles count="85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"/>
  <sheetViews>
    <sheetView tabSelected="1" workbookViewId="0">
      <pane xSplit="10" topLeftCell="K1" activePane="topRight" state="frozen"/>
      <selection pane="topRight" activeCell="B30" sqref="B30"/>
    </sheetView>
  </sheetViews>
  <sheetFormatPr baseColWidth="10" defaultRowHeight="18" x14ac:dyDescent="0"/>
  <cols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E4/SUM(E4:E6)</f>
        <v>0.60367371601208464</v>
      </c>
      <c r="C4" s="22">
        <f ca="1">ypr1/SUM(ypr1,ypr2,ypr3)</f>
        <v>0.60367371564600625</v>
      </c>
      <c r="E4">
        <v>24977</v>
      </c>
      <c r="F4">
        <f ca="1">ye_1</f>
        <v>24976.999967508622</v>
      </c>
      <c r="J4" t="s">
        <v>78</v>
      </c>
      <c r="K4" s="1">
        <f t="shared" ref="K4:AI4" si="0">linf*(1-EXP(-vonbk*age))</f>
        <v>19.793516300140094</v>
      </c>
      <c r="L4" s="1">
        <f t="shared" si="0"/>
        <v>35.598960092080056</v>
      </c>
      <c r="M4" s="1">
        <f t="shared" si="0"/>
        <v>48.219863304633833</v>
      </c>
      <c r="N4" s="1">
        <f t="shared" si="0"/>
        <v>58.297859215250334</v>
      </c>
      <c r="O4" s="1">
        <f t="shared" si="0"/>
        <v>66.345302402468306</v>
      </c>
      <c r="P4" s="1">
        <f t="shared" si="0"/>
        <v>72.771316307006501</v>
      </c>
      <c r="Q4" s="1">
        <f t="shared" si="0"/>
        <v>77.902592631753521</v>
      </c>
      <c r="R4" s="1">
        <f t="shared" si="0"/>
        <v>82.000000000000028</v>
      </c>
      <c r="S4" s="1">
        <f t="shared" si="0"/>
        <v>85.271846238409026</v>
      </c>
      <c r="T4" s="1">
        <f t="shared" si="0"/>
        <v>87.884468525065486</v>
      </c>
      <c r="U4" s="1">
        <f t="shared" si="0"/>
        <v>89.970689794452866</v>
      </c>
      <c r="V4" s="1">
        <f t="shared" si="0"/>
        <v>91.636571313979488</v>
      </c>
      <c r="W4" s="1">
        <f t="shared" si="0"/>
        <v>92.966804725852981</v>
      </c>
      <c r="X4" s="1">
        <f t="shared" si="0"/>
        <v>94.029017679969613</v>
      </c>
      <c r="Y4" s="1">
        <f t="shared" si="0"/>
        <v>94.877211951608032</v>
      </c>
      <c r="Z4" s="1">
        <f t="shared" si="0"/>
        <v>95.554508834170136</v>
      </c>
      <c r="AA4" s="1">
        <f t="shared" si="0"/>
        <v>96.095341379811117</v>
      </c>
      <c r="AB4" s="1">
        <f t="shared" si="0"/>
        <v>96.527204939138372</v>
      </c>
      <c r="AC4" s="1">
        <f t="shared" si="0"/>
        <v>96.872054995552332</v>
      </c>
      <c r="AD4" s="1">
        <f t="shared" si="0"/>
        <v>97.147423358638974</v>
      </c>
      <c r="AE4" s="1">
        <f t="shared" si="0"/>
        <v>97.367309462696866</v>
      </c>
      <c r="AF4" s="1">
        <f t="shared" si="0"/>
        <v>97.542892083066903</v>
      </c>
      <c r="AG4" s="1">
        <f t="shared" si="0"/>
        <v>97.683097653164651</v>
      </c>
      <c r="AH4" s="1">
        <f t="shared" si="0"/>
        <v>97.795054074848125</v>
      </c>
      <c r="AI4" s="1">
        <f t="shared" si="0"/>
        <v>97.884453093356626</v>
      </c>
    </row>
    <row r="5" spans="1:35">
      <c r="A5" t="s">
        <v>107</v>
      </c>
      <c r="B5" s="25">
        <f>E5/SUM(E4:E6)</f>
        <v>0.22513595166163142</v>
      </c>
      <c r="C5" s="22">
        <f ca="1">ypr2/SUM(ypr1,ypr2,ypr3)</f>
        <v>0.22513595185953952</v>
      </c>
      <c r="E5">
        <v>9315</v>
      </c>
      <c r="F5">
        <f ca="1">ye_2</f>
        <v>9315.0000017197926</v>
      </c>
      <c r="J5" t="s">
        <v>3</v>
      </c>
      <c r="K5" s="9">
        <f t="shared" ref="K5:AI5" si="1">0.00001*len^3</f>
        <v>7.7547688877270177E-2</v>
      </c>
      <c r="L5" s="9">
        <f t="shared" si="1"/>
        <v>0.45114062302389046</v>
      </c>
      <c r="M5" s="9">
        <f t="shared" si="1"/>
        <v>1.1211866673146555</v>
      </c>
      <c r="N5" s="9">
        <f t="shared" si="1"/>
        <v>1.9813345892591643</v>
      </c>
      <c r="O5" s="9">
        <f t="shared" si="1"/>
        <v>2.9203206124948764</v>
      </c>
      <c r="P5" s="9">
        <f t="shared" si="1"/>
        <v>3.8537247471550318</v>
      </c>
      <c r="Q5" s="9">
        <f t="shared" si="1"/>
        <v>4.7277634002826607</v>
      </c>
      <c r="R5" s="9">
        <f t="shared" si="1"/>
        <v>5.5136800000000061</v>
      </c>
      <c r="S5" s="9">
        <f t="shared" si="1"/>
        <v>6.2003613190327629</v>
      </c>
      <c r="T5" s="9">
        <f t="shared" si="1"/>
        <v>6.7879149497799149</v>
      </c>
      <c r="U5" s="9">
        <f t="shared" si="1"/>
        <v>7.2828799393382484</v>
      </c>
      <c r="V5" s="9">
        <f t="shared" si="1"/>
        <v>7.6949622499586843</v>
      </c>
      <c r="W5" s="9">
        <f t="shared" si="1"/>
        <v>8.0349598962254554</v>
      </c>
      <c r="X5" s="9">
        <f t="shared" si="1"/>
        <v>8.3135343813632989</v>
      </c>
      <c r="Y5" s="9">
        <f t="shared" si="1"/>
        <v>8.540548086563998</v>
      </c>
      <c r="Z5" s="9">
        <f t="shared" si="1"/>
        <v>8.7247612899900329</v>
      </c>
      <c r="AA5" s="9">
        <f t="shared" si="1"/>
        <v>8.873746172495359</v>
      </c>
      <c r="AB5" s="9">
        <f t="shared" si="1"/>
        <v>8.9939235686508106</v>
      </c>
      <c r="AC5" s="9">
        <f t="shared" si="1"/>
        <v>9.090662579129372</v>
      </c>
      <c r="AD5" s="9">
        <f t="shared" si="1"/>
        <v>9.1684064683953128</v>
      </c>
      <c r="AE5" s="9">
        <f t="shared" si="1"/>
        <v>9.2308035438580021</v>
      </c>
      <c r="AF5" s="9">
        <f t="shared" si="1"/>
        <v>9.2808314179413021</v>
      </c>
      <c r="AG5" s="9">
        <f t="shared" si="1"/>
        <v>9.3209090332404152</v>
      </c>
      <c r="AH5" s="9">
        <f t="shared" si="1"/>
        <v>9.3529943822889248</v>
      </c>
      <c r="AI5" s="9">
        <f t="shared" si="1"/>
        <v>9.378667862028788</v>
      </c>
    </row>
    <row r="6" spans="1:35">
      <c r="A6" t="s">
        <v>108</v>
      </c>
      <c r="B6" s="25">
        <f>1-SUM(B4:B5)</f>
        <v>0.171190332326284</v>
      </c>
      <c r="C6" s="22">
        <f ca="1">ypr3/SUM(ypr1,ypr2,ypr3)</f>
        <v>0.17119033249445428</v>
      </c>
      <c r="E6">
        <v>7083</v>
      </c>
      <c r="F6">
        <f ca="1">ye_3</f>
        <v>7083.0000020393682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0.40000000217939524</v>
      </c>
      <c r="J7" t="s">
        <v>7</v>
      </c>
      <c r="K7" s="1">
        <f>1</f>
        <v>1</v>
      </c>
      <c r="L7" s="1">
        <f ca="1">K7*EXP(-K8)</f>
        <v>0.86048189042218992</v>
      </c>
      <c r="M7" s="1">
        <f t="shared" ref="M7:AH7" ca="1" si="3">L7*EXP(-L8)</f>
        <v>0.73869096926232591</v>
      </c>
      <c r="N7" s="1">
        <f t="shared" ca="1" si="3"/>
        <v>0.62621805416683551</v>
      </c>
      <c r="O7" s="1">
        <f t="shared" ca="1" si="3"/>
        <v>0.52579672754522921</v>
      </c>
      <c r="P7" s="1">
        <f t="shared" ca="1" si="3"/>
        <v>0.44199276934851578</v>
      </c>
      <c r="Q7" s="1">
        <f t="shared" ca="1" si="3"/>
        <v>0.36927585143145353</v>
      </c>
      <c r="R7" s="1">
        <f t="shared" ca="1" si="3"/>
        <v>0.30611802704293833</v>
      </c>
      <c r="S7" s="1">
        <f t="shared" ca="1" si="3"/>
        <v>0.24737737159852724</v>
      </c>
      <c r="T7" s="1">
        <f t="shared" ca="1" si="3"/>
        <v>0.19254100709628591</v>
      </c>
      <c r="U7" s="1">
        <f t="shared" ca="1" si="3"/>
        <v>0.14846133233600309</v>
      </c>
      <c r="V7" s="1">
        <f t="shared" ca="1" si="3"/>
        <v>0.11454978643764306</v>
      </c>
      <c r="W7" s="1">
        <f t="shared" ca="1" si="3"/>
        <v>8.8618953273645551E-2</v>
      </c>
      <c r="X7" s="1">
        <f t="shared" ca="1" si="3"/>
        <v>6.875492820554345E-2</v>
      </c>
      <c r="Y7" s="1">
        <f t="shared" ca="1" si="3"/>
        <v>5.3485196769491324E-2</v>
      </c>
      <c r="Z7" s="1">
        <f t="shared" ca="1" si="3"/>
        <v>4.1704339164366319E-2</v>
      </c>
      <c r="AA7" s="1">
        <f t="shared" ca="1" si="3"/>
        <v>3.2584524860174886E-2</v>
      </c>
      <c r="AB7" s="1">
        <f t="shared" ca="1" si="3"/>
        <v>2.5503540098434196E-2</v>
      </c>
      <c r="AC7" s="1">
        <f t="shared" ca="1" si="3"/>
        <v>1.9991240723425507E-2</v>
      </c>
      <c r="AD7" s="1">
        <f t="shared" ca="1" si="3"/>
        <v>1.5690441084906012E-2</v>
      </c>
      <c r="AE7" s="1">
        <f t="shared" ca="1" si="3"/>
        <v>1.2328377571765858E-2</v>
      </c>
      <c r="AF7" s="1">
        <f t="shared" ca="1" si="3"/>
        <v>9.69578656289336E-3</v>
      </c>
      <c r="AG7" s="1">
        <f t="shared" ca="1" si="3"/>
        <v>7.6314600741846468E-3</v>
      </c>
      <c r="AH7" s="1">
        <f t="shared" ca="1" si="3"/>
        <v>6.0107619086381663E-3</v>
      </c>
      <c r="AI7" s="1">
        <f ca="1">AH7*EXP(-AH8)/(1-EXP(-AI8))</f>
        <v>2.2395931047929713E-2</v>
      </c>
    </row>
    <row r="8" spans="1:35">
      <c r="A8" s="5"/>
      <c r="B8" s="26"/>
      <c r="C8" s="26"/>
      <c r="E8" t="s">
        <v>111</v>
      </c>
      <c r="F8">
        <f ca="1">SUMXMY2(E4:E6,F4:F6)</f>
        <v>1.0628063586346295E-9</v>
      </c>
      <c r="J8" t="s">
        <v>11</v>
      </c>
      <c r="K8" s="1">
        <f ca="1">M+f1_*flt1_ +f2_*flt2_ +f3_*flt3_</f>
        <v>0.15026270896550903</v>
      </c>
      <c r="L8" s="1">
        <f t="shared" ref="L8:AI8" ca="1" si="4">M+f1_*flt1_ +f2_*flt2_ +f3_*flt3_</f>
        <v>0.15261291073943151</v>
      </c>
      <c r="M8" s="1">
        <f t="shared" ca="1" si="4"/>
        <v>0.16518101953081607</v>
      </c>
      <c r="N8" s="1">
        <f t="shared" ca="1" si="4"/>
        <v>0.17478395133089239</v>
      </c>
      <c r="O8" s="1">
        <f t="shared" ca="1" si="4"/>
        <v>0.1736211655628852</v>
      </c>
      <c r="P8" s="1">
        <f t="shared" ca="1" si="4"/>
        <v>0.17974959345624497</v>
      </c>
      <c r="Q8" s="1">
        <f t="shared" ca="1" si="4"/>
        <v>0.18757319279990961</v>
      </c>
      <c r="R8" s="1">
        <f t="shared" ca="1" si="4"/>
        <v>0.21305574602597449</v>
      </c>
      <c r="S8" s="1">
        <f t="shared" ca="1" si="4"/>
        <v>0.25060583612104259</v>
      </c>
      <c r="T8" s="1">
        <f t="shared" ca="1" si="4"/>
        <v>0.25998461899720793</v>
      </c>
      <c r="U8" s="1">
        <f t="shared" ca="1" si="4"/>
        <v>0.25931499158718335</v>
      </c>
      <c r="V8" s="1">
        <f t="shared" ca="1" si="4"/>
        <v>0.25666379033132419</v>
      </c>
      <c r="W8" s="1">
        <f t="shared" ca="1" si="4"/>
        <v>0.2537973374211428</v>
      </c>
      <c r="X8" s="1">
        <f t="shared" ca="1" si="4"/>
        <v>0.25114349733294916</v>
      </c>
      <c r="Y8" s="1">
        <f t="shared" ca="1" si="4"/>
        <v>0.24879973970515534</v>
      </c>
      <c r="Z8" s="1">
        <f t="shared" ca="1" si="4"/>
        <v>0.24676770203809736</v>
      </c>
      <c r="AA8" s="1">
        <f t="shared" ca="1" si="4"/>
        <v>0.24502020828087367</v>
      </c>
      <c r="AB8" s="1">
        <f t="shared" ca="1" si="4"/>
        <v>0.24352305619624215</v>
      </c>
      <c r="AC8" s="1">
        <f t="shared" ca="1" si="4"/>
        <v>0.24224253502194079</v>
      </c>
      <c r="AD8" s="1">
        <f t="shared" ca="1" si="4"/>
        <v>0.24114795418055521</v>
      </c>
      <c r="AE8" s="1">
        <f t="shared" ca="1" si="4"/>
        <v>0.2402123086011517</v>
      </c>
      <c r="AF8" s="1">
        <f t="shared" ca="1" si="4"/>
        <v>0.23941222959656364</v>
      </c>
      <c r="AG8" s="1">
        <f t="shared" ca="1" si="4"/>
        <v>0.23872767271094561</v>
      </c>
      <c r="AH8" s="1">
        <f t="shared" ca="1" si="4"/>
        <v>0.23814152780698478</v>
      </c>
      <c r="AI8" s="1">
        <f t="shared" ca="1" si="4"/>
        <v>0.23763922838330162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5">EXP(-za)</f>
        <v>0.86048189042167611</v>
      </c>
      <c r="L10" s="1">
        <f t="shared" ca="1" si="5"/>
        <v>0.85846195890943944</v>
      </c>
      <c r="M10" s="1">
        <f t="shared" ca="1" si="5"/>
        <v>0.84774023265850207</v>
      </c>
      <c r="N10" s="1">
        <f t="shared" ca="1" si="5"/>
        <v>0.83963840393440781</v>
      </c>
      <c r="O10" s="1">
        <f t="shared" ca="1" si="5"/>
        <v>0.8406152913661078</v>
      </c>
      <c r="P10" s="1">
        <f t="shared" ca="1" si="5"/>
        <v>0.83547939472735555</v>
      </c>
      <c r="Q10" s="1">
        <f t="shared" ca="1" si="5"/>
        <v>0.82896844143861148</v>
      </c>
      <c r="R10" s="1">
        <f t="shared" ca="1" si="5"/>
        <v>0.80811108697916922</v>
      </c>
      <c r="S10" s="1">
        <f t="shared" ca="1" si="5"/>
        <v>0.77832910032157476</v>
      </c>
      <c r="T10" s="1">
        <f t="shared" ca="1" si="5"/>
        <v>0.77106344544136673</v>
      </c>
      <c r="U10" s="1">
        <f t="shared" ca="1" si="5"/>
        <v>0.77157994357065462</v>
      </c>
      <c r="V10" s="1">
        <f t="shared" ca="1" si="5"/>
        <v>0.77362827135085122</v>
      </c>
      <c r="W10" s="1">
        <f t="shared" ca="1" si="5"/>
        <v>0.77584902167820702</v>
      </c>
      <c r="X10" s="1">
        <f t="shared" ca="1" si="5"/>
        <v>0.77791073543359845</v>
      </c>
      <c r="Y10" s="1">
        <f t="shared" ca="1" si="5"/>
        <v>0.77973610793327897</v>
      </c>
      <c r="Z10" s="1">
        <f t="shared" ca="1" si="5"/>
        <v>0.78132217200016618</v>
      </c>
      <c r="AA10" s="1">
        <f t="shared" ca="1" si="5"/>
        <v>0.7826887212885355</v>
      </c>
      <c r="AB10" s="1">
        <f t="shared" ca="1" si="5"/>
        <v>0.78386140296159224</v>
      </c>
      <c r="AC10" s="1">
        <f t="shared" ca="1" si="5"/>
        <v>0.78486579702248838</v>
      </c>
      <c r="AD10" s="1">
        <f t="shared" ca="1" si="5"/>
        <v>0.78572536643525215</v>
      </c>
      <c r="AE10" s="1">
        <f t="shared" ca="1" si="5"/>
        <v>0.78646087093309147</v>
      </c>
      <c r="AF10" s="1">
        <f t="shared" ca="1" si="5"/>
        <v>0.78709035354818813</v>
      </c>
      <c r="AG10" s="1">
        <f t="shared" ca="1" si="5"/>
        <v>0.78762934613380742</v>
      </c>
      <c r="AH10" s="1">
        <f t="shared" ca="1" si="5"/>
        <v>0.78809114638896538</v>
      </c>
      <c r="AI10" s="1">
        <f t="shared" ca="1" si="5"/>
        <v>0.78848710355380902</v>
      </c>
    </row>
    <row r="11" spans="1:35">
      <c r="A11" s="5">
        <v>1</v>
      </c>
      <c r="B11" s="25">
        <v>0.45841666620009469</v>
      </c>
      <c r="C11" s="18">
        <f ca="1">mpr1_/SUM(mpr1_,mpr2_,mpr3_)</f>
        <v>0.4633830342299991</v>
      </c>
      <c r="J11" t="s">
        <v>56</v>
      </c>
      <c r="K11" s="1">
        <f ca="1">1-sa</f>
        <v>0.13951810957832389</v>
      </c>
      <c r="L11" s="1">
        <f t="shared" ref="L11:AI11" ca="1" si="6">1-sa</f>
        <v>0.14153804109056056</v>
      </c>
      <c r="M11" s="1">
        <f t="shared" ca="1" si="6"/>
        <v>0.15225976734149793</v>
      </c>
      <c r="N11" s="1">
        <f t="shared" ca="1" si="6"/>
        <v>0.16036159606559219</v>
      </c>
      <c r="O11" s="1">
        <f t="shared" ca="1" si="6"/>
        <v>0.1593847086338922</v>
      </c>
      <c r="P11" s="1">
        <f t="shared" ca="1" si="6"/>
        <v>0.16452060527264445</v>
      </c>
      <c r="Q11" s="1">
        <f t="shared" ca="1" si="6"/>
        <v>0.17103155856138852</v>
      </c>
      <c r="R11" s="1">
        <f t="shared" ca="1" si="6"/>
        <v>0.19188891302083078</v>
      </c>
      <c r="S11" s="1">
        <f t="shared" ca="1" si="6"/>
        <v>0.22167089967842524</v>
      </c>
      <c r="T11" s="1">
        <f t="shared" ca="1" si="6"/>
        <v>0.22893655455863327</v>
      </c>
      <c r="U11" s="1">
        <f t="shared" ca="1" si="6"/>
        <v>0.22842005642934538</v>
      </c>
      <c r="V11" s="1">
        <f t="shared" ca="1" si="6"/>
        <v>0.22637172864914878</v>
      </c>
      <c r="W11" s="1">
        <f t="shared" ca="1" si="6"/>
        <v>0.22415097832179298</v>
      </c>
      <c r="X11" s="1">
        <f t="shared" ca="1" si="6"/>
        <v>0.22208926456640155</v>
      </c>
      <c r="Y11" s="1">
        <f t="shared" ca="1" si="6"/>
        <v>0.22026389206672103</v>
      </c>
      <c r="Z11" s="1">
        <f t="shared" ca="1" si="6"/>
        <v>0.21867782799983382</v>
      </c>
      <c r="AA11" s="1">
        <f t="shared" ca="1" si="6"/>
        <v>0.2173112787114645</v>
      </c>
      <c r="AB11" s="1">
        <f t="shared" ca="1" si="6"/>
        <v>0.21613859703840776</v>
      </c>
      <c r="AC11" s="1">
        <f t="shared" ca="1" si="6"/>
        <v>0.21513420297751162</v>
      </c>
      <c r="AD11" s="1">
        <f t="shared" ca="1" si="6"/>
        <v>0.21427463356474785</v>
      </c>
      <c r="AE11" s="1">
        <f t="shared" ca="1" si="6"/>
        <v>0.21353912906690853</v>
      </c>
      <c r="AF11" s="1">
        <f t="shared" ca="1" si="6"/>
        <v>0.21290964645181187</v>
      </c>
      <c r="AG11" s="1">
        <f t="shared" ca="1" si="6"/>
        <v>0.21237065386619258</v>
      </c>
      <c r="AH11" s="1">
        <f t="shared" ca="1" si="6"/>
        <v>0.21190885361103462</v>
      </c>
      <c r="AI11" s="1">
        <f t="shared" ca="1" si="6"/>
        <v>0.21151289644619098</v>
      </c>
    </row>
    <row r="12" spans="1:35">
      <c r="A12" s="5">
        <v>2</v>
      </c>
      <c r="B12" s="25">
        <v>0.36768509076549177</v>
      </c>
      <c r="C12" s="18">
        <f ca="1">mpr2_/SUM(mpr1_,mpr2_,mpr3_)</f>
        <v>0.37134845736648814</v>
      </c>
      <c r="J12" t="s">
        <v>100</v>
      </c>
      <c r="K12">
        <f>1/(1+EXP(($E18-len)/2.5))</f>
        <v>1.5618055299195404E-11</v>
      </c>
      <c r="L12">
        <f t="shared" ref="K12:AI12" si="7">1/(1+EXP(($E18-len)/2.5))</f>
        <v>8.6958844766999816E-9</v>
      </c>
      <c r="M12">
        <f t="shared" si="7"/>
        <v>1.3545299926786515E-6</v>
      </c>
      <c r="N12">
        <f t="shared" si="7"/>
        <v>7.6292752615684273E-5</v>
      </c>
      <c r="O12">
        <f t="shared" si="7"/>
        <v>1.904025633735132E-3</v>
      </c>
      <c r="P12">
        <f t="shared" si="7"/>
        <v>2.4328594283902369E-2</v>
      </c>
      <c r="Q12">
        <f t="shared" si="7"/>
        <v>0.16260622391362561</v>
      </c>
      <c r="R12">
        <f>1/(1+EXP(($E18-len)/2.5))</f>
        <v>0.50000000000000289</v>
      </c>
      <c r="S12">
        <f t="shared" si="7"/>
        <v>0.78730198394011508</v>
      </c>
      <c r="T12">
        <f t="shared" si="7"/>
        <v>0.91323480063076001</v>
      </c>
      <c r="U12">
        <f t="shared" si="7"/>
        <v>0.96039068767942859</v>
      </c>
      <c r="V12">
        <f t="shared" si="7"/>
        <v>0.97925787840790057</v>
      </c>
      <c r="W12">
        <f t="shared" si="7"/>
        <v>0.98771144058640692</v>
      </c>
      <c r="X12">
        <f t="shared" si="7"/>
        <v>0.99193086459256385</v>
      </c>
      <c r="Y12">
        <f t="shared" si="7"/>
        <v>0.99423910442267993</v>
      </c>
      <c r="Z12">
        <f t="shared" si="7"/>
        <v>0.99560027379947402</v>
      </c>
      <c r="AA12">
        <f t="shared" si="7"/>
        <v>0.99645312990255264</v>
      </c>
      <c r="AB12">
        <f t="shared" si="7"/>
        <v>0.99701415439587071</v>
      </c>
      <c r="AC12">
        <f t="shared" si="7"/>
        <v>0.99739787669880464</v>
      </c>
      <c r="AD12">
        <f t="shared" si="7"/>
        <v>0.99766863984790277</v>
      </c>
      <c r="AE12">
        <f t="shared" si="7"/>
        <v>0.99786451513138141</v>
      </c>
      <c r="AF12">
        <f t="shared" si="7"/>
        <v>0.99800906271781975</v>
      </c>
      <c r="AG12">
        <f t="shared" si="7"/>
        <v>0.99811744125747615</v>
      </c>
      <c r="AH12">
        <f t="shared" si="7"/>
        <v>0.99819973880010859</v>
      </c>
      <c r="AI12">
        <f t="shared" si="7"/>
        <v>0.99826286813593224</v>
      </c>
    </row>
    <row r="13" spans="1:35">
      <c r="A13" s="5">
        <v>3</v>
      </c>
      <c r="B13" s="25">
        <f>1-SUM(B11:B12)</f>
        <v>0.17389824303441359</v>
      </c>
      <c r="C13" s="18">
        <f ca="1">mpr3_/SUM(mpr1_,mpr2_,mpr3_)</f>
        <v>0.16526850840351262</v>
      </c>
      <c r="J13" t="s">
        <v>101</v>
      </c>
      <c r="K13">
        <f>1/(1+EXP(($E19-len)/2.5))</f>
        <v>4.9536738631466751E-32</v>
      </c>
      <c r="L13">
        <f>1/(1+EXP(($E19-len)/2.5))</f>
        <v>2.7581267448391855E-29</v>
      </c>
      <c r="M13">
        <f>1/(1+EXP(($E19-len)/2.5))</f>
        <v>4.2962512180337118E-27</v>
      </c>
      <c r="N13">
        <f>1/(1+EXP(($E19-len)/2.5))</f>
        <v>2.420008399308663E-25</v>
      </c>
      <c r="O13">
        <f>1/(1+EXP(($E19-len)/2.5))</f>
        <v>6.0506348041515423E-24</v>
      </c>
      <c r="P13">
        <f>1/(1+EXP(($E19-len)/2.5))</f>
        <v>7.9088600920427541E-23</v>
      </c>
      <c r="Q13">
        <f>1/(1+EXP(($E19-len)/2.5))</f>
        <v>6.1589671841070915E-22</v>
      </c>
      <c r="R13">
        <f>1/(1+EXP(($E19-len)/2.5))</f>
        <v>3.1717609959574128E-21</v>
      </c>
      <c r="S13">
        <f>1/(1+EXP(($E19-len)/2.5))</f>
        <v>1.1740277464544153E-20</v>
      </c>
      <c r="T13">
        <f>1/(1+EXP(($E19-len)/2.5))</f>
        <v>3.3383920533218423E-20</v>
      </c>
      <c r="U13">
        <f>1/(1+EXP(($E19-len)/2.5))</f>
        <v>7.6904382974613291E-20</v>
      </c>
      <c r="V13">
        <f>1/(1+EXP(($E19-len)/2.5))</f>
        <v>1.4974224936089434E-19</v>
      </c>
      <c r="W13">
        <f>1/(1+EXP(($E19-len)/2.5))</f>
        <v>2.5493505927533471E-19</v>
      </c>
      <c r="X13">
        <f>1/(1+EXP(($E19-len)/2.5))</f>
        <v>3.8990145389078295E-19</v>
      </c>
      <c r="Y13">
        <f>1/(1+EXP(($E19-len)/2.5))</f>
        <v>5.4739558628320124E-19</v>
      </c>
      <c r="Z13">
        <f>1/(1+EXP(($E19-len)/2.5))</f>
        <v>7.1772787034431147E-19</v>
      </c>
      <c r="AA13">
        <f>1/(1+EXP(($E19-len)/2.5))</f>
        <v>8.9107046068566192E-19</v>
      </c>
      <c r="AB13">
        <f>1/(1+EXP(($E19-len)/2.5))</f>
        <v>1.0590938134767788E-18</v>
      </c>
      <c r="AC13">
        <f>1/(1+EXP(($E19-len)/2.5))</f>
        <v>1.215740884112112E-18</v>
      </c>
      <c r="AD13">
        <f>1/(1+EXP(($E19-len)/2.5))</f>
        <v>1.3573048659653687E-18</v>
      </c>
      <c r="AE13">
        <f>1/(1+EXP(($E19-len)/2.5))</f>
        <v>1.4820932683035043E-18</v>
      </c>
      <c r="AF13">
        <f>1/(1+EXP(($E19-len)/2.5))</f>
        <v>1.5899276421575224E-18</v>
      </c>
      <c r="AG13">
        <f>1/(1+EXP(($E19-len)/2.5))</f>
        <v>1.6816420640989844E-18</v>
      </c>
      <c r="AH13">
        <f>1/(1+EXP(($E19-len)/2.5))</f>
        <v>1.7586620196513462E-18</v>
      </c>
      <c r="AI13">
        <f>1/(1+EXP(($E19-len)/2.5))</f>
        <v>1.822689051049781E-18</v>
      </c>
    </row>
    <row r="14" spans="1:35">
      <c r="A14" s="27" t="s">
        <v>49</v>
      </c>
      <c r="B14" s="30">
        <v>0.4</v>
      </c>
      <c r="C14" s="29">
        <f ca="1">spr</f>
        <v>0.40000000217939524</v>
      </c>
      <c r="J14" t="s">
        <v>102</v>
      </c>
      <c r="K14">
        <f>1/(1+EXP(($E20-len)/2.5))</f>
        <v>9.3996489948259195E-9</v>
      </c>
      <c r="L14">
        <f>1/(1+EXP(($E20-len)/2.5))</f>
        <v>5.2335475775577111E-6</v>
      </c>
      <c r="M14">
        <f>1/(1+EXP(($E20-len)/2.5))</f>
        <v>8.1455421950746407E-4</v>
      </c>
      <c r="N14">
        <f>1/(1+EXP(($E20-len)/2.5))</f>
        <v>4.3903856458289175E-2</v>
      </c>
      <c r="O14">
        <f>1/(1+EXP(($E20-len)/2.5))</f>
        <v>0.53447544917153311</v>
      </c>
      <c r="P14">
        <f>1/(1+EXP(($E20-len)/2.5))</f>
        <v>0.93752790365924032</v>
      </c>
      <c r="Q14">
        <f>1/(1+EXP(($E20-len)/2.5))</f>
        <v>0.99151586544367665</v>
      </c>
      <c r="R14">
        <f>1/(1+EXP(($E20-len)/2.5))</f>
        <v>0.99834119891982553</v>
      </c>
      <c r="S14">
        <f>1/(1+EXP(($E20-len)/2.5))</f>
        <v>0.99955131401584763</v>
      </c>
      <c r="T14">
        <f>1/(1+EXP(($E20-len)/2.5))</f>
        <v>0.99984216261438008</v>
      </c>
      <c r="U14">
        <f>1/(1+EXP(($E20-len)/2.5))</f>
        <v>0.99993147722888509</v>
      </c>
      <c r="V14">
        <f>1/(1+EXP(($E20-len)/2.5))</f>
        <v>0.99996480701268431</v>
      </c>
      <c r="W14">
        <f>1/(1+EXP(($E20-len)/2.5))</f>
        <v>0.99997932825078995</v>
      </c>
      <c r="X14">
        <f>1/(1+EXP(($E20-len)/2.5))</f>
        <v>0.99998648378643451</v>
      </c>
      <c r="Y14">
        <f>1/(1+EXP(($E20-len)/2.5))</f>
        <v>0.99999037257159817</v>
      </c>
      <c r="Z14">
        <f>1/(1+EXP(($E20-len)/2.5))</f>
        <v>0.99999265735096388</v>
      </c>
      <c r="AA14">
        <f>1/(1+EXP(($E20-len)/2.5))</f>
        <v>0.99999408572989956</v>
      </c>
      <c r="AB14">
        <f>1/(1+EXP(($E20-len)/2.5))</f>
        <v>0.99999502401367957</v>
      </c>
      <c r="AC14">
        <f>1/(1+EXP(($E20-len)/2.5))</f>
        <v>0.9999956651620624</v>
      </c>
      <c r="AD14">
        <f>1/(1+EXP(($E20-len)/2.5))</f>
        <v>0.99999611727459203</v>
      </c>
      <c r="AE14">
        <f>1/(1+EXP(($E20-len)/2.5))</f>
        <v>0.99999644418882072</v>
      </c>
      <c r="AF14">
        <f>1/(1+EXP(($E20-len)/2.5))</f>
        <v>0.99999668535539377</v>
      </c>
      <c r="AG14">
        <f>1/(1+EXP(($E20-len)/2.5))</f>
        <v>0.99999686613093919</v>
      </c>
      <c r="AH14">
        <f>1/(1+EXP(($E20-len)/2.5))</f>
        <v>0.99999700337716957</v>
      </c>
      <c r="AI14">
        <f>1/(1+EXP(($E20-len)/2.5))</f>
        <v>0.99999710864159153</v>
      </c>
    </row>
    <row r="15" spans="1:35">
      <c r="A15" s="5"/>
      <c r="B15" s="26" t="s">
        <v>50</v>
      </c>
      <c r="C15" s="26">
        <f ca="1">CHOOSE(C25,SUMXMY2(B14,C14),SUMXMY2(B7,C7))</f>
        <v>4.7497635242958351E-18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 s="41">
        <v>566182.55340161663</v>
      </c>
      <c r="E18">
        <v>82</v>
      </c>
      <c r="F18" s="31">
        <v>0.15</v>
      </c>
      <c r="G18" s="3">
        <v>8</v>
      </c>
      <c r="H18" s="3">
        <v>0.4</v>
      </c>
      <c r="I18" s="7">
        <v>1.0000000000000001E-5</v>
      </c>
      <c r="J18" s="8" t="s">
        <v>103</v>
      </c>
      <c r="K18" s="4">
        <f>((EXP(g*(ah-age)/gh)/(1+EXP((ah-age)/gh))) *(1/(1-g))*((1-g)/g)^g) *(sr+(1-sr)*dmr)</f>
        <v>3.7676292452689532E-9</v>
      </c>
      <c r="L18" s="4">
        <f t="shared" ref="K18:T20" si="8">((EXP(g*(ah-age)/gh)/(1+EXP((ah-age)/gh))) *(1/(1-g))*((1-g)/g)^g) *(sr+(1-sr)*dmr)</f>
        <v>4.5897962432831156E-8</v>
      </c>
      <c r="M18" s="4">
        <f t="shared" si="8"/>
        <v>5.5914002305548552E-7</v>
      </c>
      <c r="N18" s="4">
        <f t="shared" si="8"/>
        <v>6.8141581978232828E-6</v>
      </c>
      <c r="O18" s="4">
        <f t="shared" si="8"/>
        <v>8.3828199321089471E-5</v>
      </c>
      <c r="P18" s="4">
        <f>((EXP(g*(ah-age)/gh)/(1+EXP((ah-age)/gh))) *(1/(1-g))*((1-g)/g)^g) *(sr_1+(1-sr_1)*dmr)</f>
        <v>1.1425312182350678E-3</v>
      </c>
      <c r="Q18" s="4">
        <f>((EXP(g*(ah-age)/gh)/(1+EXP((ah-age)/gh))) *(1/(1-g))*((1-g)/g)^g) *(sr_1+(1-sr_1)*dmr)</f>
        <v>2.1866769972840289E-2</v>
      </c>
      <c r="R18" s="4">
        <f>((EXP(g*(ah-age)/gh)/(1+EXP((ah-age)/gh))) *(1/(1-g))*((1-g)/g)^g) *(sr_1+(1-sr_1)*dmr)</f>
        <v>0.28753597689717125</v>
      </c>
      <c r="S18" s="4">
        <f>((EXP(g*(ah-age)/gh)/(1+EXP((ah-age)/gh))) *(1/(1-g))*((1-g)/g)^g) *(sr_1+(1-sr_1)*dmr)</f>
        <v>0.75713896598853803</v>
      </c>
      <c r="T18" s="4">
        <f>((EXP(g*(ah-age)/gh)/(1+EXP((ah-age)/gh))) *(1/(1-g))*((1-g)/g)^g) *(sr_1+(1-sr_1)*dmr)</f>
        <v>0.92011945542110962</v>
      </c>
      <c r="U18" s="4">
        <f>((EXP(g*(ah-age)/gh)/(1+EXP((ah-age)/gh))) *(1/(1-g))*((1-g)/g)^g) *(sr_1+(1-sr_1)*dmr)</f>
        <v>0.96584633268994968</v>
      </c>
      <c r="V18" s="4">
        <f>((EXP(g*(ah-age)/gh)/(1+EXP((ah-age)/gh))) *(1/(1-g))*((1-g)/g)^g) *(sr_1+(1-sr_1)*dmr)</f>
        <v>0.98234928452495407</v>
      </c>
      <c r="W18" s="4">
        <f>((EXP(g*(ah-age)/gh)/(1+EXP((ah-age)/gh))) *(1/(1-g))*((1-g)/g)^g) *(sr_1+(1-sr_1)*dmr)</f>
        <v>0.98955116463953896</v>
      </c>
      <c r="X18" s="4">
        <f>((EXP(g*(ah-age)/gh)/(1+EXP((ah-age)/gh))) *(1/(1-g))*((1-g)/g)^g) *(sr_1+(1-sr_1)*dmr)</f>
        <v>0.99311623120186643</v>
      </c>
      <c r="Y18" s="4">
        <f>((EXP(g*(ah-age)/gh)/(1+EXP((ah-age)/gh))) *(1/(1-g))*((1-g)/g)^g) *(sr_1+(1-sr_1)*dmr)</f>
        <v>0.99505358842095615</v>
      </c>
      <c r="Z18" s="4">
        <f>((EXP(g*(ah-age)/gh)/(1+EXP((ah-age)/gh))) *(1/(1-g))*((1-g)/g)^g) *(sr_1+(1-sr_1)*dmr)</f>
        <v>0.99618564267252707</v>
      </c>
      <c r="AA18" s="4">
        <f>((EXP(g*(ah-age)/gh)/(1+EXP((ah-age)/gh))) *(1/(1-g))*((1-g)/g)^g) *(sr_1+(1-sr_1)*dmr)</f>
        <v>0.99688559551947054</v>
      </c>
      <c r="AB18" s="4">
        <f>((EXP(g*(ah-age)/gh)/(1+EXP((ah-age)/gh))) *(1/(1-g))*((1-g)/g)^g) *(sr_1+(1-sr_1)*dmr)</f>
        <v>0.99733748512171383</v>
      </c>
      <c r="AC18" s="4">
        <f>((EXP(g*(ah-age)/gh)/(1+EXP((ah-age)/gh))) *(1/(1-g))*((1-g)/g)^g) *(sr_1+(1-sr_1)*dmr)</f>
        <v>0.99763866708766957</v>
      </c>
      <c r="AD18" s="4">
        <f>((EXP(g*(ah-age)/gh)/(1+EXP((ah-age)/gh))) *(1/(1-g))*((1-g)/g)^g) *(sr_1+(1-sr_1)*dmr)</f>
        <v>0.99784383486776573</v>
      </c>
      <c r="AE18" s="4">
        <f>((EXP(g*(ah-age)/gh)/(1+EXP((ah-age)/gh))) *(1/(1-g))*((1-g)/g)^g) *(sr_1+(1-sr_1)*dmr)</f>
        <v>0.997985349800799</v>
      </c>
      <c r="AF18" s="4">
        <f>((EXP(g*(ah-age)/gh)/(1+EXP((ah-age)/gh))) *(1/(1-g))*((1-g)/g)^g) *(sr_1+(1-sr_1)*dmr)</f>
        <v>0.99808323830165668</v>
      </c>
      <c r="AG18" s="4">
        <f>((EXP(g*(ah-age)/gh)/(1+EXP((ah-age)/gh))) *(1/(1-g))*((1-g)/g)^g) *(sr_1+(1-sr_1)*dmr)</f>
        <v>0.99815038527564448</v>
      </c>
      <c r="AH18" s="4">
        <f>((EXP(g*(ah-age)/gh)/(1+EXP((ah-age)/gh))) *(1/(1-g))*((1-g)/g)^g) *(sr_1+(1-sr_1)*dmr)</f>
        <v>0.99819536551379973</v>
      </c>
      <c r="AI18" s="4">
        <f>((EXP(g*(ah-age)/gh)/(1+EXP((ah-age)/gh))) *(1/(1-g))*((1-g)/g)^g) *(sr_1+(1-sr_1)*dmr)</f>
        <v>0.99822405478841025</v>
      </c>
    </row>
    <row r="19" spans="1:35">
      <c r="A19" t="s">
        <v>21</v>
      </c>
      <c r="B19">
        <v>12</v>
      </c>
      <c r="E19">
        <v>200</v>
      </c>
      <c r="F19" s="31">
        <v>0.8</v>
      </c>
      <c r="G19" s="3">
        <v>3</v>
      </c>
      <c r="H19" s="3">
        <v>0.4</v>
      </c>
      <c r="I19" s="7">
        <v>0.05</v>
      </c>
      <c r="J19" s="8" t="s">
        <v>104</v>
      </c>
      <c r="K19" s="4">
        <f t="shared" si="8"/>
        <v>8.3847252050227947E-3</v>
      </c>
      <c r="L19" s="4">
        <f t="shared" si="8"/>
        <v>8.3867421699612241E-2</v>
      </c>
      <c r="M19" s="4">
        <f t="shared" si="8"/>
        <v>0.48783641236287578</v>
      </c>
      <c r="N19" s="4">
        <f t="shared" si="8"/>
        <v>0.79572711739610891</v>
      </c>
      <c r="O19" s="4">
        <f t="shared" si="8"/>
        <v>0.75512818453428676</v>
      </c>
      <c r="P19" s="4">
        <f>((EXP(g*(ah-age)/gh)/(1+EXP((ah-age)/gh))) *(1/(1-g))*((1-g)/g)^g) *(sr_2+(1-sr_2)*dmr)</f>
        <v>0.67019856861197902</v>
      </c>
      <c r="Q19" s="4">
        <f>((EXP(g*(ah-age)/gh)/(1+EXP((ah-age)/gh))) *(1/(1-g))*((1-g)/g)^g) *(sr_2+(1-sr_2)*dmr)</f>
        <v>0.59174841631371888</v>
      </c>
      <c r="R19" s="4">
        <f>((EXP(g*(ah-age)/gh)/(1+EXP((ah-age)/gh))) *(1/(1-g))*((1-g)/g)^g) *(sr_2+(1-sr_2)*dmr)</f>
        <v>0.52223790688292582</v>
      </c>
      <c r="S19" s="4">
        <f>((EXP(g*(ah-age)/gh)/(1+EXP((ah-age)/gh))) *(1/(1-g))*((1-g)/g)^g) *(sr_2+(1-sr_2)*dmr)</f>
        <v>0.46087491176881595</v>
      </c>
      <c r="T19" s="4">
        <f>((EXP(g*(ah-age)/gh)/(1+EXP((ah-age)/gh))) *(1/(1-g))*((1-g)/g)^g) *(sr_2+(1-sr_2)*dmr)</f>
        <v>0.40672079631897351</v>
      </c>
      <c r="U19" s="4">
        <f>((EXP(g*(ah-age)/gh)/(1+EXP((ah-age)/gh))) *(1/(1-g))*((1-g)/g)^g) *(sr_2+(1-sr_2)*dmr)</f>
        <v>0.35892985124115007</v>
      </c>
      <c r="V19" s="4">
        <f>((EXP(g*(ah-age)/gh)/(1+EXP((ah-age)/gh))) *(1/(1-g))*((1-g)/g)^g) *(sr_2+(1-sr_2)*dmr)</f>
        <v>0.31675448256475258</v>
      </c>
      <c r="W19" s="4">
        <f>((EXP(g*(ah-age)/gh)/(1+EXP((ah-age)/gh))) *(1/(1-g))*((1-g)/g)^g) *(sr_2+(1-sr_2)*dmr)</f>
        <v>0.2795348497865926</v>
      </c>
      <c r="X19" s="4">
        <f>((EXP(g*(ah-age)/gh)/(1+EXP((ah-age)/gh))) *(1/(1-g))*((1-g)/g)^g) *(sr_2+(1-sr_2)*dmr)</f>
        <v>0.24668863910426297</v>
      </c>
      <c r="Y19" s="4">
        <f>((EXP(g*(ah-age)/gh)/(1+EXP((ah-age)/gh))) *(1/(1-g))*((1-g)/g)^g) *(sr_2+(1-sr_2)*dmr)</f>
        <v>0.2177019599125489</v>
      </c>
      <c r="Z19" s="4">
        <f>((EXP(g*(ah-age)/gh)/(1+EXP((ah-age)/gh))) *(1/(1-g))*((1-g)/g)^g) *(sr_2+(1-sr_2)*dmr)</f>
        <v>0.19212130530943669</v>
      </c>
      <c r="AA19" s="4">
        <f>((EXP(g*(ah-age)/gh)/(1+EXP((ah-age)/gh))) *(1/(1-g))*((1-g)/g)^g) *(sr_2+(1-sr_2)*dmr)</f>
        <v>0.16954645685608849</v>
      </c>
      <c r="AB19" s="4">
        <f>((EXP(g*(ah-age)/gh)/(1+EXP((ah-age)/gh))) *(1/(1-g))*((1-g)/g)^g) *(sr_2+(1-sr_2)*dmr)</f>
        <v>0.14962422301969092</v>
      </c>
      <c r="AC19" s="4">
        <f>((EXP(g*(ah-age)/gh)/(1+EXP((ah-age)/gh))) *(1/(1-g))*((1-g)/g)^g) *(sr_2+(1-sr_2)*dmr)</f>
        <v>0.13204291336650395</v>
      </c>
      <c r="AD19" s="4">
        <f>((EXP(g*(ah-age)/gh)/(1+EXP((ah-age)/gh))) *(1/(1-g))*((1-g)/g)^g) *(sr_2+(1-sr_2)*dmr)</f>
        <v>0.11652746205418579</v>
      </c>
      <c r="AE19" s="4">
        <f>((EXP(g*(ah-age)/gh)/(1+EXP((ah-age)/gh))) *(1/(1-g))*((1-g)/g)^g) *(sr_2+(1-sr_2)*dmr)</f>
        <v>0.10283512432886294</v>
      </c>
      <c r="AF19" s="4">
        <f>((EXP(g*(ah-age)/gh)/(1+EXP((ah-age)/gh))) *(1/(1-g))*((1-g)/g)^g) *(sr_2+(1-sr_2)*dmr)</f>
        <v>9.075167869712332E-2</v>
      </c>
      <c r="AG19" s="4">
        <f>((EXP(g*(ah-age)/gh)/(1+EXP((ah-age)/gh))) *(1/(1-g))*((1-g)/g)^g) *(sr_2+(1-sr_2)*dmr)</f>
        <v>8.0088075354563748E-2</v>
      </c>
      <c r="AH19" s="4">
        <f>((EXP(g*(ah-age)/gh)/(1+EXP((ah-age)/gh))) *(1/(1-g))*((1-g)/g)^g) *(sr_2+(1-sr_2)*dmr)</f>
        <v>7.0677478434364158E-2</v>
      </c>
      <c r="AI19" s="4">
        <f>((EXP(g*(ah-age)/gh)/(1+EXP((ah-age)/gh))) *(1/(1-g))*((1-g)/g)^g) *(sr_2+(1-sr_2)*dmr)</f>
        <v>6.2372655800815913E-2</v>
      </c>
    </row>
    <row r="20" spans="1:35">
      <c r="A20" t="s">
        <v>5</v>
      </c>
      <c r="B20">
        <v>0.15</v>
      </c>
      <c r="E20">
        <v>66</v>
      </c>
      <c r="F20">
        <v>3.5000000000000003E-2</v>
      </c>
      <c r="G20" s="3">
        <v>7</v>
      </c>
      <c r="H20" s="3">
        <v>0.8</v>
      </c>
      <c r="I20" s="7">
        <v>0.15</v>
      </c>
      <c r="J20" s="8" t="s">
        <v>105</v>
      </c>
      <c r="K20" s="4">
        <f t="shared" si="8"/>
        <v>9.0945415532382067E-5</v>
      </c>
      <c r="L20" s="4">
        <f t="shared" si="8"/>
        <v>2.6279757915557533E-4</v>
      </c>
      <c r="M20" s="4">
        <f t="shared" si="8"/>
        <v>7.5682679700688773E-4</v>
      </c>
      <c r="N20" s="4">
        <f t="shared" si="8"/>
        <v>2.1584987908732181E-3</v>
      </c>
      <c r="O20" s="4">
        <f t="shared" si="8"/>
        <v>6.2048582418507041E-3</v>
      </c>
      <c r="P20" s="4">
        <f>((EXP(g*(ah-age)/gh)/(1+EXP((ah-age)/gh))) *(1/(1-g))*((1-g)/g)^g) *(sr_3+(1-sr_3)*dmr)</f>
        <v>0.38523596187555964</v>
      </c>
      <c r="Q20" s="4">
        <f>((EXP(g*(ah-age)/gh)/(1+EXP((ah-age)/gh))) *(1/(1-g))*((1-g)/g)^g) *(sr_3+(1-sr_3)*dmr)</f>
        <v>0.75679794116236487</v>
      </c>
      <c r="R20" s="4">
        <f>((EXP(g*(ah-age)/gh)/(1+EXP((ah-age)/gh))) *(1/(1-g))*((1-g)/g)^g) *(sr_3+(1-sr_3)*dmr)</f>
        <v>0.98184480862532109</v>
      </c>
      <c r="S20" s="4">
        <f>((EXP(g*(ah-age)/gh)/(1+EXP((ah-age)/gh))) *(1/(1-g))*((1-g)/g)^g) *(sr_3+(1-sr_3)*dmr)</f>
        <v>0.96888076691175928</v>
      </c>
      <c r="T20" s="4">
        <f>((EXP(g*(ah-age)/gh)/(1+EXP((ah-age)/gh))) *(1/(1-g))*((1-g)/g)^g) *(sr_3+(1-sr_3)*dmr)</f>
        <v>0.84943088462536698</v>
      </c>
      <c r="U20" s="4">
        <f>((EXP(g*(ah-age)/gh)/(1+EXP((ah-age)/gh))) *(1/(1-g))*((1-g)/g)^g) *(sr_3+(1-sr_3)*dmr)</f>
        <v>0.71600195087204788</v>
      </c>
      <c r="V20" s="4">
        <f>((EXP(g*(ah-age)/gh)/(1+EXP((ah-age)/gh))) *(1/(1-g))*((1-g)/g)^g) *(sr_3+(1-sr_3)*dmr)</f>
        <v>0.59645381493413419</v>
      </c>
      <c r="W20" s="4">
        <f>((EXP(g*(ah-age)/gh)/(1+EXP((ah-age)/gh))) *(1/(1-g))*((1-g)/g)^g) *(sr_3+(1-sr_3)*dmr)</f>
        <v>0.49516522109963984</v>
      </c>
      <c r="X20" s="4">
        <f>((EXP(g*(ah-age)/gh)/(1+EXP((ah-age)/gh))) *(1/(1-g))*((1-g)/g)^g) *(sr_3+(1-sr_3)*dmr)</f>
        <v>0.41067119197551066</v>
      </c>
      <c r="Y20" s="4">
        <f>((EXP(g*(ah-age)/gh)/(1+EXP((ah-age)/gh))) *(1/(1-g))*((1-g)/g)^g) *(sr_3+(1-sr_3)*dmr)</f>
        <v>0.3404981448887926</v>
      </c>
      <c r="Z20" s="4">
        <f>((EXP(g*(ah-age)/gh)/(1+EXP((ah-age)/gh))) *(1/(1-g))*((1-g)/g)^g) *(sr_3+(1-sr_3)*dmr)</f>
        <v>0.28229264297230261</v>
      </c>
      <c r="AA20" s="4">
        <f>((EXP(g*(ah-age)/gh)/(1+EXP((ah-age)/gh))) *(1/(1-g))*((1-g)/g)^g) *(sr_3+(1-sr_3)*dmr)</f>
        <v>0.23403131538958682</v>
      </c>
      <c r="AB20" s="4">
        <f>((EXP(g*(ah-age)/gh)/(1+EXP((ah-age)/gh))) *(1/(1-g))*((1-g)/g)^g) *(sr_3+(1-sr_3)*dmr)</f>
        <v>0.19401946658411276</v>
      </c>
      <c r="AC20" s="4">
        <f>((EXP(g*(ah-age)/gh)/(1+EXP((ah-age)/gh))) *(1/(1-g))*((1-g)/g)^g) *(sr_3+(1-sr_3)*dmr)</f>
        <v>0.16084800934453422</v>
      </c>
      <c r="AD20" s="4">
        <f>((EXP(g*(ah-age)/gh)/(1+EXP((ah-age)/gh))) *(1/(1-g))*((1-g)/g)^g) *(sr_3+(1-sr_3)*dmr)</f>
        <v>0.13334777063074219</v>
      </c>
      <c r="AE20" s="4">
        <f>((EXP(g*(ah-age)/gh)/(1+EXP((ah-age)/gh))) *(1/(1-g))*((1-g)/g)^g) *(sr_3+(1-sr_3)*dmr)</f>
        <v>0.11054922648557289</v>
      </c>
      <c r="AF20" s="4">
        <f>((EXP(g*(ah-age)/gh)/(1+EXP((ah-age)/gh))) *(1/(1-g))*((1-g)/g)^g) *(sr_3+(1-sr_3)*dmr)</f>
        <v>9.1648550719867189E-2</v>
      </c>
      <c r="AG20" s="4">
        <f>((EXP(g*(ah-age)/gh)/(1+EXP((ah-age)/gh))) *(1/(1-g))*((1-g)/g)^g) *(sr_3+(1-sr_3)*dmr)</f>
        <v>7.5979330830316355E-2</v>
      </c>
      <c r="AH20" s="4">
        <f>((EXP(g*(ah-age)/gh)/(1+EXP((ah-age)/gh))) *(1/(1-g))*((1-g)/g)^g) *(sr_3+(1-sr_3)*dmr)</f>
        <v>6.2989086073290526E-2</v>
      </c>
      <c r="AI20" s="4">
        <f>((EXP(g*(ah-age)/gh)/(1+EXP((ah-age)/gh))) *(1/(1-g))*((1-g)/g)^g) *(sr_3+(1-sr_3)*dmr)</f>
        <v>5.2219791808841683E-2</v>
      </c>
    </row>
    <row r="21" spans="1:35">
      <c r="A21" t="s">
        <v>42</v>
      </c>
      <c r="B21" s="1">
        <f>Bo/phie</f>
        <v>46675.343973677591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98.238757374230516</v>
      </c>
      <c r="J22" s="8" t="s">
        <v>23</v>
      </c>
      <c r="K22" s="1">
        <f t="shared" ref="K22:AI22" ca="1" si="9">wa*flt1_*(1-EXP(-za))/za</f>
        <v>2.712791322297562E-10</v>
      </c>
      <c r="L22" s="1">
        <f t="shared" ca="1" si="9"/>
        <v>1.9203803175503008E-8</v>
      </c>
      <c r="M22" s="1">
        <f t="shared" ca="1" si="9"/>
        <v>5.7786118547620661E-7</v>
      </c>
      <c r="N22" s="1">
        <f t="shared" ca="1" si="9"/>
        <v>1.2387077368855456E-5</v>
      </c>
      <c r="O22" s="1">
        <f t="shared" ca="1" si="9"/>
        <v>2.2473186536885612E-4</v>
      </c>
      <c r="P22" s="1">
        <f t="shared" ca="1" si="9"/>
        <v>4.0299638383434208E-3</v>
      </c>
      <c r="Q22" s="1">
        <f t="shared" ca="1" si="9"/>
        <v>9.4263997498646737E-2</v>
      </c>
      <c r="R22" s="1">
        <f t="shared" ca="1" si="9"/>
        <v>1.4278756266687307</v>
      </c>
      <c r="S22" s="1">
        <f t="shared" ca="1" si="9"/>
        <v>4.1525043794650038</v>
      </c>
      <c r="T22" s="1">
        <f t="shared" ca="1" si="9"/>
        <v>5.4998151498438261</v>
      </c>
      <c r="U22" s="1">
        <f t="shared" ca="1" si="9"/>
        <v>6.1960911088756339</v>
      </c>
      <c r="V22" s="1">
        <f t="shared" ca="1" si="9"/>
        <v>6.6669931752130189</v>
      </c>
      <c r="W22" s="1">
        <f t="shared" ca="1" si="9"/>
        <v>7.0222380034480167</v>
      </c>
      <c r="X22" s="1">
        <f t="shared" ca="1" si="9"/>
        <v>7.3011522580530706</v>
      </c>
      <c r="Y22" s="1">
        <f t="shared" ca="1" si="9"/>
        <v>7.5235983024010293</v>
      </c>
      <c r="Z22" s="1">
        <f t="shared" ca="1" si="9"/>
        <v>7.7021197485492294</v>
      </c>
      <c r="AA22" s="1">
        <f t="shared" ca="1" si="9"/>
        <v>7.8457178377240231</v>
      </c>
      <c r="AB22" s="1">
        <f t="shared" ca="1" si="9"/>
        <v>7.9612924501922144</v>
      </c>
      <c r="AC22" s="1">
        <f t="shared" ca="1" si="9"/>
        <v>8.0543012817714938</v>
      </c>
      <c r="AD22" s="1">
        <f t="shared" ca="1" si="9"/>
        <v>8.1291215340511886</v>
      </c>
      <c r="AE22" s="1">
        <f t="shared" ca="1" si="9"/>
        <v>8.189283087695916</v>
      </c>
      <c r="AF22" s="1">
        <f t="shared" ca="1" si="9"/>
        <v>8.23763706357696</v>
      </c>
      <c r="AG22" s="1">
        <f t="shared" ca="1" si="9"/>
        <v>8.276486065765539</v>
      </c>
      <c r="AH22" s="1">
        <f t="shared" ca="1" si="9"/>
        <v>8.3076882136399899</v>
      </c>
      <c r="AI22" s="1">
        <f t="shared" ca="1" si="9"/>
        <v>8.3327414371502257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0">wa*flt2_*(1-EXP(-za))/za</f>
        <v>6.037220834453883E-4</v>
      </c>
      <c r="L23" s="1">
        <f t="shared" ca="1" si="10"/>
        <v>3.5090304096031241E-2</v>
      </c>
      <c r="M23" s="1">
        <f t="shared" ca="1" si="10"/>
        <v>0.50417018267801017</v>
      </c>
      <c r="N23" s="1">
        <f t="shared" ca="1" si="10"/>
        <v>1.4465078563674332</v>
      </c>
      <c r="O23" s="1">
        <f t="shared" ca="1" si="10"/>
        <v>2.0243947368233002</v>
      </c>
      <c r="P23" s="1">
        <f t="shared" ca="1" si="10"/>
        <v>2.3639406546702437</v>
      </c>
      <c r="Q23" s="1">
        <f t="shared" ca="1" si="10"/>
        <v>2.5509287061832655</v>
      </c>
      <c r="R23" s="1">
        <f t="shared" ca="1" si="10"/>
        <v>2.5933825276664364</v>
      </c>
      <c r="S23" s="1">
        <f t="shared" ca="1" si="10"/>
        <v>2.5276536745231097</v>
      </c>
      <c r="T23" s="1">
        <f t="shared" ca="1" si="10"/>
        <v>2.4310856423831209</v>
      </c>
      <c r="U23" s="1">
        <f t="shared" ca="1" si="10"/>
        <v>2.3026044461870598</v>
      </c>
      <c r="V23" s="1">
        <f t="shared" ca="1" si="10"/>
        <v>2.1497445020266532</v>
      </c>
      <c r="W23" s="1">
        <f t="shared" ca="1" si="10"/>
        <v>1.9836874692321596</v>
      </c>
      <c r="X23" s="1">
        <f t="shared" ca="1" si="10"/>
        <v>1.8135956878405148</v>
      </c>
      <c r="Y23" s="1">
        <f t="shared" ca="1" si="10"/>
        <v>1.646044107661182</v>
      </c>
      <c r="Z23" s="1">
        <f t="shared" ca="1" si="10"/>
        <v>1.485407173477302</v>
      </c>
      <c r="AA23" s="1">
        <f t="shared" ca="1" si="10"/>
        <v>1.334369427000853</v>
      </c>
      <c r="AB23" s="1">
        <f t="shared" ca="1" si="10"/>
        <v>1.1943822576238261</v>
      </c>
      <c r="AC23" s="1">
        <f t="shared" ca="1" si="10"/>
        <v>1.0660306596588811</v>
      </c>
      <c r="AD23" s="1">
        <f t="shared" ca="1" si="10"/>
        <v>0.9493127762006428</v>
      </c>
      <c r="AE23" s="1">
        <f t="shared" ca="1" si="10"/>
        <v>0.84384599899743906</v>
      </c>
      <c r="AF23" s="1">
        <f t="shared" ca="1" si="10"/>
        <v>0.74901507542530765</v>
      </c>
      <c r="AG23" s="1">
        <f t="shared" ca="1" si="10"/>
        <v>0.6640761246843363</v>
      </c>
      <c r="AH23" s="1">
        <f t="shared" ca="1" si="10"/>
        <v>0.5882279910774082</v>
      </c>
      <c r="AI23" s="1">
        <f t="shared" ca="1" si="10"/>
        <v>0.52065987695190674</v>
      </c>
    </row>
    <row r="24" spans="1:35">
      <c r="B24" s="1"/>
      <c r="J24" s="8" t="s">
        <v>25</v>
      </c>
      <c r="K24" s="1">
        <f t="shared" ref="K24:AI24" ca="1" si="11">wa*flt3_*(1-EXP(-za))/za</f>
        <v>6.548307118297147E-6</v>
      </c>
      <c r="L24" s="1">
        <f t="shared" ca="1" si="11"/>
        <v>1.0995505503077384E-4</v>
      </c>
      <c r="M24" s="1">
        <f t="shared" ca="1" si="11"/>
        <v>7.8216692078070325E-4</v>
      </c>
      <c r="N24" s="1">
        <f t="shared" ca="1" si="11"/>
        <v>3.9238143211392622E-3</v>
      </c>
      <c r="O24" s="1">
        <f t="shared" ca="1" si="11"/>
        <v>1.6634370991309363E-2</v>
      </c>
      <c r="P24" s="1">
        <f t="shared" ca="1" si="11"/>
        <v>1.3588136331068168</v>
      </c>
      <c r="Q24" s="1">
        <f t="shared" ca="1" si="11"/>
        <v>3.262429673944383</v>
      </c>
      <c r="R24" s="1">
        <f t="shared" ca="1" si="11"/>
        <v>4.8757455902942102</v>
      </c>
      <c r="S24" s="1">
        <f t="shared" ca="1" si="11"/>
        <v>5.3137954966134968</v>
      </c>
      <c r="T24" s="1">
        <f t="shared" ca="1" si="11"/>
        <v>5.0772894981008108</v>
      </c>
      <c r="U24" s="1">
        <f t="shared" ca="1" si="11"/>
        <v>4.5932910563321006</v>
      </c>
      <c r="V24" s="1">
        <f t="shared" ca="1" si="11"/>
        <v>4.0480036745979096</v>
      </c>
      <c r="W24" s="1">
        <f t="shared" ca="1" si="11"/>
        <v>3.5138840292894291</v>
      </c>
      <c r="X24" s="1">
        <f t="shared" ca="1" si="11"/>
        <v>3.0191560729812292</v>
      </c>
      <c r="Y24" s="1">
        <f t="shared" ca="1" si="11"/>
        <v>2.5745058303053576</v>
      </c>
      <c r="Z24" s="1">
        <f t="shared" ca="1" si="11"/>
        <v>2.1825768683777982</v>
      </c>
      <c r="AA24" s="1">
        <f t="shared" ca="1" si="11"/>
        <v>1.8418800251409952</v>
      </c>
      <c r="AB24" s="1">
        <f t="shared" ca="1" si="11"/>
        <v>1.5487693359063017</v>
      </c>
      <c r="AC24" s="1">
        <f t="shared" ca="1" si="11"/>
        <v>1.2985847186697195</v>
      </c>
      <c r="AD24" s="1">
        <f t="shared" ca="1" si="11"/>
        <v>1.086342567718261</v>
      </c>
      <c r="AE24" s="1">
        <f t="shared" ca="1" si="11"/>
        <v>0.90714649368036515</v>
      </c>
      <c r="AF24" s="1">
        <f t="shared" ca="1" si="11"/>
        <v>0.75641737007601417</v>
      </c>
      <c r="AG24" s="1">
        <f t="shared" ca="1" si="11"/>
        <v>0.63000714339217068</v>
      </c>
      <c r="AH24" s="1">
        <f t="shared" ca="1" si="11"/>
        <v>0.52423974908927407</v>
      </c>
      <c r="AI24" s="1">
        <f t="shared" ca="1" si="11"/>
        <v>0.43590817207578381</v>
      </c>
    </row>
    <row r="25" spans="1:35">
      <c r="A25" s="40"/>
      <c r="B25" s="40" t="s">
        <v>97</v>
      </c>
      <c r="C25" s="40">
        <v>2</v>
      </c>
      <c r="E25" t="s">
        <v>113</v>
      </c>
      <c r="J25" s="2" t="s">
        <v>29</v>
      </c>
    </row>
    <row r="26" spans="1:35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3.4982233017813402E-9</v>
      </c>
      <c r="L26">
        <f t="shared" ref="L26:AI26" ca="1" si="12">qa1_/wa</f>
        <v>4.2567222270484955E-8</v>
      </c>
      <c r="M26">
        <f t="shared" ca="1" si="12"/>
        <v>5.1540140667230454E-7</v>
      </c>
      <c r="N26">
        <f t="shared" ca="1" si="12"/>
        <v>6.251885691596933E-6</v>
      </c>
      <c r="O26">
        <f t="shared" ca="1" si="12"/>
        <v>7.6954518078364045E-5</v>
      </c>
      <c r="P26">
        <f t="shared" ca="1" si="12"/>
        <v>1.0457321429919186E-3</v>
      </c>
      <c r="Q26">
        <f t="shared" ca="1" si="12"/>
        <v>1.9938391479787449E-2</v>
      </c>
      <c r="R26">
        <f t="shared" ca="1" si="12"/>
        <v>0.25896962222485331</v>
      </c>
      <c r="S26">
        <f t="shared" ca="1" si="12"/>
        <v>0.66971974144770996</v>
      </c>
      <c r="T26">
        <f t="shared" ca="1" si="12"/>
        <v>0.81023630828228732</v>
      </c>
      <c r="U26">
        <f t="shared" ca="1" si="12"/>
        <v>0.85077485287209542</v>
      </c>
      <c r="V26">
        <f t="shared" ca="1" si="12"/>
        <v>0.86641012114761384</v>
      </c>
      <c r="W26">
        <f t="shared" ca="1" si="12"/>
        <v>0.8739605541462403</v>
      </c>
      <c r="X26">
        <f t="shared" ca="1" si="12"/>
        <v>0.87822482269638336</v>
      </c>
      <c r="Y26">
        <f t="shared" ca="1" si="12"/>
        <v>0.8809268709858521</v>
      </c>
      <c r="Z26">
        <f t="shared" ca="1" si="12"/>
        <v>0.88278859358432127</v>
      </c>
      <c r="AA26">
        <f t="shared" ca="1" si="12"/>
        <v>0.88414945449332738</v>
      </c>
      <c r="AB26">
        <f t="shared" ca="1" si="12"/>
        <v>0.88518569114174694</v>
      </c>
      <c r="AC26">
        <f t="shared" ca="1" si="12"/>
        <v>0.88599716595606692</v>
      </c>
      <c r="AD26">
        <f t="shared" ca="1" si="12"/>
        <v>0.8866449761006262</v>
      </c>
      <c r="AE26">
        <f t="shared" ca="1" si="12"/>
        <v>0.88716903667015057</v>
      </c>
      <c r="AF26">
        <f t="shared" ca="1" si="12"/>
        <v>0.88759688573292217</v>
      </c>
      <c r="AG26">
        <f t="shared" ca="1" si="12"/>
        <v>0.8879483788812621</v>
      </c>
      <c r="AH26">
        <f t="shared" ca="1" si="12"/>
        <v>0.88823834101425803</v>
      </c>
      <c r="AI26">
        <f t="shared" ca="1" si="12"/>
        <v>0.88847814633534661</v>
      </c>
    </row>
    <row r="27" spans="1:35">
      <c r="A27" t="s">
        <v>14</v>
      </c>
      <c r="B27" s="28">
        <f ca="1">fbar*C27</f>
        <v>8.4655132104773018E-2</v>
      </c>
      <c r="C27" s="36">
        <f ca="1">CHOOSE(C$25,E35,E38,1)</f>
        <v>1.8318905616546923</v>
      </c>
      <c r="E27" s="42">
        <f ca="1">f1_/(E4/(365*re*phif))</f>
        <v>241.96540631023194</v>
      </c>
      <c r="J27" s="8" t="s">
        <v>31</v>
      </c>
      <c r="K27">
        <f t="shared" ref="K27:AI27" ca="1" si="13">qa2_/wa</f>
        <v>7.7851718366599041E-3</v>
      </c>
      <c r="L27">
        <f t="shared" ca="1" si="13"/>
        <v>7.7781299898974088E-2</v>
      </c>
      <c r="M27">
        <f t="shared" ca="1" si="13"/>
        <v>0.44967550665362782</v>
      </c>
      <c r="N27">
        <f t="shared" ca="1" si="13"/>
        <v>0.73006743243113381</v>
      </c>
      <c r="O27">
        <f t="shared" ca="1" si="13"/>
        <v>0.69320975517610295</v>
      </c>
      <c r="P27">
        <f t="shared" ca="1" si="13"/>
        <v>0.61341709898077068</v>
      </c>
      <c r="Q27">
        <f t="shared" ca="1" si="13"/>
        <v>0.53956352934894158</v>
      </c>
      <c r="R27">
        <f t="shared" ca="1" si="13"/>
        <v>0.47035419677355839</v>
      </c>
      <c r="S27">
        <f t="shared" ca="1" si="13"/>
        <v>0.40766231909165834</v>
      </c>
      <c r="T27">
        <f t="shared" ca="1" si="13"/>
        <v>0.3581491018036318</v>
      </c>
      <c r="U27">
        <f t="shared" ca="1" si="13"/>
        <v>0.3161667452115493</v>
      </c>
      <c r="V27">
        <f t="shared" ca="1" si="13"/>
        <v>0.27937037664326364</v>
      </c>
      <c r="W27">
        <f t="shared" ca="1" si="13"/>
        <v>0.24688206224452058</v>
      </c>
      <c r="X27">
        <f t="shared" ca="1" si="13"/>
        <v>0.21814977898041862</v>
      </c>
      <c r="Y27">
        <f t="shared" ca="1" si="13"/>
        <v>0.19273284231614374</v>
      </c>
      <c r="Z27">
        <f t="shared" ca="1" si="13"/>
        <v>0.17025189848821629</v>
      </c>
      <c r="AA27">
        <f t="shared" ca="1" si="13"/>
        <v>0.15037272884103908</v>
      </c>
      <c r="AB27">
        <f t="shared" ca="1" si="13"/>
        <v>0.1327988000461735</v>
      </c>
      <c r="AC27">
        <f t="shared" ca="1" si="13"/>
        <v>0.11726655239699554</v>
      </c>
      <c r="AD27">
        <f t="shared" ca="1" si="13"/>
        <v>0.10354174190171947</v>
      </c>
      <c r="AE27">
        <f t="shared" ca="1" si="13"/>
        <v>9.141631007399327E-2</v>
      </c>
      <c r="AF27">
        <f t="shared" ca="1" si="13"/>
        <v>8.0705600791039486E-2</v>
      </c>
      <c r="AG27">
        <f t="shared" ca="1" si="13"/>
        <v>7.1245854059523009E-2</v>
      </c>
      <c r="AH27">
        <f t="shared" ca="1" si="13"/>
        <v>6.2891943161143354E-2</v>
      </c>
      <c r="AI27">
        <f t="shared" ca="1" si="13"/>
        <v>5.5515333799151932E-2</v>
      </c>
    </row>
    <row r="28" spans="1:35">
      <c r="A28" t="s">
        <v>15</v>
      </c>
      <c r="B28" s="28">
        <f ca="1">fbar*C28</f>
        <v>3.1083458868736719E-2</v>
      </c>
      <c r="C28" s="36">
        <f t="shared" ref="C28:C29" ca="1" si="14">CHOOSE(C$25,E36,E39,1)</f>
        <v>0.67262897682114997</v>
      </c>
      <c r="E28" s="42">
        <f ca="1">f2_/(E5/(365*re*phif))</f>
        <v>238.22467443274667</v>
      </c>
      <c r="J28" s="8" t="s">
        <v>32</v>
      </c>
      <c r="K28">
        <f t="shared" ref="K28:AI28" ca="1" si="15">qa3_/wa</f>
        <v>8.4442324627633181E-5</v>
      </c>
      <c r="L28">
        <f t="shared" ca="1" si="15"/>
        <v>2.4372678809939734E-4</v>
      </c>
      <c r="M28">
        <f t="shared" ca="1" si="15"/>
        <v>6.9762417230135676E-4</v>
      </c>
      <c r="N28">
        <f t="shared" ca="1" si="15"/>
        <v>1.9803895527844215E-3</v>
      </c>
      <c r="O28">
        <f t="shared" ca="1" si="15"/>
        <v>5.6960769718700016E-3</v>
      </c>
      <c r="P28">
        <f t="shared" ca="1" si="15"/>
        <v>0.35259747964873345</v>
      </c>
      <c r="Q28">
        <f t="shared" ca="1" si="15"/>
        <v>0.69005772872418503</v>
      </c>
      <c r="R28">
        <f t="shared" ca="1" si="15"/>
        <v>0.88429970369956268</v>
      </c>
      <c r="S28">
        <f t="shared" ca="1" si="15"/>
        <v>0.85701384535481107</v>
      </c>
      <c r="T28">
        <f t="shared" ca="1" si="15"/>
        <v>0.74798955727420124</v>
      </c>
      <c r="U28">
        <f t="shared" ca="1" si="15"/>
        <v>0.63069707239324135</v>
      </c>
      <c r="V28">
        <f t="shared" ca="1" si="15"/>
        <v>0.5260589387062482</v>
      </c>
      <c r="W28">
        <f t="shared" ca="1" si="15"/>
        <v>0.43732440169864811</v>
      </c>
      <c r="X28">
        <f t="shared" ca="1" si="15"/>
        <v>0.36316155493978142</v>
      </c>
      <c r="Y28">
        <f t="shared" ca="1" si="15"/>
        <v>0.30144503657271993</v>
      </c>
      <c r="Z28">
        <f t="shared" ca="1" si="15"/>
        <v>0.25015892078123453</v>
      </c>
      <c r="AA28">
        <f t="shared" ca="1" si="15"/>
        <v>0.20756510151822899</v>
      </c>
      <c r="AB28">
        <f t="shared" ca="1" si="15"/>
        <v>0.17220174533222485</v>
      </c>
      <c r="AC28">
        <f t="shared" ca="1" si="15"/>
        <v>0.14284819256750889</v>
      </c>
      <c r="AD28">
        <f t="shared" ca="1" si="15"/>
        <v>0.11848760975672543</v>
      </c>
      <c r="AE28">
        <f t="shared" ca="1" si="15"/>
        <v>9.8273838173488462E-2</v>
      </c>
      <c r="AF28">
        <f t="shared" ca="1" si="15"/>
        <v>8.1503190394530911E-2</v>
      </c>
      <c r="AG28">
        <f t="shared" ca="1" si="15"/>
        <v>6.7590740468062335E-2</v>
      </c>
      <c r="AH28">
        <f t="shared" ca="1" si="15"/>
        <v>5.6050471930357212E-2</v>
      </c>
      <c r="AI28">
        <f t="shared" ca="1" si="15"/>
        <v>4.6478687430720936E-2</v>
      </c>
    </row>
    <row r="29" spans="1:35">
      <c r="A29" t="s">
        <v>19</v>
      </c>
      <c r="B29" s="28">
        <f ca="1">fbar*C29</f>
        <v>2.2897090455978982E-2</v>
      </c>
      <c r="C29" s="36">
        <f t="shared" ca="1" si="14"/>
        <v>0.49548046108465787</v>
      </c>
      <c r="E29" s="42">
        <f ca="1">f3_/(E6/(365*re*phif))</f>
        <v>230.78273701051415</v>
      </c>
    </row>
    <row r="30" spans="1:35">
      <c r="A30" t="s">
        <v>95</v>
      </c>
      <c r="B30" s="28">
        <v>4.6211893803772122E-2</v>
      </c>
      <c r="C30" s="36">
        <f ca="1">AVERAGE(C27:C29)</f>
        <v>0.99999999985349997</v>
      </c>
      <c r="G30" t="s">
        <v>58</v>
      </c>
      <c r="H30" t="s">
        <v>59</v>
      </c>
      <c r="J30" s="2" t="s">
        <v>51</v>
      </c>
    </row>
    <row r="31" spans="1:35">
      <c r="A31" t="s">
        <v>112</v>
      </c>
      <c r="B31" s="37">
        <f ca="1">SUM(B27:B29)</f>
        <v>0.13863568142948871</v>
      </c>
      <c r="G31">
        <f ca="1">SUMPRODUCT(dlz1_,wa,ma)</f>
        <v>-27.838133418745699</v>
      </c>
      <c r="H31">
        <f ca="1">Ro/(reck-1)*phie/phif^2*dphif</f>
        <v>-60861.970754663569</v>
      </c>
      <c r="J31" s="8" t="s">
        <v>52</v>
      </c>
      <c r="K31">
        <v>0</v>
      </c>
      <c r="L31">
        <f t="shared" ref="L31:AH31" ca="1" si="16">K31*sa-K$7*K18*K$10</f>
        <v>-3.2419767353770215E-9</v>
      </c>
      <c r="M31">
        <f t="shared" ca="1" si="16"/>
        <v>-3.6652764468394107E-8</v>
      </c>
      <c r="N31">
        <f t="shared" ca="1" si="16"/>
        <v>-3.8091864589052259E-7</v>
      </c>
      <c r="O31">
        <f t="shared" ca="1" si="16"/>
        <v>-3.9030681196908003E-6</v>
      </c>
      <c r="P31">
        <f t="shared" ca="1" si="16"/>
        <v>-4.0312390955656788E-5</v>
      </c>
      <c r="Q31">
        <f t="shared" ca="1" si="16"/>
        <v>-4.5532688827648073E-4</v>
      </c>
      <c r="R31">
        <f t="shared" ca="1" si="16"/>
        <v>-7.0617671880467874E-3</v>
      </c>
      <c r="S31">
        <f t="shared" ca="1" si="16"/>
        <v>-7.6626273100969061E-2</v>
      </c>
      <c r="T31">
        <f t="shared" ca="1" si="16"/>
        <v>-0.20486401715662836</v>
      </c>
      <c r="U31">
        <f t="shared" ca="1" si="16"/>
        <v>-0.2946711270431196</v>
      </c>
      <c r="V31">
        <f t="shared" ca="1" si="16"/>
        <v>-0.33860340576157411</v>
      </c>
      <c r="W31">
        <f t="shared" ca="1" si="16"/>
        <v>-0.34975988643260592</v>
      </c>
      <c r="X31">
        <f t="shared" ca="1" si="16"/>
        <v>-0.34011848975448805</v>
      </c>
      <c r="Y31">
        <f t="shared" ca="1" si="16"/>
        <v>-0.31831968447371456</v>
      </c>
      <c r="Z31">
        <f t="shared" ca="1" si="16"/>
        <v>-0.2902082795983762</v>
      </c>
      <c r="AA31">
        <f t="shared" ca="1" si="16"/>
        <v>-0.25960298310277979</v>
      </c>
      <c r="AB31">
        <f t="shared" ca="1" si="16"/>
        <v>-0.22891687030501803</v>
      </c>
      <c r="AC31">
        <f t="shared" ca="1" si="16"/>
        <v>-0.1996070356100296</v>
      </c>
      <c r="AD31">
        <f t="shared" ca="1" si="16"/>
        <v>-0.17248970192666443</v>
      </c>
      <c r="AE31">
        <f t="shared" ca="1" si="16"/>
        <v>-0.14795819675734684</v>
      </c>
      <c r="AF31">
        <f t="shared" ca="1" si="16"/>
        <v>-0.12613272234004635</v>
      </c>
      <c r="AG31">
        <f t="shared" ca="1" si="16"/>
        <v>-0.10696266600611157</v>
      </c>
      <c r="AH31">
        <f t="shared" ca="1" si="16"/>
        <v>-9.0295974388122646E-2</v>
      </c>
      <c r="AI31">
        <f ca="1">(AH31*sa-AH$7*AH18*AH$10)/oa-AH$7*AH$10*flt1_*sa/oa^2</f>
        <v>-0.44230509852156136</v>
      </c>
    </row>
    <row r="32" spans="1:35">
      <c r="A32" s="12" t="s">
        <v>22</v>
      </c>
      <c r="B32" s="12"/>
      <c r="C32" s="12"/>
      <c r="G32">
        <f ca="1">SUMPRODUCT(dlz2_,wa,ma)</f>
        <v>-26.294876694174373</v>
      </c>
      <c r="H32">
        <f ca="1">Ro/(reck-1)*phie/phif^2*dphif</f>
        <v>-57487.978532377929</v>
      </c>
      <c r="J32" s="8" t="s">
        <v>53</v>
      </c>
      <c r="K32">
        <v>0</v>
      </c>
      <c r="L32">
        <f t="shared" ref="L32:AH32" ca="1" si="17">K32*sa-K$7*K19*K$10</f>
        <v>-7.2149041950842902E-3</v>
      </c>
      <c r="M32">
        <f t="shared" ca="1" si="17"/>
        <v>-6.8068471585399748E-2</v>
      </c>
      <c r="N32">
        <f t="shared" ca="1" si="17"/>
        <v>-0.36264487173126464</v>
      </c>
      <c r="O32">
        <f t="shared" ca="1" si="17"/>
        <v>-0.72323553883505953</v>
      </c>
      <c r="P32">
        <f t="shared" ca="1" si="17"/>
        <v>-0.93800958770873044</v>
      </c>
      <c r="Q32">
        <f t="shared" ca="1" si="17"/>
        <v>-1.0250684930147735</v>
      </c>
      <c r="R32">
        <f t="shared" ca="1" si="17"/>
        <v>-1.0095140718136448</v>
      </c>
      <c r="S32">
        <f t="shared" ca="1" si="17"/>
        <v>-0.91492402001956286</v>
      </c>
      <c r="T32">
        <f t="shared" ca="1" si="17"/>
        <v>-0.79420178684147158</v>
      </c>
      <c r="U32">
        <f t="shared" ca="1" si="17"/>
        <v>-0.67317248117878981</v>
      </c>
      <c r="V32">
        <f t="shared" ca="1" si="17"/>
        <v>-0.56190060073698556</v>
      </c>
      <c r="W32">
        <f t="shared" ca="1" si="17"/>
        <v>-0.46402048204918711</v>
      </c>
      <c r="X32">
        <f t="shared" ca="1" si="17"/>
        <v>-0.38018591297347248</v>
      </c>
      <c r="Y32">
        <f t="shared" ca="1" si="17"/>
        <v>-0.30963887447519178</v>
      </c>
      <c r="Z32">
        <f t="shared" ca="1" si="17"/>
        <v>-0.25100683431287035</v>
      </c>
      <c r="AA32">
        <f t="shared" ca="1" si="17"/>
        <v>-0.20272039963157948</v>
      </c>
      <c r="AB32">
        <f t="shared" ca="1" si="17"/>
        <v>-0.16322873172481106</v>
      </c>
      <c r="AC32">
        <f t="shared" ca="1" si="17"/>
        <v>-0.13110382248239946</v>
      </c>
      <c r="AD32">
        <f t="shared" ca="1" si="17"/>
        <v>-0.10508341051376391</v>
      </c>
      <c r="AE32">
        <f t="shared" ca="1" si="17"/>
        <v>-8.4080585102865049E-2</v>
      </c>
      <c r="AF32">
        <f t="shared" ca="1" si="17"/>
        <v>-6.7176084871751057E-2</v>
      </c>
      <c r="AG32">
        <f t="shared" ca="1" si="17"/>
        <v>-5.3602423615966191E-2</v>
      </c>
      <c r="AH32">
        <f t="shared" ca="1" si="17"/>
        <v>-4.2724985829382119E-2</v>
      </c>
      <c r="AI32">
        <f ca="1">(AH32*sa-AH$7*AH19*AH$10)/oa-AH$7*AH$10*flt2_*sa/oa^2</f>
        <v>-0.16606237630762577</v>
      </c>
    </row>
    <row r="33" spans="1:35">
      <c r="A33" t="s">
        <v>28</v>
      </c>
      <c r="B33" s="1">
        <f>SUMPRODUCT(lx,wa,ma)</f>
        <v>12.130227764811192</v>
      </c>
      <c r="G33">
        <f ca="1">SUMPRODUCT(dlz3_,wa,ma)</f>
        <v>-25.853020701143471</v>
      </c>
      <c r="H33">
        <f ca="1">Ro/(reck-1)*phie/phif^2*dphif</f>
        <v>-56521.957351248348</v>
      </c>
      <c r="J33" s="8" t="s">
        <v>54</v>
      </c>
      <c r="K33">
        <v>0</v>
      </c>
      <c r="L33">
        <f t="shared" ref="L33:AH33" ca="1" si="18">K33*sa-K$7*K20*K$10</f>
        <v>-7.8256883082488988E-5</v>
      </c>
      <c r="M33">
        <f t="shared" ca="1" si="18"/>
        <v>-2.6046770673654809E-4</v>
      </c>
      <c r="N33">
        <f t="shared" ca="1" si="18"/>
        <v>-6.9263729370731201E-4</v>
      </c>
      <c r="O33">
        <f t="shared" ca="1" si="18"/>
        <v>-1.7171731010482191E-3</v>
      </c>
      <c r="P33">
        <f t="shared" ca="1" si="18"/>
        <v>-4.1771652206891337E-3</v>
      </c>
      <c r="Q33">
        <f t="shared" ca="1" si="18"/>
        <v>-0.14572107595765238</v>
      </c>
      <c r="R33">
        <f t="shared" ca="1" si="18"/>
        <v>-0.3494283096908839</v>
      </c>
      <c r="S33">
        <f t="shared" ca="1" si="18"/>
        <v>-0.51485640996342574</v>
      </c>
      <c r="T33">
        <f t="shared" ca="1" si="18"/>
        <v>-0.58353623597192072</v>
      </c>
      <c r="U33">
        <f t="shared" ca="1" si="18"/>
        <v>-0.57635249686823564</v>
      </c>
      <c r="V33">
        <f t="shared" ca="1" si="18"/>
        <v>-0.52790045639408256</v>
      </c>
      <c r="W33">
        <f t="shared" ca="1" si="18"/>
        <v>-0.46242816538742343</v>
      </c>
      <c r="X33">
        <f t="shared" ca="1" si="18"/>
        <v>-0.39377288344533784</v>
      </c>
      <c r="Y33">
        <f t="shared" ca="1" si="18"/>
        <v>-0.32900376505588375</v>
      </c>
      <c r="Z33">
        <f t="shared" ca="1" si="18"/>
        <v>-0.2712581864278592</v>
      </c>
      <c r="AA33">
        <f t="shared" ca="1" si="18"/>
        <v>-0.2215090947163548</v>
      </c>
      <c r="AB33">
        <f t="shared" ca="1" si="18"/>
        <v>-0.17960105678901359</v>
      </c>
      <c r="AC33">
        <f t="shared" ca="1" si="18"/>
        <v>-0.14484141644403628</v>
      </c>
      <c r="AD33">
        <f t="shared" ca="1" si="18"/>
        <v>-0.1163293512245679</v>
      </c>
      <c r="AE33">
        <f t="shared" ca="1" si="18"/>
        <v>-9.3132444543737855E-2</v>
      </c>
      <c r="AF33">
        <f t="shared" ca="1" si="18"/>
        <v>-7.4375510407367257E-2</v>
      </c>
      <c r="AG33">
        <f t="shared" ca="1" si="18"/>
        <v>-5.9279746886155421E-2</v>
      </c>
      <c r="AH33">
        <f t="shared" ca="1" si="18"/>
        <v>-4.7174537348729111E-2</v>
      </c>
      <c r="AI33">
        <f ca="1">(AH33*sa-AH$7*AH20*AH$10)/oa-AH$7*AH$10*flt3_*sa/oa^2</f>
        <v>-0.1816297742053741</v>
      </c>
    </row>
    <row r="34" spans="1:35">
      <c r="A34" t="s">
        <v>27</v>
      </c>
      <c r="B34" s="1">
        <f ca="1">SUMPRODUCT(lz,wa,ma)</f>
        <v>4.8520911418308188</v>
      </c>
      <c r="G34" t="s">
        <v>57</v>
      </c>
      <c r="J34" s="8"/>
    </row>
    <row r="35" spans="1:35">
      <c r="A35" t="s">
        <v>33</v>
      </c>
      <c r="B35" s="1">
        <f ca="1">SUMPRODUCT(lz,ta1_)</f>
        <v>0.99070686736324121</v>
      </c>
      <c r="C35" s="29">
        <f ca="1">B11/(phi_t1/SUM(B$35:B$37))</f>
        <v>2.0634188207931419</v>
      </c>
      <c r="E35" s="38">
        <f ca="1">C35/AVERAGE(C$35:C$37)</f>
        <v>1.8124967709618001</v>
      </c>
      <c r="F35" s="37"/>
      <c r="G35" s="1">
        <f ca="1">SUM(dqa11_)</f>
        <v>120.53375725398321</v>
      </c>
      <c r="H35" s="1">
        <f ca="1">SUM(dqa12_)</f>
        <v>122.57213927164453</v>
      </c>
      <c r="I35" s="11">
        <f ca="1">SUM(dqa13_)</f>
        <v>121.58315183079279</v>
      </c>
      <c r="J35" s="8" t="s">
        <v>62</v>
      </c>
      <c r="K35">
        <f ca="1">flt1_*qa1_+lz*wa*flt1_^2/za*(sa-oa/za)</f>
        <v>5.2383314816797924E-19</v>
      </c>
      <c r="L35">
        <f t="shared" ref="L35:AI35" ca="1" si="19">flt1_*qa1_+lz*wa*flt1_^2/za*(sa-oa/za)</f>
        <v>5.1183635430881863E-16</v>
      </c>
      <c r="M35">
        <f t="shared" ca="1" si="19"/>
        <v>2.0705171516039447E-13</v>
      </c>
      <c r="N35">
        <f t="shared" ca="1" si="19"/>
        <v>5.8748248327029384E-11</v>
      </c>
      <c r="O35">
        <f t="shared" ca="1" si="19"/>
        <v>1.4029403991800823E-8</v>
      </c>
      <c r="P35">
        <f t="shared" ca="1" si="19"/>
        <v>3.6172802262109164E-6</v>
      </c>
      <c r="Q35">
        <f t="shared" ca="1" si="19"/>
        <v>1.6925553281998396E-3</v>
      </c>
      <c r="R35">
        <f t="shared" ca="1" si="19"/>
        <v>0.34995459021058667</v>
      </c>
      <c r="S35">
        <f t="shared" ca="1" si="19"/>
        <v>2.7713684408375809</v>
      </c>
      <c r="T35">
        <f t="shared" ca="1" si="19"/>
        <v>4.5943972488116209</v>
      </c>
      <c r="U35">
        <f t="shared" ca="1" si="19"/>
        <v>5.5594183650510391</v>
      </c>
      <c r="V35">
        <f t="shared" ca="1" si="19"/>
        <v>6.1902332633760393</v>
      </c>
      <c r="W35">
        <f t="shared" ca="1" si="19"/>
        <v>6.6539733714149571</v>
      </c>
      <c r="X35">
        <f t="shared" ca="1" si="19"/>
        <v>7.0120481988320478</v>
      </c>
      <c r="Y35">
        <f t="shared" ca="1" si="19"/>
        <v>7.2944714290453652</v>
      </c>
      <c r="Z35">
        <f t="shared" ca="1" si="19"/>
        <v>7.5193213406712722</v>
      </c>
      <c r="AA35">
        <f t="shared" ca="1" si="19"/>
        <v>7.6990551765935136</v>
      </c>
      <c r="AB35">
        <f t="shared" ca="1" si="19"/>
        <v>7.8429505265288411</v>
      </c>
      <c r="AC35">
        <f t="shared" ca="1" si="19"/>
        <v>7.9582043201873898</v>
      </c>
      <c r="AD35">
        <f t="shared" ca="1" si="19"/>
        <v>8.0505117529455728</v>
      </c>
      <c r="AE35">
        <f t="shared" ca="1" si="19"/>
        <v>8.1244209491320039</v>
      </c>
      <c r="AF35">
        <f t="shared" ca="1" si="19"/>
        <v>8.1835777608877187</v>
      </c>
      <c r="AG35">
        <f t="shared" ca="1" si="19"/>
        <v>8.2309083539630681</v>
      </c>
      <c r="AH35">
        <f t="shared" ca="1" si="19"/>
        <v>8.2687614177574922</v>
      </c>
      <c r="AI35">
        <f t="shared" ca="1" si="19"/>
        <v>8.2284845519119525</v>
      </c>
    </row>
    <row r="36" spans="1:35">
      <c r="A36" t="s">
        <v>34</v>
      </c>
      <c r="B36" s="1">
        <f ca="1">SUMPRODUCT(lz,ta2_)</f>
        <v>2.1622734703431372</v>
      </c>
      <c r="C36" s="29">
        <f ca="1">B12/(phi_t2/SUM(B$35:B$37))</f>
        <v>0.75829390061119251</v>
      </c>
      <c r="E36" s="38">
        <f t="shared" ref="E36:E37" ca="1" si="20">C36/AVERAGE(C$35:C$37)</f>
        <v>0.66608156928393003</v>
      </c>
      <c r="G36" s="1">
        <f ca="1">SUM(dqa21_)</f>
        <v>122.57213927164453</v>
      </c>
      <c r="H36" s="1">
        <f ca="1">SUM(dqa22_)</f>
        <v>11.594769719602089</v>
      </c>
      <c r="I36" s="11">
        <f ca="1">SUM(dqa23_)</f>
        <v>121.99515742168079</v>
      </c>
      <c r="J36" s="8" t="s">
        <v>63</v>
      </c>
      <c r="K36">
        <f t="shared" ref="K36:AI36" ca="1" si="21">flt2_*qa2_+lz*wa*flt2_^2/za*(sa-oa/za)</f>
        <v>2.5943844120217436E-6</v>
      </c>
      <c r="L36">
        <f t="shared" ca="1" si="21"/>
        <v>1.7089560773077812E-3</v>
      </c>
      <c r="M36">
        <f t="shared" ca="1" si="21"/>
        <v>0.15761084545723297</v>
      </c>
      <c r="N36">
        <f t="shared" ca="1" si="21"/>
        <v>0.80112228932263441</v>
      </c>
      <c r="O36">
        <f t="shared" ca="1" si="21"/>
        <v>1.1384142075727812</v>
      </c>
      <c r="P36">
        <f t="shared" ca="1" si="21"/>
        <v>1.2446664844178883</v>
      </c>
      <c r="Q36">
        <f t="shared" ca="1" si="21"/>
        <v>1.2395036502937451</v>
      </c>
      <c r="R36">
        <f t="shared" ca="1" si="21"/>
        <v>1.1544206711047778</v>
      </c>
      <c r="S36">
        <f t="shared" ca="1" si="21"/>
        <v>1.0268552001562754</v>
      </c>
      <c r="T36">
        <f t="shared" ca="1" si="21"/>
        <v>0.897703408443142</v>
      </c>
      <c r="U36">
        <f t="shared" ca="1" si="21"/>
        <v>0.76777230992457624</v>
      </c>
      <c r="V36">
        <f t="shared" ca="1" si="21"/>
        <v>0.64360689392073767</v>
      </c>
      <c r="W36">
        <f t="shared" ca="1" si="21"/>
        <v>0.53097792832186708</v>
      </c>
      <c r="X36">
        <f t="shared" ca="1" si="21"/>
        <v>0.43265629910615427</v>
      </c>
      <c r="Y36">
        <f t="shared" ca="1" si="21"/>
        <v>0.34916086837893334</v>
      </c>
      <c r="Z36">
        <f t="shared" ca="1" si="21"/>
        <v>0.27967210147198646</v>
      </c>
      <c r="AA36">
        <f t="shared" ca="1" si="21"/>
        <v>0.22270205651856503</v>
      </c>
      <c r="AB36">
        <f t="shared" ca="1" si="21"/>
        <v>0.17652206816051222</v>
      </c>
      <c r="AC36">
        <f t="shared" ca="1" si="21"/>
        <v>0.13941154303785447</v>
      </c>
      <c r="AD36">
        <f t="shared" ca="1" si="21"/>
        <v>0.10978800842848339</v>
      </c>
      <c r="AE36">
        <f t="shared" ca="1" si="21"/>
        <v>8.6263493115619011E-2</v>
      </c>
      <c r="AF36">
        <f t="shared" ca="1" si="21"/>
        <v>6.7657979421136161E-2</v>
      </c>
      <c r="AG36">
        <f t="shared" ca="1" si="21"/>
        <v>5.2989707547084097E-2</v>
      </c>
      <c r="AH36">
        <f t="shared" ca="1" si="21"/>
        <v>4.1454478532181281E-2</v>
      </c>
      <c r="AI36">
        <f t="shared" ca="1" si="21"/>
        <v>3.2125675552074996E-2</v>
      </c>
    </row>
    <row r="37" spans="1:35">
      <c r="A37" t="s">
        <v>35</v>
      </c>
      <c r="B37" s="1">
        <f ca="1">SUMPRODUCT(lz,ta3_)</f>
        <v>1.3063758489234414</v>
      </c>
      <c r="C37" s="29">
        <f ca="1">B13/(phi_t3/SUM(B$35:B$37))</f>
        <v>0.59360727355655052</v>
      </c>
      <c r="E37" s="38">
        <f t="shared" ca="1" si="20"/>
        <v>0.52142165984363265</v>
      </c>
      <c r="G37" s="1">
        <f ca="1">SUM(dqa31_)</f>
        <v>121.58315183079279</v>
      </c>
      <c r="H37" s="1">
        <f ca="1">SUM(dqa32_)</f>
        <v>121.99515742168079</v>
      </c>
      <c r="I37" s="1">
        <f ca="1">SUM(dqa33_)</f>
        <v>25.976970044712438</v>
      </c>
      <c r="J37" s="8" t="s">
        <v>64</v>
      </c>
      <c r="K37">
        <f t="shared" ref="K37:AI37" ca="1" si="22">flt3_*qa3_+lz*wa*flt3_^2/za*(sa-oa/za)</f>
        <v>3.0522372035577398E-10</v>
      </c>
      <c r="L37">
        <f t="shared" ca="1" si="22"/>
        <v>1.6779809947801768E-8</v>
      </c>
      <c r="M37">
        <f t="shared" ca="1" si="22"/>
        <v>3.7934177664923036E-7</v>
      </c>
      <c r="N37">
        <f t="shared" ca="1" si="22"/>
        <v>5.8948684454324102E-6</v>
      </c>
      <c r="O37">
        <f t="shared" ca="1" si="22"/>
        <v>7.6863945685589868E-5</v>
      </c>
      <c r="P37">
        <f t="shared" ca="1" si="22"/>
        <v>0.41124406855422929</v>
      </c>
      <c r="Q37">
        <f t="shared" ca="1" si="22"/>
        <v>2.0273721920302998</v>
      </c>
      <c r="R37">
        <f t="shared" ca="1" si="22"/>
        <v>4.0804964732337368</v>
      </c>
      <c r="S37">
        <f t="shared" ca="1" si="22"/>
        <v>4.5382011508887583</v>
      </c>
      <c r="T37">
        <f t="shared" ca="1" si="22"/>
        <v>3.9155809854940067</v>
      </c>
      <c r="U37">
        <f t="shared" ca="1" si="22"/>
        <v>3.055214442573984</v>
      </c>
      <c r="V37">
        <f t="shared" ca="1" si="22"/>
        <v>2.2820690954363174</v>
      </c>
      <c r="W37">
        <f t="shared" ca="1" si="22"/>
        <v>1.6661143967422911</v>
      </c>
      <c r="X37">
        <f t="shared" ca="1" si="22"/>
        <v>1.1990387269139369</v>
      </c>
      <c r="Y37">
        <f t="shared" ca="1" si="22"/>
        <v>0.8541426092854445</v>
      </c>
      <c r="Z37">
        <f t="shared" ca="1" si="22"/>
        <v>0.6038056994466221</v>
      </c>
      <c r="AA37">
        <f t="shared" ca="1" si="22"/>
        <v>0.42432120711785576</v>
      </c>
      <c r="AB37">
        <f t="shared" ca="1" si="22"/>
        <v>0.29681497150391462</v>
      </c>
      <c r="AC37">
        <f t="shared" ca="1" si="22"/>
        <v>0.20687114541801274</v>
      </c>
      <c r="AD37">
        <f t="shared" ca="1" si="22"/>
        <v>0.14377052223268552</v>
      </c>
      <c r="AE37">
        <f t="shared" ca="1" si="22"/>
        <v>9.9690896532414877E-2</v>
      </c>
      <c r="AF37">
        <f t="shared" ca="1" si="22"/>
        <v>6.9001875064722287E-2</v>
      </c>
      <c r="AG37">
        <f t="shared" ca="1" si="22"/>
        <v>4.7692131991350549E-2</v>
      </c>
      <c r="AH37">
        <f t="shared" ca="1" si="22"/>
        <v>3.2926076059502749E-2</v>
      </c>
      <c r="AI37">
        <f t="shared" ca="1" si="22"/>
        <v>2.2518220527790823E-2</v>
      </c>
    </row>
    <row r="38" spans="1:35">
      <c r="A38" s="1" t="s">
        <v>36</v>
      </c>
      <c r="B38" s="1">
        <f ca="1">SUMPRODUCT(lz,qa1_)</f>
        <v>7.3192829132650221</v>
      </c>
      <c r="C38" s="23">
        <f ca="1">B4/(phi_q1/SUM(B$38:B$40))</f>
        <v>1.8497516060860744</v>
      </c>
      <c r="D38" s="21"/>
      <c r="E38" s="39">
        <f ca="1">C38/AVERAGE(C$38:C$40)</f>
        <v>1.8318905613401728</v>
      </c>
      <c r="G38" t="s">
        <v>69</v>
      </c>
      <c r="J38" s="8" t="s">
        <v>60</v>
      </c>
      <c r="K38">
        <f t="shared" ref="K38:AI38" ca="1" si="23">flt1_*qa1_+lz*wa*flt2_*flt1_/za*(sa-oa/za)</f>
        <v>-1.1088278705492174E-12</v>
      </c>
      <c r="L38">
        <f t="shared" ca="1" si="23"/>
        <v>-6.7531547497008895E-10</v>
      </c>
      <c r="M38">
        <f t="shared" ca="1" si="23"/>
        <v>-1.0125369238098452E-7</v>
      </c>
      <c r="N38">
        <f t="shared" ca="1" si="23"/>
        <v>-2.9962895531602914E-6</v>
      </c>
      <c r="O38">
        <f t="shared" ca="1" si="23"/>
        <v>-4.330502536223684E-5</v>
      </c>
      <c r="P38">
        <f t="shared" ca="1" si="23"/>
        <v>-5.7440748858233353E-4</v>
      </c>
      <c r="Q38">
        <f t="shared" ca="1" si="23"/>
        <v>-7.9161725469017279E-3</v>
      </c>
      <c r="R38">
        <f t="shared" ca="1" si="23"/>
        <v>0.30048069748950729</v>
      </c>
      <c r="S38">
        <f t="shared" ca="1" si="23"/>
        <v>2.9171859427723676</v>
      </c>
      <c r="T38">
        <f t="shared" ca="1" si="23"/>
        <v>4.8544611036764316</v>
      </c>
      <c r="U38">
        <f t="shared" ca="1" si="23"/>
        <v>5.8265125928420156</v>
      </c>
      <c r="V38">
        <f t="shared" ca="1" si="23"/>
        <v>6.4335312333519505</v>
      </c>
      <c r="W38">
        <f t="shared" ca="1" si="23"/>
        <v>6.8655612297285105</v>
      </c>
      <c r="X38">
        <f t="shared" ca="1" si="23"/>
        <v>7.1915641561245991</v>
      </c>
      <c r="Y38">
        <f t="shared" ca="1" si="23"/>
        <v>7.4443961705806947</v>
      </c>
      <c r="Z38">
        <f t="shared" ca="1" si="23"/>
        <v>7.643153045531907</v>
      </c>
      <c r="AA38">
        <f t="shared" ca="1" si="23"/>
        <v>7.8004950453678061</v>
      </c>
      <c r="AB38">
        <f t="shared" ca="1" si="23"/>
        <v>7.9255213622198282</v>
      </c>
      <c r="AC38">
        <f t="shared" ca="1" si="23"/>
        <v>8.0250806918874851</v>
      </c>
      <c r="AD38">
        <f t="shared" ca="1" si="23"/>
        <v>8.1044606888881585</v>
      </c>
      <c r="AE38">
        <f t="shared" ca="1" si="23"/>
        <v>8.1678010302605628</v>
      </c>
      <c r="AF38">
        <f t="shared" ca="1" si="23"/>
        <v>8.2183677656692975</v>
      </c>
      <c r="AG38">
        <f t="shared" ca="1" si="23"/>
        <v>8.2587490450010996</v>
      </c>
      <c r="AH38">
        <f t="shared" ca="1" si="23"/>
        <v>8.2910011877581766</v>
      </c>
      <c r="AI38">
        <f t="shared" ca="1" si="23"/>
        <v>8.3123532603679742</v>
      </c>
    </row>
    <row r="39" spans="1:35">
      <c r="A39" s="1" t="s">
        <v>37</v>
      </c>
      <c r="B39" s="1">
        <f ca="1">SUMPRODUCT(lz,qa2_)</f>
        <v>7.4342142254104635</v>
      </c>
      <c r="C39" s="23">
        <f ca="1">B5/(phi_q2/SUM(B$38:B$40))</f>
        <v>0.67918715095980686</v>
      </c>
      <c r="D39" s="21"/>
      <c r="E39" s="39">
        <f t="shared" ref="E39:E40" ca="1" si="24">C39/AVERAGE(C$38:C$40)</f>
        <v>0.67262897736342597</v>
      </c>
      <c r="G39" s="1">
        <f ca="1">re*phi_q1+f1_*phi_q1*$H31+f1_*re*G35</f>
        <v>668653.72580129385</v>
      </c>
      <c r="H39" s="1">
        <f ca="1">re*phi_q1+f1_*phi_q1*$H32+f1_*re*H35</f>
        <v>677700.26542034093</v>
      </c>
      <c r="I39" s="1">
        <f ca="1">re*phi_q1+f1_*phi_q1*$H33+f1_*re*I35</f>
        <v>674923.9140113804</v>
      </c>
      <c r="J39" s="8" t="s">
        <v>66</v>
      </c>
      <c r="K39">
        <f t="shared" ref="K39:AI39" ca="1" si="25">flt1_*qa1_+lz*wa*flt3_*flt1_/za*(sa-oa/za)</f>
        <v>-1.2025955779783138E-14</v>
      </c>
      <c r="L39">
        <f t="shared" ca="1" si="25"/>
        <v>-2.1152144418787633E-12</v>
      </c>
      <c r="M39">
        <f t="shared" ca="1" si="25"/>
        <v>-1.567618319340359E-10</v>
      </c>
      <c r="N39">
        <f t="shared" ca="1" si="25"/>
        <v>-8.0435919433826582E-9</v>
      </c>
      <c r="O39">
        <f t="shared" ca="1" si="25"/>
        <v>-3.3715160069136984E-7</v>
      </c>
      <c r="P39">
        <f t="shared" ca="1" si="25"/>
        <v>-3.2821668292196566E-4</v>
      </c>
      <c r="Q39">
        <f t="shared" ca="1" si="25"/>
        <v>-1.0699059099519053E-2</v>
      </c>
      <c r="R39">
        <f t="shared" ca="1" si="25"/>
        <v>0.20359805765756778</v>
      </c>
      <c r="S39">
        <f t="shared" ca="1" si="25"/>
        <v>2.6671517462165784</v>
      </c>
      <c r="T39">
        <f t="shared" ca="1" si="25"/>
        <v>4.6302047872422341</v>
      </c>
      <c r="U39">
        <f t="shared" ca="1" si="25"/>
        <v>5.6693708779079435</v>
      </c>
      <c r="V39">
        <f t="shared" ca="1" si="25"/>
        <v>6.3312914328476833</v>
      </c>
      <c r="W39">
        <f t="shared" ca="1" si="25"/>
        <v>6.8013024690506896</v>
      </c>
      <c r="X39">
        <f t="shared" ca="1" si="25"/>
        <v>7.1521263254902392</v>
      </c>
      <c r="Y39">
        <f t="shared" ca="1" si="25"/>
        <v>7.4207129548789235</v>
      </c>
      <c r="Z39">
        <f t="shared" ca="1" si="25"/>
        <v>7.6292660094410198</v>
      </c>
      <c r="AA39">
        <f t="shared" ca="1" si="25"/>
        <v>7.7925885711278289</v>
      </c>
      <c r="AB39">
        <f t="shared" ca="1" si="25"/>
        <v>7.9211970788498478</v>
      </c>
      <c r="AC39">
        <f t="shared" ca="1" si="25"/>
        <v>8.0228551954046257</v>
      </c>
      <c r="AD39">
        <f t="shared" ca="1" si="25"/>
        <v>8.1034310498414754</v>
      </c>
      <c r="AE39">
        <f t="shared" ca="1" si="25"/>
        <v>8.1674271953802613</v>
      </c>
      <c r="AF39">
        <f t="shared" ca="1" si="25"/>
        <v>8.2183333767167372</v>
      </c>
      <c r="AG39">
        <f t="shared" ca="1" si="25"/>
        <v>8.2588736446994186</v>
      </c>
      <c r="AH39">
        <f t="shared" ca="1" si="25"/>
        <v>8.2911855379256156</v>
      </c>
      <c r="AI39">
        <f t="shared" ca="1" si="25"/>
        <v>8.3132631351526438</v>
      </c>
    </row>
    <row r="40" spans="1:35">
      <c r="A40" s="1" t="s">
        <v>38</v>
      </c>
      <c r="B40" s="1">
        <f ca="1">SUMPRODUCT(lz,qa3_)</f>
        <v>7.6739416736829256</v>
      </c>
      <c r="C40" s="23">
        <f ca="1">B6/(phi_q3/SUM(B$38:B$40))</f>
        <v>0.50031142622334102</v>
      </c>
      <c r="D40" s="21"/>
      <c r="E40" s="39">
        <f t="shared" ca="1" si="24"/>
        <v>0.49548046145537816</v>
      </c>
      <c r="G40" s="1">
        <f ca="1">re*phi_q1+f1_*phi_q1*$H32+f1_*re*G36</f>
        <v>677700.26542034093</v>
      </c>
      <c r="H40" s="1">
        <f ca="1">re*phi_q2+f2_*phi_q2*$H32+f2_*re*H36</f>
        <v>300920.82567972131</v>
      </c>
      <c r="I40" s="1">
        <f ca="1">re*phi_q3+f3_*phi_q3*$H33+f3_*re*I36</f>
        <v>412009.85159915051</v>
      </c>
      <c r="J40" s="8" t="s">
        <v>65</v>
      </c>
      <c r="K40">
        <f t="shared" ref="K40:AI40" ca="1" si="26">flt1_*qa1_+lz*wa*flt1_*flt2_/za*(sa-oa/za)</f>
        <v>-1.1088278705492176E-12</v>
      </c>
      <c r="L40">
        <f t="shared" ca="1" si="26"/>
        <v>-6.7531547497008884E-10</v>
      </c>
      <c r="M40">
        <f t="shared" ca="1" si="26"/>
        <v>-1.0125369238098454E-7</v>
      </c>
      <c r="N40">
        <f t="shared" ca="1" si="26"/>
        <v>-2.9962895531602922E-6</v>
      </c>
      <c r="O40">
        <f t="shared" ca="1" si="26"/>
        <v>-4.330502536223684E-5</v>
      </c>
      <c r="P40">
        <f t="shared" ca="1" si="26"/>
        <v>-5.7440748858233353E-4</v>
      </c>
      <c r="Q40">
        <f t="shared" ca="1" si="26"/>
        <v>-7.9161725469017279E-3</v>
      </c>
      <c r="R40">
        <f t="shared" ca="1" si="26"/>
        <v>0.30048069748950729</v>
      </c>
      <c r="S40">
        <f t="shared" ca="1" si="26"/>
        <v>2.9171859427723676</v>
      </c>
      <c r="T40">
        <f t="shared" ca="1" si="26"/>
        <v>4.8544611036764316</v>
      </c>
      <c r="U40">
        <f t="shared" ca="1" si="26"/>
        <v>5.8265125928420156</v>
      </c>
      <c r="V40">
        <f t="shared" ca="1" si="26"/>
        <v>6.4335312333519505</v>
      </c>
      <c r="W40">
        <f t="shared" ca="1" si="26"/>
        <v>6.8655612297285105</v>
      </c>
      <c r="X40">
        <f t="shared" ca="1" si="26"/>
        <v>7.1915641561245991</v>
      </c>
      <c r="Y40">
        <f t="shared" ca="1" si="26"/>
        <v>7.4443961705806947</v>
      </c>
      <c r="Z40">
        <f t="shared" ca="1" si="26"/>
        <v>7.643153045531907</v>
      </c>
      <c r="AA40">
        <f t="shared" ca="1" si="26"/>
        <v>7.8004950453678061</v>
      </c>
      <c r="AB40">
        <f t="shared" ca="1" si="26"/>
        <v>7.9255213622198282</v>
      </c>
      <c r="AC40">
        <f t="shared" ca="1" si="26"/>
        <v>8.0250806918874851</v>
      </c>
      <c r="AD40">
        <f t="shared" ca="1" si="26"/>
        <v>8.1044606888881585</v>
      </c>
      <c r="AE40">
        <f t="shared" ca="1" si="26"/>
        <v>8.1678010302605628</v>
      </c>
      <c r="AF40">
        <f t="shared" ca="1" si="26"/>
        <v>8.2183677656692975</v>
      </c>
      <c r="AG40">
        <f t="shared" ca="1" si="26"/>
        <v>8.2587490450010996</v>
      </c>
      <c r="AH40">
        <f t="shared" ca="1" si="26"/>
        <v>8.2910011877581766</v>
      </c>
      <c r="AI40">
        <f t="shared" ca="1" si="26"/>
        <v>8.3123532603679742</v>
      </c>
    </row>
    <row r="41" spans="1:35">
      <c r="A41" s="1" t="s">
        <v>96</v>
      </c>
      <c r="B41" s="1">
        <f ca="1">SUMPRODUCT(lz/SUM(lz),len,ta1_)</f>
        <v>14.947402038479769</v>
      </c>
      <c r="G41" s="1">
        <f ca="1">re*phi_q1+f1_*phi_q1*$H33+f1_*re*G37</f>
        <v>674923.9140113804</v>
      </c>
      <c r="H41" s="1">
        <f ca="1">re*phi_q3+f3_*phi_q3*$H33+f3_*re*H37</f>
        <v>412009.85159915051</v>
      </c>
      <c r="I41" s="1">
        <f ca="1">re*phi_q3+f1_*phi_q3*$H33+f3_*re*I37</f>
        <v>296598.35117841791</v>
      </c>
      <c r="J41" s="8" t="s">
        <v>67</v>
      </c>
      <c r="K41">
        <f t="shared" ref="K41:AI41" ca="1" si="27">flt1_*qa1_+lz*wa*flt3_*flt2_/za*(sa-oa/za)</f>
        <v>-2.6765612491510497E-8</v>
      </c>
      <c r="L41">
        <f t="shared" ca="1" si="27"/>
        <v>-3.8666532058268009E-6</v>
      </c>
      <c r="M41">
        <f t="shared" ca="1" si="27"/>
        <v>-1.370528827916107E-4</v>
      </c>
      <c r="N41">
        <f t="shared" ca="1" si="27"/>
        <v>-9.4915157649253597E-4</v>
      </c>
      <c r="O41">
        <f t="shared" ca="1" si="27"/>
        <v>-3.2067592884506961E-3</v>
      </c>
      <c r="P41">
        <f t="shared" ca="1" si="27"/>
        <v>-0.19522523502771394</v>
      </c>
      <c r="Q41">
        <f t="shared" ca="1" si="27"/>
        <v>-0.34325231145907376</v>
      </c>
      <c r="R41">
        <f t="shared" ca="1" si="27"/>
        <v>3.4660294617050946E-2</v>
      </c>
      <c r="S41">
        <f t="shared" ca="1" si="27"/>
        <v>2.8537486319273473</v>
      </c>
      <c r="T41">
        <f t="shared" ca="1" si="27"/>
        <v>4.8702891252000668</v>
      </c>
      <c r="U41">
        <f t="shared" ca="1" si="27"/>
        <v>5.8673733775730668</v>
      </c>
      <c r="V41">
        <f t="shared" ca="1" si="27"/>
        <v>6.4790148593761989</v>
      </c>
      <c r="W41">
        <f t="shared" ca="1" si="27"/>
        <v>6.9071797115700235</v>
      </c>
      <c r="X41">
        <f t="shared" ca="1" si="27"/>
        <v>7.2263593607017755</v>
      </c>
      <c r="Y41">
        <f t="shared" ca="1" si="27"/>
        <v>7.4720158163124673</v>
      </c>
      <c r="Z41">
        <f t="shared" ca="1" si="27"/>
        <v>7.6643566368817986</v>
      </c>
      <c r="AA41">
        <f t="shared" ca="1" si="27"/>
        <v>7.8164028443291826</v>
      </c>
      <c r="AB41">
        <f t="shared" ca="1" si="27"/>
        <v>7.9372601966361147</v>
      </c>
      <c r="AC41">
        <f t="shared" ca="1" si="27"/>
        <v>8.0336375874820583</v>
      </c>
      <c r="AD41">
        <f t="shared" ca="1" si="27"/>
        <v>8.1106405650827025</v>
      </c>
      <c r="AE41">
        <f t="shared" ca="1" si="27"/>
        <v>8.1722325108236191</v>
      </c>
      <c r="AF41">
        <f t="shared" ca="1" si="27"/>
        <v>8.2215279534768833</v>
      </c>
      <c r="AG41">
        <f t="shared" ca="1" si="27"/>
        <v>8.2609928815460183</v>
      </c>
      <c r="AH41">
        <f t="shared" ca="1" si="27"/>
        <v>8.2925889333281813</v>
      </c>
      <c r="AI41">
        <f t="shared" ca="1" si="27"/>
        <v>8.3176505334264501</v>
      </c>
    </row>
    <row r="42" spans="1:35">
      <c r="A42" s="1"/>
      <c r="B42" s="1"/>
      <c r="J42" s="8" t="s">
        <v>68</v>
      </c>
      <c r="K42">
        <f t="shared" ref="K42:AI42" ca="1" si="28">flt1_*qa1_+lz*wa*flt1_*flt3_/za*(sa-oa/za)</f>
        <v>-1.202595577978314E-14</v>
      </c>
      <c r="L42">
        <f t="shared" ca="1" si="28"/>
        <v>-2.1152144418787633E-12</v>
      </c>
      <c r="M42">
        <f t="shared" ca="1" si="28"/>
        <v>-1.567618319340359E-10</v>
      </c>
      <c r="N42">
        <f t="shared" ca="1" si="28"/>
        <v>-8.0435919433826582E-9</v>
      </c>
      <c r="O42">
        <f t="shared" ca="1" si="28"/>
        <v>-3.3715160069136984E-7</v>
      </c>
      <c r="P42">
        <f t="shared" ca="1" si="28"/>
        <v>-3.2821668292196566E-4</v>
      </c>
      <c r="Q42">
        <f t="shared" ca="1" si="28"/>
        <v>-1.0699059099519053E-2</v>
      </c>
      <c r="R42">
        <f t="shared" ca="1" si="28"/>
        <v>0.20359805765756778</v>
      </c>
      <c r="S42">
        <f t="shared" ca="1" si="28"/>
        <v>2.6671517462165784</v>
      </c>
      <c r="T42">
        <f t="shared" ca="1" si="28"/>
        <v>4.6302047872422341</v>
      </c>
      <c r="U42">
        <f t="shared" ca="1" si="28"/>
        <v>5.6693708779079435</v>
      </c>
      <c r="V42">
        <f t="shared" ca="1" si="28"/>
        <v>6.3312914328476833</v>
      </c>
      <c r="W42">
        <f t="shared" ca="1" si="28"/>
        <v>6.8013024690506896</v>
      </c>
      <c r="X42">
        <f t="shared" ca="1" si="28"/>
        <v>7.1521263254902392</v>
      </c>
      <c r="Y42">
        <f t="shared" ca="1" si="28"/>
        <v>7.4207129548789235</v>
      </c>
      <c r="Z42">
        <f t="shared" ca="1" si="28"/>
        <v>7.6292660094410198</v>
      </c>
      <c r="AA42">
        <f t="shared" ca="1" si="28"/>
        <v>7.7925885711278289</v>
      </c>
      <c r="AB42">
        <f t="shared" ca="1" si="28"/>
        <v>7.9211970788498478</v>
      </c>
      <c r="AC42">
        <f t="shared" ca="1" si="28"/>
        <v>8.0228551954046257</v>
      </c>
      <c r="AD42">
        <f t="shared" ca="1" si="28"/>
        <v>8.1034310498414754</v>
      </c>
      <c r="AE42">
        <f t="shared" ca="1" si="28"/>
        <v>8.1674271953802613</v>
      </c>
      <c r="AF42">
        <f t="shared" ca="1" si="28"/>
        <v>8.2183333767167372</v>
      </c>
      <c r="AG42">
        <f t="shared" ca="1" si="28"/>
        <v>8.2588736446994186</v>
      </c>
      <c r="AH42">
        <f t="shared" ca="1" si="28"/>
        <v>8.2911855379256156</v>
      </c>
      <c r="AI42">
        <f t="shared" ca="1" si="28"/>
        <v>8.3132631351526438</v>
      </c>
    </row>
    <row r="43" spans="1:35">
      <c r="J43" s="8" t="s">
        <v>61</v>
      </c>
      <c r="K43">
        <f t="shared" ref="K43:AI43" ca="1" si="29">flt1_*qa1_+lz*wa*flt2_*flt3_/za*(sa-oa/za)</f>
        <v>-2.6765612491510497E-8</v>
      </c>
      <c r="L43">
        <f t="shared" ca="1" si="29"/>
        <v>-3.8666532058268017E-6</v>
      </c>
      <c r="M43">
        <f t="shared" ca="1" si="29"/>
        <v>-1.370528827916107E-4</v>
      </c>
      <c r="N43">
        <f t="shared" ca="1" si="29"/>
        <v>-9.4915157649253586E-4</v>
      </c>
      <c r="O43">
        <f t="shared" ca="1" si="29"/>
        <v>-3.2067592884506961E-3</v>
      </c>
      <c r="P43">
        <f t="shared" ca="1" si="29"/>
        <v>-0.19522523502771397</v>
      </c>
      <c r="Q43">
        <f t="shared" ca="1" si="29"/>
        <v>-0.34325231145907376</v>
      </c>
      <c r="R43">
        <f t="shared" ca="1" si="29"/>
        <v>3.4660294617050946E-2</v>
      </c>
      <c r="S43">
        <f t="shared" ca="1" si="29"/>
        <v>2.8537486319273468</v>
      </c>
      <c r="T43">
        <f t="shared" ca="1" si="29"/>
        <v>4.8702891252000668</v>
      </c>
      <c r="U43">
        <f t="shared" ca="1" si="29"/>
        <v>5.8673733775730668</v>
      </c>
      <c r="V43">
        <f t="shared" ca="1" si="29"/>
        <v>6.4790148593761989</v>
      </c>
      <c r="W43">
        <f t="shared" ca="1" si="29"/>
        <v>6.9071797115700235</v>
      </c>
      <c r="X43">
        <f t="shared" ca="1" si="29"/>
        <v>7.2263593607017755</v>
      </c>
      <c r="Y43">
        <f t="shared" ca="1" si="29"/>
        <v>7.4720158163124673</v>
      </c>
      <c r="Z43">
        <f t="shared" ca="1" si="29"/>
        <v>7.6643566368817986</v>
      </c>
      <c r="AA43">
        <f t="shared" ca="1" si="29"/>
        <v>7.8164028443291826</v>
      </c>
      <c r="AB43">
        <f t="shared" ca="1" si="29"/>
        <v>7.9372601966361147</v>
      </c>
      <c r="AC43">
        <f t="shared" ca="1" si="29"/>
        <v>8.0336375874820583</v>
      </c>
      <c r="AD43">
        <f t="shared" ca="1" si="29"/>
        <v>8.1106405650827025</v>
      </c>
      <c r="AE43">
        <f t="shared" ca="1" si="29"/>
        <v>8.1722325108236191</v>
      </c>
      <c r="AF43">
        <f t="shared" ca="1" si="29"/>
        <v>8.2215279534768833</v>
      </c>
      <c r="AG43">
        <f t="shared" ca="1" si="29"/>
        <v>8.2609928815460183</v>
      </c>
      <c r="AH43">
        <f t="shared" ca="1" si="29"/>
        <v>8.2925889333281813</v>
      </c>
      <c r="AI43">
        <f t="shared" ca="1" si="29"/>
        <v>8.3176505334264501</v>
      </c>
    </row>
    <row r="44" spans="1:35">
      <c r="A44" s="15" t="s">
        <v>39</v>
      </c>
      <c r="B44" s="16"/>
      <c r="C44" s="16"/>
    </row>
    <row r="45" spans="1:35">
      <c r="A45" s="1" t="s">
        <v>40</v>
      </c>
      <c r="B45" s="1">
        <f ca="1">phif/phie</f>
        <v>0.40000000296007154</v>
      </c>
      <c r="J45" s="2" t="s">
        <v>87</v>
      </c>
    </row>
    <row r="46" spans="1:35" ht="19" thickBot="1">
      <c r="A46" s="1" t="s">
        <v>41</v>
      </c>
      <c r="B46" s="11">
        <f ca="1">MAX(0,Ro*(reck-1/spr)/(reck-1))</f>
        <v>40310.524419404712</v>
      </c>
      <c r="G46" s="32" t="s">
        <v>94</v>
      </c>
      <c r="H46" s="32"/>
      <c r="I46" s="32"/>
      <c r="J46" s="8" t="s">
        <v>75</v>
      </c>
      <c r="K46">
        <f t="shared" ref="K46:AI46" ca="1" si="30">lz*qa1_</f>
        <v>2.712791322297562E-10</v>
      </c>
      <c r="L46">
        <f t="shared" ca="1" si="30"/>
        <v>1.6524524859752482E-8</v>
      </c>
      <c r="M46">
        <f t="shared" ca="1" si="30"/>
        <v>4.2686083919849574E-7</v>
      </c>
      <c r="N46">
        <f t="shared" ca="1" si="30"/>
        <v>7.7570114867387084E-6</v>
      </c>
      <c r="O46">
        <f t="shared" ca="1" si="30"/>
        <v>1.1816327938607958E-4</v>
      </c>
      <c r="P46">
        <f t="shared" ca="1" si="30"/>
        <v>1.7812148772837829E-3</v>
      </c>
      <c r="Q46">
        <f t="shared" ca="1" si="30"/>
        <v>3.4809417935645182E-2</v>
      </c>
      <c r="R46">
        <f t="shared" ca="1" si="30"/>
        <v>0.437098469698531</v>
      </c>
      <c r="S46">
        <f t="shared" ca="1" si="30"/>
        <v>1.027235618943426</v>
      </c>
      <c r="T46">
        <f t="shared" ca="1" si="30"/>
        <v>1.0589399477943409</v>
      </c>
      <c r="U46">
        <f t="shared" ca="1" si="30"/>
        <v>0.91987994129893935</v>
      </c>
      <c r="V46">
        <f t="shared" ca="1" si="30"/>
        <v>0.76370264440187507</v>
      </c>
      <c r="W46">
        <f t="shared" ca="1" si="30"/>
        <v>0.62230338150397779</v>
      </c>
      <c r="X46">
        <f t="shared" ca="1" si="30"/>
        <v>0.5019901993201803</v>
      </c>
      <c r="Y46">
        <f t="shared" ca="1" si="30"/>
        <v>0.40240113561852991</v>
      </c>
      <c r="Z46">
        <f t="shared" ca="1" si="30"/>
        <v>0.32121181427806089</v>
      </c>
      <c r="AA46">
        <f t="shared" ca="1" si="30"/>
        <v>0.25564898792923596</v>
      </c>
      <c r="AB46">
        <f t="shared" ca="1" si="30"/>
        <v>0.20304114123883857</v>
      </c>
      <c r="AC46">
        <f t="shared" ca="1" si="30"/>
        <v>0.16101547578288855</v>
      </c>
      <c r="AD46">
        <f t="shared" ca="1" si="30"/>
        <v>0.12754950250207095</v>
      </c>
      <c r="AE46">
        <f t="shared" ca="1" si="30"/>
        <v>0.10096057394719178</v>
      </c>
      <c r="AF46">
        <f t="shared" ca="1" si="30"/>
        <v>7.987037075102181E-2</v>
      </c>
      <c r="AG46">
        <f t="shared" ca="1" si="30"/>
        <v>6.3161672965435275E-2</v>
      </c>
      <c r="AH46">
        <f t="shared" ca="1" si="30"/>
        <v>4.9935535863389502E-2</v>
      </c>
      <c r="AI46">
        <f t="shared" ca="1" si="30"/>
        <v>0.18661950266664321</v>
      </c>
    </row>
    <row r="47" spans="1:35" ht="19" thickTop="1">
      <c r="A47" s="1" t="s">
        <v>43</v>
      </c>
      <c r="B47" s="1">
        <f ca="1">f1_*re*phi_q1</f>
        <v>24977.000022643122</v>
      </c>
      <c r="C47" s="20">
        <f ca="1">ye_1/SUM(ye_1,ye_2,ye_3)</f>
        <v>0.60367371617413301</v>
      </c>
      <c r="F47" t="s">
        <v>84</v>
      </c>
      <c r="G47" s="31">
        <f ca="1">G39/G53</f>
        <v>0.9999999998657505</v>
      </c>
      <c r="H47" s="31">
        <f ca="1">H53/H39</f>
        <v>0.66189500129440548</v>
      </c>
      <c r="I47" s="31">
        <f ca="1">I53/I39</f>
        <v>0.6598271544686557</v>
      </c>
      <c r="J47" s="8" t="s">
        <v>76</v>
      </c>
      <c r="K47">
        <f t="shared" ref="K47:AI47" ca="1" si="31">lz*qa2_</f>
        <v>6.037220834453883E-4</v>
      </c>
      <c r="L47">
        <f t="shared" ca="1" si="31"/>
        <v>3.0194571204042477E-2</v>
      </c>
      <c r="M47">
        <f t="shared" ca="1" si="31"/>
        <v>0.37242596091558328</v>
      </c>
      <c r="N47">
        <f t="shared" ca="1" si="31"/>
        <v>0.90582933515145436</v>
      </c>
      <c r="O47">
        <f t="shared" ca="1" si="31"/>
        <v>1.0644201278814767</v>
      </c>
      <c r="P47">
        <f t="shared" ca="1" si="31"/>
        <v>1.0448446765332444</v>
      </c>
      <c r="Q47">
        <f t="shared" ca="1" si="31"/>
        <v>0.9419963699167615</v>
      </c>
      <c r="R47">
        <f t="shared" ca="1" si="31"/>
        <v>0.79388114273687793</v>
      </c>
      <c r="S47">
        <f t="shared" ca="1" si="31"/>
        <v>0.62528432231488618</v>
      </c>
      <c r="T47">
        <f t="shared" ca="1" si="31"/>
        <v>0.46808367792176725</v>
      </c>
      <c r="U47">
        <f t="shared" ca="1" si="31"/>
        <v>0.34184772392373541</v>
      </c>
      <c r="V47">
        <f t="shared" ca="1" si="31"/>
        <v>0.24625277360265047</v>
      </c>
      <c r="W47">
        <f t="shared" ca="1" si="31"/>
        <v>0.17579230714540095</v>
      </c>
      <c r="X47">
        <f t="shared" ca="1" si="31"/>
        <v>0.12469364131135779</v>
      </c>
      <c r="Y47">
        <f t="shared" ca="1" si="31"/>
        <v>8.8038992989520087E-2</v>
      </c>
      <c r="Z47">
        <f t="shared" ca="1" si="31"/>
        <v>6.1947924559880123E-2</v>
      </c>
      <c r="AA47">
        <f t="shared" ca="1" si="31"/>
        <v>4.3479793766766611E-2</v>
      </c>
      <c r="AB47">
        <f t="shared" ca="1" si="31"/>
        <v>3.046097580016761E-2</v>
      </c>
      <c r="AC47">
        <f t="shared" ca="1" si="31"/>
        <v>2.1311275535792783E-2</v>
      </c>
      <c r="AD47">
        <f t="shared" ca="1" si="31"/>
        <v>1.4895136186124753E-2</v>
      </c>
      <c r="AE47">
        <f t="shared" ca="1" si="31"/>
        <v>1.0403252088064382E-2</v>
      </c>
      <c r="AF47">
        <f t="shared" ca="1" si="31"/>
        <v>7.2622903037132544E-3</v>
      </c>
      <c r="AG47">
        <f t="shared" ca="1" si="31"/>
        <v>5.0678704317477776E-3</v>
      </c>
      <c r="AH47">
        <f t="shared" ca="1" si="31"/>
        <v>3.5356984023628365E-3</v>
      </c>
      <c r="AI47">
        <f t="shared" ca="1" si="31"/>
        <v>1.1660662703638473E-2</v>
      </c>
    </row>
    <row r="48" spans="1:35">
      <c r="A48" s="1" t="s">
        <v>44</v>
      </c>
      <c r="B48" s="1">
        <f ca="1">f2_*re*phi_q2</f>
        <v>9315.0000058357455</v>
      </c>
      <c r="C48" s="20">
        <f ca="1">ye_2/SUM(ye_1,ye_2,ye_3)</f>
        <v>0.22513595163661612</v>
      </c>
      <c r="F48" t="s">
        <v>85</v>
      </c>
      <c r="G48" s="31">
        <f ca="1">G40/G54</f>
        <v>1.510813645883095</v>
      </c>
      <c r="H48" s="31">
        <f t="shared" ref="H48:I49" ca="1" si="32">H40/H54</f>
        <v>0.99999999950061458</v>
      </c>
      <c r="I48" s="31">
        <f ca="1">I54/I40</f>
        <v>0.72510831998238257</v>
      </c>
      <c r="J48" s="8" t="s">
        <v>77</v>
      </c>
      <c r="K48">
        <f t="shared" ref="K48:AI48" ca="1" si="33">lz*qa3_</f>
        <v>6.548307118297147E-6</v>
      </c>
      <c r="L48">
        <f t="shared" ca="1" si="33"/>
        <v>9.4614333614356205E-5</v>
      </c>
      <c r="M48">
        <f t="shared" ca="1" si="33"/>
        <v>5.7777964083642662E-4</v>
      </c>
      <c r="N48">
        <f t="shared" ca="1" si="33"/>
        <v>2.4571633690957913E-3</v>
      </c>
      <c r="O48">
        <f t="shared" ca="1" si="33"/>
        <v>8.7462978320037542E-3</v>
      </c>
      <c r="P48">
        <f t="shared" ca="1" si="33"/>
        <v>0.60058580072540002</v>
      </c>
      <c r="Q48">
        <f t="shared" ca="1" si="33"/>
        <v>1.2047364955810513</v>
      </c>
      <c r="R48">
        <f t="shared" ca="1" si="33"/>
        <v>1.4925536204641703</v>
      </c>
      <c r="S48">
        <f t="shared" ca="1" si="33"/>
        <v>1.3145127631643376</v>
      </c>
      <c r="T48">
        <f t="shared" ca="1" si="33"/>
        <v>0.97758643328372619</v>
      </c>
      <c r="U48">
        <f t="shared" ca="1" si="33"/>
        <v>0.68192611003011061</v>
      </c>
      <c r="V48">
        <f t="shared" ca="1" si="33"/>
        <v>0.46369795642398487</v>
      </c>
      <c r="W48">
        <f t="shared" ca="1" si="33"/>
        <v>0.3113967246006093</v>
      </c>
      <c r="X48">
        <f t="shared" ca="1" si="33"/>
        <v>0.20758185903915491</v>
      </c>
      <c r="Y48">
        <f t="shared" ca="1" si="33"/>
        <v>0.1376979509180847</v>
      </c>
      <c r="Z48">
        <f t="shared" ca="1" si="33"/>
        <v>9.1022925971128196E-2</v>
      </c>
      <c r="AA48">
        <f t="shared" ca="1" si="33"/>
        <v>6.0016785468666303E-2</v>
      </c>
      <c r="AB48">
        <f t="shared" ca="1" si="33"/>
        <v>3.949910086151167E-2</v>
      </c>
      <c r="AC48">
        <f t="shared" ca="1" si="33"/>
        <v>2.5960319710688153E-2</v>
      </c>
      <c r="AD48">
        <f t="shared" ca="1" si="33"/>
        <v>1.7045194056808894E-2</v>
      </c>
      <c r="AE48">
        <f t="shared" ca="1" si="33"/>
        <v>1.1183644486995053E-2</v>
      </c>
      <c r="AF48">
        <f t="shared" ca="1" si="33"/>
        <v>7.334061372722152E-3</v>
      </c>
      <c r="AG48">
        <f t="shared" ca="1" si="33"/>
        <v>4.8078743612484723E-3</v>
      </c>
      <c r="AH48">
        <f t="shared" ca="1" si="33"/>
        <v>3.1510803148198383E-3</v>
      </c>
      <c r="AI48">
        <f t="shared" ca="1" si="33"/>
        <v>9.7625693650383351E-3</v>
      </c>
    </row>
    <row r="49" spans="1:19">
      <c r="A49" s="1" t="s">
        <v>45</v>
      </c>
      <c r="B49" s="1">
        <f ca="1">f3_*re*phi_q3</f>
        <v>7083.0000028372206</v>
      </c>
      <c r="C49" s="20">
        <f ca="1">ye_3/SUM(ye_1,ye_2,ye_3)</f>
        <v>0.17119033226528599</v>
      </c>
      <c r="F49" t="s">
        <v>86</v>
      </c>
      <c r="G49" s="31">
        <f ca="1">G41/G55</f>
        <v>1.5155484179833045</v>
      </c>
      <c r="H49" s="31">
        <f t="shared" ca="1" si="32"/>
        <v>1.3791042971680372</v>
      </c>
      <c r="I49" s="31">
        <f t="shared" ca="1" si="32"/>
        <v>0.99999999905896353</v>
      </c>
    </row>
    <row r="50" spans="1:19">
      <c r="A50" s="1" t="s">
        <v>72</v>
      </c>
      <c r="B50" s="1">
        <f ca="1">SUM(B47:B49)</f>
        <v>41375.000031316093</v>
      </c>
    </row>
    <row r="51" spans="1:19">
      <c r="A51" s="1"/>
      <c r="B51" s="1"/>
      <c r="G51" t="s">
        <v>70</v>
      </c>
    </row>
    <row r="52" spans="1:19">
      <c r="A52" s="23" t="s">
        <v>88</v>
      </c>
      <c r="B52" s="35">
        <f ca="1">f1_*phi_q1</f>
        <v>0.61961486193465831</v>
      </c>
      <c r="C52">
        <f ca="1">AVERAGE(B52:B54)/B52</f>
        <v>0.55217466732481157</v>
      </c>
      <c r="G52" s="1">
        <f ca="1">G39^0.5</f>
        <v>817.71249580845586</v>
      </c>
      <c r="H52" s="1">
        <f ca="1">H40^0.5</f>
        <v>548.56250845252021</v>
      </c>
      <c r="I52" s="11">
        <f ca="1">I41^0.5</f>
        <v>544.60843840177313</v>
      </c>
    </row>
    <row r="53" spans="1:19">
      <c r="A53" s="23" t="s">
        <v>89</v>
      </c>
      <c r="B53" s="35">
        <f ca="1">f2_*phi_q2</f>
        <v>0.23108109209692354</v>
      </c>
      <c r="C53">
        <f ca="1">AVERAGE(B52:B54)/B53</f>
        <v>1.4805868673549867</v>
      </c>
      <c r="G53">
        <f t="shared" ref="G53:I55" ca="1" si="34">G$52*$J53</f>
        <v>668653.72581361479</v>
      </c>
      <c r="H53">
        <f t="shared" ca="1" si="34"/>
        <v>448566.41790192289</v>
      </c>
      <c r="I53">
        <f t="shared" ca="1" si="34"/>
        <v>445333.12541206548</v>
      </c>
      <c r="J53">
        <f t="array" aca="1" ref="J53:J55" ca="1">TRANSPOSE(G52:I52)</f>
        <v>817.71249580845586</v>
      </c>
    </row>
    <row r="54" spans="1:19">
      <c r="A54" s="23" t="s">
        <v>90</v>
      </c>
      <c r="B54" s="35">
        <f ca="1">f3_*phi_q3</f>
        <v>0.1757109366562247</v>
      </c>
      <c r="C54">
        <f ca="1">AVERAGE(B52:B54)/B54</f>
        <v>1.9471504548328207</v>
      </c>
      <c r="G54">
        <f t="shared" ca="1" si="34"/>
        <v>448566.41789365746</v>
      </c>
      <c r="H54">
        <f t="shared" ca="1" si="34"/>
        <v>300920.82567972131</v>
      </c>
      <c r="I54">
        <f t="shared" ca="1" si="34"/>
        <v>298751.77109408652</v>
      </c>
      <c r="J54">
        <f ca="1"/>
        <v>548.56250845252021</v>
      </c>
    </row>
    <row r="55" spans="1:19">
      <c r="A55" s="29" t="s">
        <v>91</v>
      </c>
      <c r="B55" s="34">
        <f ca="1">phi_t1*f1_</f>
        <v>8.3868420733741025E-2</v>
      </c>
      <c r="C55">
        <f ca="1">AVERAGE(B55:B57)/B55</f>
        <v>0.71934729680508913</v>
      </c>
      <c r="G55">
        <f t="shared" ca="1" si="34"/>
        <v>445333.12540385959</v>
      </c>
      <c r="H55">
        <f t="shared" ca="1" si="34"/>
        <v>298751.77109408652</v>
      </c>
      <c r="I55">
        <f t="shared" ca="1" si="34"/>
        <v>296598.35117841791</v>
      </c>
      <c r="J55">
        <f ca="1"/>
        <v>544.60843840177313</v>
      </c>
      <c r="S55" s="33"/>
    </row>
    <row r="56" spans="1:19">
      <c r="A56" s="29" t="s">
        <v>92</v>
      </c>
      <c r="B56" s="34">
        <f ca="1">phi_t2*f2_</f>
        <v>6.7210938478371507E-2</v>
      </c>
      <c r="C56">
        <f ca="1">AVERAGE(B55:B57)/B56</f>
        <v>0.89762950945678455</v>
      </c>
    </row>
    <row r="57" spans="1:19">
      <c r="A57" s="29" t="s">
        <v>93</v>
      </c>
      <c r="B57" s="34">
        <f ca="1">phi_t3*f3_</f>
        <v>2.9912205982306369E-2</v>
      </c>
      <c r="C57">
        <f ca="1">AVERAGE(B55:B57)/B57</f>
        <v>2.0169198409224514</v>
      </c>
    </row>
  </sheetData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fbar!K6:AI6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fbar!K18:AI18</xm:f>
              <xm:sqref>J18</xm:sqref>
            </x14:sparkline>
            <x14:sparkline>
              <xm:f>fbar!K19:AI19</xm:f>
              <xm:sqref>J19</xm:sqref>
            </x14:sparkline>
            <x14:sparkline>
              <xm:f>fbar!K20:AI20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fbar!K35:AI35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fbar!K46:AI46</xm:f>
              <xm:sqref>J46</xm:sqref>
            </x14:sparkline>
            <x14:sparkline>
              <xm:f>fbar!K47:AI47</xm:f>
              <xm:sqref>J47</xm:sqref>
            </x14:sparkline>
            <x14:sparkline>
              <xm:f>fbar!K48:AI48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opLeftCell="A6" zoomScale="125" zoomScaleNormal="125" zoomScalePageLayoutView="125" workbookViewId="0">
      <pane xSplit="10" topLeftCell="K1" activePane="topRight" state="frozen"/>
      <selection pane="topRight" activeCell="G18" sqref="G1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0.50151347499037002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0.22982200539914385</v>
      </c>
      <c r="J5" t="s">
        <v>3</v>
      </c>
      <c r="K5" s="9">
        <f t="shared" ref="K5:AI5" si="1">0.00001*len^3</f>
        <v>0.14133965148817215</v>
      </c>
      <c r="L5" s="9">
        <f t="shared" si="1"/>
        <v>0.82225607691892499</v>
      </c>
      <c r="M5" s="9">
        <f t="shared" si="1"/>
        <v>2.0434926573019618</v>
      </c>
      <c r="N5" s="9">
        <f t="shared" si="1"/>
        <v>3.6112119443115107</v>
      </c>
      <c r="O5" s="9">
        <f t="shared" si="1"/>
        <v>5.3226228090046082</v>
      </c>
      <c r="P5" s="9">
        <f t="shared" si="1"/>
        <v>7.0238600347751614</v>
      </c>
      <c r="Q5" s="9">
        <f t="shared" si="1"/>
        <v>8.6168967894328503</v>
      </c>
      <c r="R5" s="9">
        <f t="shared" si="1"/>
        <v>10.049320887572254</v>
      </c>
      <c r="S5" s="9">
        <f t="shared" si="1"/>
        <v>11.300877184357986</v>
      </c>
      <c r="T5" s="9">
        <f t="shared" si="1"/>
        <v>12.371761779408162</v>
      </c>
      <c r="U5" s="9">
        <f t="shared" si="1"/>
        <v>13.273892843993982</v>
      </c>
      <c r="V5" s="9">
        <f t="shared" si="1"/>
        <v>14.024960619330415</v>
      </c>
      <c r="W5" s="9">
        <f t="shared" si="1"/>
        <v>14.644645738589068</v>
      </c>
      <c r="X5" s="9">
        <f t="shared" si="1"/>
        <v>15.152380027165915</v>
      </c>
      <c r="Y5" s="9">
        <f t="shared" si="1"/>
        <v>15.566138817926092</v>
      </c>
      <c r="Z5" s="9">
        <f t="shared" si="1"/>
        <v>15.901888733219657</v>
      </c>
      <c r="AA5" s="9">
        <f t="shared" si="1"/>
        <v>16.173430950340212</v>
      </c>
      <c r="AB5" s="9">
        <f t="shared" si="1"/>
        <v>16.392468184528465</v>
      </c>
      <c r="AC5" s="9">
        <f t="shared" si="1"/>
        <v>16.568786244090365</v>
      </c>
      <c r="AD5" s="9">
        <f t="shared" si="1"/>
        <v>16.710483493528361</v>
      </c>
      <c r="AE5" s="9">
        <f t="shared" si="1"/>
        <v>16.824209395969319</v>
      </c>
      <c r="AF5" s="9">
        <f t="shared" si="1"/>
        <v>16.915390995189103</v>
      </c>
      <c r="AG5" s="9">
        <f t="shared" si="1"/>
        <v>16.988437094445764</v>
      </c>
      <c r="AH5" s="9">
        <f t="shared" si="1"/>
        <v>17.046916362081571</v>
      </c>
      <c r="AI5" s="9">
        <f t="shared" si="1"/>
        <v>17.093709254706191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0.26866451961048615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0.40000041557191451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3">L7*EXP(-L8)</f>
        <v>0.73915874319590891</v>
      </c>
      <c r="N7" s="1">
        <f t="shared" si="3"/>
        <v>0.628066272446412</v>
      </c>
      <c r="O7" s="1">
        <f t="shared" si="3"/>
        <v>0.50979818639246421</v>
      </c>
      <c r="P7" s="1">
        <f t="shared" si="3"/>
        <v>0.4085428040519124</v>
      </c>
      <c r="Q7" s="1">
        <f t="shared" si="3"/>
        <v>0.33285220354313017</v>
      </c>
      <c r="R7" s="1">
        <f t="shared" si="3"/>
        <v>0.27317852055960323</v>
      </c>
      <c r="S7" s="1">
        <f t="shared" si="3"/>
        <v>0.22001051455271572</v>
      </c>
      <c r="T7" s="1">
        <f t="shared" si="3"/>
        <v>0.17345725647293822</v>
      </c>
      <c r="U7" s="1">
        <f t="shared" si="3"/>
        <v>0.13671718634901517</v>
      </c>
      <c r="V7" s="1">
        <f t="shared" si="3"/>
        <v>0.1080446343710562</v>
      </c>
      <c r="W7" s="1">
        <f t="shared" si="3"/>
        <v>8.5577996967168238E-2</v>
      </c>
      <c r="X7" s="1">
        <f t="shared" si="3"/>
        <v>6.7902903840210638E-2</v>
      </c>
      <c r="Y7" s="1">
        <f t="shared" si="3"/>
        <v>5.3954476264730773E-2</v>
      </c>
      <c r="Z7" s="1">
        <f t="shared" si="3"/>
        <v>4.2921077516103197E-2</v>
      </c>
      <c r="AA7" s="1">
        <f t="shared" si="3"/>
        <v>3.4177490210006295E-2</v>
      </c>
      <c r="AB7" s="1">
        <f t="shared" si="3"/>
        <v>2.7238288454759212E-2</v>
      </c>
      <c r="AC7" s="1">
        <f t="shared" si="3"/>
        <v>2.1724395761727182E-2</v>
      </c>
      <c r="AD7" s="1">
        <f t="shared" si="3"/>
        <v>1.7338514588596185E-2</v>
      </c>
      <c r="AE7" s="1">
        <f t="shared" si="3"/>
        <v>1.3846730346166316E-2</v>
      </c>
      <c r="AF7" s="1">
        <f t="shared" si="3"/>
        <v>1.1064540303018603E-2</v>
      </c>
      <c r="AG7" s="1">
        <f t="shared" si="3"/>
        <v>8.8461296268382856E-3</v>
      </c>
      <c r="AH7" s="1">
        <f t="shared" si="3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4.3182503969914375E-2</v>
      </c>
      <c r="J8" t="s">
        <v>11</v>
      </c>
      <c r="K8" s="1">
        <f>M+f1_*flt1_ +f2_*flt2_ +f3_*flt3_</f>
        <v>0.15019034804419501</v>
      </c>
      <c r="L8" s="1">
        <f t="shared" ref="L8:AI8" si="4">M+f1_*flt1_ +f2_*flt2_ +f3_*flt3_</f>
        <v>0.15205222494415588</v>
      </c>
      <c r="M8" s="1">
        <f t="shared" si="4"/>
        <v>0.16286701572015258</v>
      </c>
      <c r="N8" s="1">
        <f t="shared" si="4"/>
        <v>0.20863075582624724</v>
      </c>
      <c r="O8" s="1">
        <f t="shared" si="4"/>
        <v>0.22141824215592046</v>
      </c>
      <c r="P8" s="1">
        <f t="shared" si="4"/>
        <v>0.20489813403794466</v>
      </c>
      <c r="Q8" s="1">
        <f t="shared" si="4"/>
        <v>0.19757305531829089</v>
      </c>
      <c r="R8" s="1">
        <f t="shared" si="4"/>
        <v>0.21645016430350286</v>
      </c>
      <c r="S8" s="1">
        <f t="shared" si="4"/>
        <v>0.2377441299830419</v>
      </c>
      <c r="T8" s="1">
        <f t="shared" si="4"/>
        <v>0.23801674971216077</v>
      </c>
      <c r="U8" s="1">
        <f t="shared" si="4"/>
        <v>0.23537003597598016</v>
      </c>
      <c r="V8" s="1">
        <f t="shared" si="4"/>
        <v>0.23311621763059101</v>
      </c>
      <c r="W8" s="1">
        <f t="shared" si="4"/>
        <v>0.23134940525545092</v>
      </c>
      <c r="X8" s="1">
        <f t="shared" si="4"/>
        <v>0.2299381411962752</v>
      </c>
      <c r="Y8" s="1">
        <f t="shared" si="4"/>
        <v>0.22877763620944408</v>
      </c>
      <c r="Z8" s="1">
        <f t="shared" si="4"/>
        <v>0.22779577629039113</v>
      </c>
      <c r="AA8" s="1">
        <f t="shared" si="4"/>
        <v>0.22694359912839474</v>
      </c>
      <c r="AB8" s="1">
        <f t="shared" si="4"/>
        <v>0.22618778952435659</v>
      </c>
      <c r="AC8" s="1">
        <f t="shared" si="4"/>
        <v>0.22550555390672217</v>
      </c>
      <c r="AD8" s="1">
        <f t="shared" si="4"/>
        <v>0.22488117514499245</v>
      </c>
      <c r="AE8" s="1">
        <f t="shared" si="4"/>
        <v>0.22430370117459633</v>
      </c>
      <c r="AF8" s="1">
        <f t="shared" si="4"/>
        <v>0.22376539443703686</v>
      </c>
      <c r="AG8" s="1">
        <f t="shared" si="4"/>
        <v>0.2232606914716356</v>
      </c>
      <c r="AH8" s="1">
        <f t="shared" si="4"/>
        <v>0.22278550454895091</v>
      </c>
      <c r="AI8" s="1">
        <f t="shared" si="4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0.86054415793688133</v>
      </c>
      <c r="L10" s="1">
        <f t="shared" si="5"/>
        <v>0.85894342129753243</v>
      </c>
      <c r="M10" s="1">
        <f t="shared" si="5"/>
        <v>0.84970417819971233</v>
      </c>
      <c r="N10" s="1">
        <f t="shared" si="5"/>
        <v>0.81169489392691652</v>
      </c>
      <c r="O10" s="1">
        <f t="shared" si="5"/>
        <v>0.80138143868836531</v>
      </c>
      <c r="P10" s="1">
        <f t="shared" si="5"/>
        <v>0.81473030547084502</v>
      </c>
      <c r="Q10" s="1">
        <f t="shared" si="5"/>
        <v>0.82072018046353545</v>
      </c>
      <c r="R10" s="1">
        <f t="shared" si="5"/>
        <v>0.80537267023053849</v>
      </c>
      <c r="S10" s="1">
        <f t="shared" si="5"/>
        <v>0.78840439433351228</v>
      </c>
      <c r="T10" s="1">
        <f t="shared" si="5"/>
        <v>0.78818948903613595</v>
      </c>
      <c r="U10" s="1">
        <f t="shared" si="5"/>
        <v>0.79027836409123475</v>
      </c>
      <c r="V10" s="1">
        <f t="shared" si="5"/>
        <v>0.79206151666235358</v>
      </c>
      <c r="W10" s="1">
        <f t="shared" si="5"/>
        <v>0.79346217774016603</v>
      </c>
      <c r="X10" s="1">
        <f t="shared" si="5"/>
        <v>0.79458275292168135</v>
      </c>
      <c r="Y10" s="1">
        <f t="shared" si="5"/>
        <v>0.79550540543676929</v>
      </c>
      <c r="Z10" s="1">
        <f t="shared" si="5"/>
        <v>0.79628686388834324</v>
      </c>
      <c r="AA10" s="1">
        <f t="shared" si="5"/>
        <v>0.79696573058441078</v>
      </c>
      <c r="AB10" s="1">
        <f t="shared" si="5"/>
        <v>0.79756831262763817</v>
      </c>
      <c r="AC10" s="1">
        <f t="shared" si="5"/>
        <v>0.79811262779249326</v>
      </c>
      <c r="AD10" s="1">
        <f t="shared" si="5"/>
        <v>0.79861110797077905</v>
      </c>
      <c r="AE10" s="1">
        <f t="shared" si="5"/>
        <v>0.79907241828263043</v>
      </c>
      <c r="AF10" s="1">
        <f t="shared" si="5"/>
        <v>0.79950268014522974</v>
      </c>
      <c r="AG10" s="1">
        <f t="shared" si="5"/>
        <v>0.79990629336257157</v>
      </c>
      <c r="AH10" s="1">
        <f t="shared" si="5"/>
        <v>0.80028648869732222</v>
      </c>
      <c r="AI10" s="1">
        <f t="shared" si="5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0.33333013034783815</v>
      </c>
      <c r="J11" t="s">
        <v>56</v>
      </c>
      <c r="K11" s="1">
        <f>1-sa</f>
        <v>0.13945584206311867</v>
      </c>
      <c r="L11" s="1">
        <f t="shared" ref="L11:AI11" si="6">1-sa</f>
        <v>0.14105657870246757</v>
      </c>
      <c r="M11" s="1">
        <f t="shared" si="6"/>
        <v>0.15029582180028767</v>
      </c>
      <c r="N11" s="1">
        <f t="shared" si="6"/>
        <v>0.18830510607308348</v>
      </c>
      <c r="O11" s="1">
        <f t="shared" si="6"/>
        <v>0.19861856131163469</v>
      </c>
      <c r="P11" s="1">
        <f t="shared" si="6"/>
        <v>0.18526969452915498</v>
      </c>
      <c r="Q11" s="1">
        <f t="shared" si="6"/>
        <v>0.17927981953646455</v>
      </c>
      <c r="R11" s="1">
        <f t="shared" si="6"/>
        <v>0.19462732976946151</v>
      </c>
      <c r="S11" s="1">
        <f t="shared" si="6"/>
        <v>0.21159560566648772</v>
      </c>
      <c r="T11" s="1">
        <f t="shared" si="6"/>
        <v>0.21181051096386405</v>
      </c>
      <c r="U11" s="1">
        <f t="shared" si="6"/>
        <v>0.20972163590876525</v>
      </c>
      <c r="V11" s="1">
        <f t="shared" si="6"/>
        <v>0.20793848333764642</v>
      </c>
      <c r="W11" s="1">
        <f t="shared" si="6"/>
        <v>0.20653782225983397</v>
      </c>
      <c r="X11" s="1">
        <f t="shared" si="6"/>
        <v>0.20541724707831865</v>
      </c>
      <c r="Y11" s="1">
        <f t="shared" si="6"/>
        <v>0.20449459456323071</v>
      </c>
      <c r="Z11" s="1">
        <f t="shared" si="6"/>
        <v>0.20371313611165676</v>
      </c>
      <c r="AA11" s="1">
        <f t="shared" si="6"/>
        <v>0.20303426941558922</v>
      </c>
      <c r="AB11" s="1">
        <f t="shared" si="6"/>
        <v>0.20243168737236183</v>
      </c>
      <c r="AC11" s="1">
        <f t="shared" si="6"/>
        <v>0.20188737220750674</v>
      </c>
      <c r="AD11" s="1">
        <f t="shared" si="6"/>
        <v>0.20138889202922095</v>
      </c>
      <c r="AE11" s="1">
        <f t="shared" si="6"/>
        <v>0.20092758171736957</v>
      </c>
      <c r="AF11" s="1">
        <f t="shared" si="6"/>
        <v>0.20049731985477026</v>
      </c>
      <c r="AG11" s="1">
        <f t="shared" si="6"/>
        <v>0.20009370663742843</v>
      </c>
      <c r="AH11" s="1">
        <f t="shared" si="6"/>
        <v>0.19971351130267778</v>
      </c>
      <c r="AI11" s="1">
        <f t="shared" si="6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0.33332967926696405</v>
      </c>
      <c r="J12" t="s">
        <v>83</v>
      </c>
      <c r="K12">
        <f t="shared" ref="K12:AI12" si="7">1/(1+EXP(($E18-len)/2.5))</f>
        <v>9.0219231636339836E-11</v>
      </c>
      <c r="L12">
        <f t="shared" si="7"/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0.33334019038519791</v>
      </c>
    </row>
    <row r="14" spans="1:35">
      <c r="A14" s="27" t="s">
        <v>49</v>
      </c>
      <c r="B14" s="30">
        <v>0.4</v>
      </c>
      <c r="C14" s="29">
        <f>spr</f>
        <v>0.40000041557191451</v>
      </c>
    </row>
    <row r="15" spans="1:35">
      <c r="A15" s="5"/>
      <c r="B15" s="26" t="s">
        <v>50</v>
      </c>
      <c r="C15" s="26">
        <f>SUMXMY2(B11:B14,C11:C14)</f>
        <v>3.2880677897346097E-13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8">((EXP(g*(ah-age)/gh)/(1+EXP((ah-age)/gh))) *(1/(1-g))*((1-g)/g)^g) *(sr+(1-sr)*dmr)</f>
        <v>6.2358484195451125E-14</v>
      </c>
      <c r="M18" s="4">
        <f t="shared" si="8"/>
        <v>3.6200651492535513E-10</v>
      </c>
      <c r="N18" s="4">
        <f t="shared" si="8"/>
        <v>5.9874058650038687E-7</v>
      </c>
      <c r="O18" s="4">
        <f t="shared" si="8"/>
        <v>2.2410083031335602E-4</v>
      </c>
      <c r="P18" s="4">
        <f t="shared" si="8"/>
        <v>6.2942398241139993E-3</v>
      </c>
      <c r="Q18" s="4">
        <f t="shared" si="8"/>
        <v>7.547885753086013E-2</v>
      </c>
      <c r="R18" s="4">
        <f t="shared" si="8"/>
        <v>0.49971319687174481</v>
      </c>
      <c r="S18" s="4">
        <f t="shared" si="8"/>
        <v>0.92410373927527512</v>
      </c>
      <c r="T18" s="4">
        <f t="shared" si="8"/>
        <v>0.99334260502214955</v>
      </c>
      <c r="U18" s="4">
        <f t="shared" si="8"/>
        <v>0.99948310172921173</v>
      </c>
      <c r="V18" s="4">
        <f t="shared" si="8"/>
        <v>0.99997342547539469</v>
      </c>
      <c r="W18" s="4">
        <f t="shared" si="8"/>
        <v>0.99999311084931608</v>
      </c>
      <c r="X18" s="4">
        <f t="shared" si="8"/>
        <v>0.99997286471456404</v>
      </c>
      <c r="Y18" s="4">
        <f t="shared" si="8"/>
        <v>0.99994881109245382</v>
      </c>
      <c r="Z18" s="4">
        <f t="shared" si="8"/>
        <v>0.99992420037026464</v>
      </c>
      <c r="AA18" s="4">
        <f t="shared" si="8"/>
        <v>0.99989942033135415</v>
      </c>
      <c r="AB18" s="4">
        <f t="shared" si="8"/>
        <v>0.99987455907897871</v>
      </c>
      <c r="AC18" s="4">
        <f t="shared" si="8"/>
        <v>0.99984965215123045</v>
      </c>
      <c r="AD18" s="4">
        <f t="shared" si="8"/>
        <v>0.99982471769063697</v>
      </c>
      <c r="AE18" s="4">
        <f t="shared" si="8"/>
        <v>0.99979976586142616</v>
      </c>
      <c r="AF18" s="4">
        <f t="shared" si="8"/>
        <v>0.99977480269273089</v>
      </c>
      <c r="AG18" s="4">
        <f t="shared" si="8"/>
        <v>0.99974983192724243</v>
      </c>
      <c r="AH18" s="4">
        <f t="shared" si="8"/>
        <v>0.99972485598014738</v>
      </c>
      <c r="AI18" s="4">
        <f t="shared" si="8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9">(EXP(g*(ah-age)/gh)/(1+EXP((ah-age)/gh))) *(1/(1-g))*((1-g)/g)^g</f>
        <v>3.2067293740165511E-26</v>
      </c>
      <c r="L19" s="4">
        <f t="shared" si="9"/>
        <v>1.042879559395233E-17</v>
      </c>
      <c r="M19" s="4">
        <f t="shared" si="9"/>
        <v>3.3916107232972742E-9</v>
      </c>
      <c r="N19" s="4">
        <f t="shared" si="9"/>
        <v>0.55150296322207493</v>
      </c>
      <c r="O19" s="4">
        <f t="shared" si="9"/>
        <v>0.73936698186767658</v>
      </c>
      <c r="P19" s="4">
        <f t="shared" si="9"/>
        <v>0.49561251034430615</v>
      </c>
      <c r="Q19" s="4">
        <f t="shared" si="9"/>
        <v>0.33221900074983407</v>
      </c>
      <c r="R19" s="4">
        <f t="shared" si="9"/>
        <v>0.22269305587654287</v>
      </c>
      <c r="S19" s="4">
        <f t="shared" si="9"/>
        <v>0.1492756194669814</v>
      </c>
      <c r="T19" s="4">
        <f t="shared" si="9"/>
        <v>0.10006244011310554</v>
      </c>
      <c r="U19" s="4">
        <f t="shared" ref="U19:AI20" si="10">(EXP(g*(ah-age)/gh)/(1+EXP((ah-age)/gh))) *(1/(1-g))*((1-g)/g)^g</f>
        <v>6.7073859463055288E-2</v>
      </c>
      <c r="V19" s="4">
        <f t="shared" si="10"/>
        <v>4.4960952563063247E-2</v>
      </c>
      <c r="W19" s="4">
        <f t="shared" si="10"/>
        <v>3.013822779187875E-2</v>
      </c>
      <c r="X19" s="4">
        <f t="shared" si="10"/>
        <v>2.020225824088474E-2</v>
      </c>
      <c r="Y19" s="4">
        <f t="shared" si="10"/>
        <v>1.3541978674053741E-2</v>
      </c>
      <c r="Z19" s="4">
        <f t="shared" si="10"/>
        <v>9.0774597682053461E-3</v>
      </c>
      <c r="AA19" s="4">
        <f t="shared" si="10"/>
        <v>6.0848032497100683E-3</v>
      </c>
      <c r="AB19" s="4">
        <f t="shared" si="10"/>
        <v>4.07876559446346E-3</v>
      </c>
      <c r="AC19" s="4">
        <f t="shared" si="10"/>
        <v>2.734078341049332E-3</v>
      </c>
      <c r="AD19" s="4">
        <f t="shared" si="10"/>
        <v>1.832707519437232E-3</v>
      </c>
      <c r="AE19" s="4">
        <f t="shared" si="10"/>
        <v>1.2285005887990271E-3</v>
      </c>
      <c r="AF19" s="4">
        <f t="shared" si="10"/>
        <v>8.2348857123857417E-4</v>
      </c>
      <c r="AG19" s="4">
        <f t="shared" si="10"/>
        <v>5.5200089698246365E-4</v>
      </c>
      <c r="AH19" s="4">
        <f t="shared" si="10"/>
        <v>3.7001726667699921E-4</v>
      </c>
      <c r="AI19" s="4">
        <f t="shared" si="10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9"/>
        <v>8.1586526895818766E-3</v>
      </c>
      <c r="L20" s="4">
        <f t="shared" si="9"/>
        <v>8.7961978443441266E-2</v>
      </c>
      <c r="M20" s="4">
        <f t="shared" si="9"/>
        <v>0.55150296322207493</v>
      </c>
      <c r="N20" s="4">
        <f t="shared" si="9"/>
        <v>0.96962040317224751</v>
      </c>
      <c r="O20" s="4">
        <f t="shared" si="9"/>
        <v>0.99136129470144307</v>
      </c>
      <c r="P20" s="4">
        <f t="shared" si="9"/>
        <v>0.94884120969175767</v>
      </c>
      <c r="Q20" s="4">
        <f t="shared" si="9"/>
        <v>0.90302387558657016</v>
      </c>
      <c r="R20" s="4">
        <f t="shared" si="9"/>
        <v>0.85901867798242304</v>
      </c>
      <c r="S20" s="4">
        <f t="shared" si="9"/>
        <v>0.81712663786881001</v>
      </c>
      <c r="T20" s="4">
        <f t="shared" si="9"/>
        <v>0.77727511973697594</v>
      </c>
      <c r="U20" s="4">
        <f t="shared" si="10"/>
        <v>0.73936698186767658</v>
      </c>
      <c r="V20" s="4">
        <f t="shared" si="10"/>
        <v>0.70330762998745233</v>
      </c>
      <c r="W20" s="4">
        <f t="shared" si="10"/>
        <v>0.66900691222382347</v>
      </c>
      <c r="X20" s="4">
        <f t="shared" si="10"/>
        <v>0.63637906010977985</v>
      </c>
      <c r="Y20" s="4">
        <f t="shared" si="10"/>
        <v>0.60534248711316452</v>
      </c>
      <c r="Z20" s="4">
        <f t="shared" si="10"/>
        <v>0.57581958564253577</v>
      </c>
      <c r="AA20" s="4">
        <f t="shared" si="10"/>
        <v>0.54773653306699277</v>
      </c>
      <c r="AB20" s="4">
        <f t="shared" si="10"/>
        <v>0.52102310712733224</v>
      </c>
      <c r="AC20" s="4">
        <f t="shared" si="10"/>
        <v>0.49561251034430615</v>
      </c>
      <c r="AD20" s="4">
        <f t="shared" si="10"/>
        <v>0.47144120299016851</v>
      </c>
      <c r="AE20" s="4">
        <f t="shared" si="10"/>
        <v>0.4484487442062623</v>
      </c>
      <c r="AF20" s="4">
        <f t="shared" si="10"/>
        <v>0.42657764086939076</v>
      </c>
      <c r="AG20" s="4">
        <f t="shared" si="10"/>
        <v>0.40577320382906285</v>
      </c>
      <c r="AH20" s="4">
        <f t="shared" si="10"/>
        <v>0.38598341115613044</v>
      </c>
      <c r="AI20" s="4">
        <f t="shared" si="10"/>
        <v>0.36715877806086844</v>
      </c>
    </row>
    <row r="21" spans="1:35">
      <c r="A21" t="s">
        <v>42</v>
      </c>
      <c r="B21" s="1">
        <f>Bo/phie</f>
        <v>4.523096855227565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1">wa*flt1_*(1-EXP(-za))/za</f>
        <v>2.9739573029979386E-19</v>
      </c>
      <c r="L22" s="1">
        <f t="shared" si="11"/>
        <v>4.7566720307991079E-14</v>
      </c>
      <c r="M22" s="1">
        <f t="shared" si="11"/>
        <v>6.8265808286299817E-10</v>
      </c>
      <c r="N22" s="1">
        <f t="shared" si="11"/>
        <v>1.9515309427523716E-6</v>
      </c>
      <c r="O22" s="1">
        <f t="shared" si="11"/>
        <v>1.0699798265253308E-3</v>
      </c>
      <c r="P22" s="1">
        <f t="shared" si="11"/>
        <v>3.9974727990773846E-2</v>
      </c>
      <c r="Q22" s="1">
        <f t="shared" si="11"/>
        <v>0.59017376445759362</v>
      </c>
      <c r="R22" s="1">
        <f t="shared" si="11"/>
        <v>4.515474949943548</v>
      </c>
      <c r="S22" s="1">
        <f t="shared" si="11"/>
        <v>9.2945790214587749</v>
      </c>
      <c r="T22" s="1">
        <f t="shared" si="11"/>
        <v>10.936304645711866</v>
      </c>
      <c r="U22" s="1">
        <f t="shared" si="11"/>
        <v>11.821315986696588</v>
      </c>
      <c r="V22" s="1">
        <f t="shared" si="11"/>
        <v>12.509861259919754</v>
      </c>
      <c r="W22" s="1">
        <f t="shared" si="11"/>
        <v>13.073957972122207</v>
      </c>
      <c r="X22" s="1">
        <f t="shared" si="11"/>
        <v>13.536143744846877</v>
      </c>
      <c r="Y22" s="1">
        <f t="shared" si="11"/>
        <v>13.913196915323963</v>
      </c>
      <c r="Z22" s="1">
        <f t="shared" si="11"/>
        <v>14.219658193759852</v>
      </c>
      <c r="AA22" s="1">
        <f t="shared" si="11"/>
        <v>14.468046113613227</v>
      </c>
      <c r="AB22" s="1">
        <f t="shared" si="11"/>
        <v>14.668956022171773</v>
      </c>
      <c r="AC22" s="1">
        <f t="shared" si="11"/>
        <v>14.831234706526423</v>
      </c>
      <c r="AD22" s="1">
        <f t="shared" si="11"/>
        <v>14.962194480263749</v>
      </c>
      <c r="AE22" s="1">
        <f t="shared" si="11"/>
        <v>15.067833519934302</v>
      </c>
      <c r="AF22" s="1">
        <f t="shared" si="11"/>
        <v>15.15304371714875</v>
      </c>
      <c r="AG22" s="1">
        <f t="shared" si="11"/>
        <v>15.221797149512502</v>
      </c>
      <c r="AH22" s="1">
        <f t="shared" si="11"/>
        <v>15.277308111946956</v>
      </c>
      <c r="AI22" s="1">
        <f t="shared" si="11"/>
        <v>15.322170899455505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4.2084387885866023E-27</v>
      </c>
      <c r="L23" s="1">
        <f t="shared" si="12"/>
        <v>7.9550298498584524E-18</v>
      </c>
      <c r="M23" s="1">
        <f t="shared" si="12"/>
        <v>6.3957701829236836E-9</v>
      </c>
      <c r="N23" s="1">
        <f t="shared" si="12"/>
        <v>1.7975649588718952</v>
      </c>
      <c r="O23" s="1">
        <f t="shared" si="12"/>
        <v>3.530142007466651</v>
      </c>
      <c r="P23" s="1">
        <f t="shared" si="12"/>
        <v>3.1476359089363162</v>
      </c>
      <c r="Q23" s="1">
        <f t="shared" si="12"/>
        <v>2.5976405143215922</v>
      </c>
      <c r="R23" s="1">
        <f t="shared" si="12"/>
        <v>2.0122840894173817</v>
      </c>
      <c r="S23" s="1">
        <f t="shared" si="12"/>
        <v>1.5014050719036953</v>
      </c>
      <c r="T23" s="1">
        <f t="shared" si="12"/>
        <v>1.1016474307430117</v>
      </c>
      <c r="U23" s="1">
        <f t="shared" si="12"/>
        <v>0.79331134842425288</v>
      </c>
      <c r="V23" s="1">
        <f t="shared" si="12"/>
        <v>0.56247022605661667</v>
      </c>
      <c r="W23" s="1">
        <f t="shared" si="12"/>
        <v>0.39402863802792937</v>
      </c>
      <c r="X23" s="1">
        <f t="shared" si="12"/>
        <v>0.27346809215387141</v>
      </c>
      <c r="Y23" s="1">
        <f t="shared" si="12"/>
        <v>0.1884218610244511</v>
      </c>
      <c r="Z23" s="1">
        <f t="shared" si="12"/>
        <v>0.12908816000621823</v>
      </c>
      <c r="AA23" s="1">
        <f t="shared" si="12"/>
        <v>8.8044069452400647E-2</v>
      </c>
      <c r="AB23" s="1">
        <f t="shared" si="12"/>
        <v>5.9838739356509435E-2</v>
      </c>
      <c r="AC23" s="1">
        <f t="shared" si="12"/>
        <v>4.0555855067697488E-2</v>
      </c>
      <c r="AD23" s="1">
        <f t="shared" si="12"/>
        <v>2.7426133647304219E-2</v>
      </c>
      <c r="AE23" s="1">
        <f t="shared" si="12"/>
        <v>1.8514549596054457E-2</v>
      </c>
      <c r="AF23" s="1">
        <f t="shared" si="12"/>
        <v>1.2481169046211254E-2</v>
      </c>
      <c r="AG23" s="1">
        <f t="shared" si="12"/>
        <v>8.4045482298490681E-3</v>
      </c>
      <c r="AH23" s="1">
        <f t="shared" si="12"/>
        <v>5.6544235705961237E-3</v>
      </c>
      <c r="AI23" s="1">
        <f t="shared" si="12"/>
        <v>3.8014988331365367E-3</v>
      </c>
    </row>
    <row r="24" spans="1:35">
      <c r="B24" s="1"/>
      <c r="J24" s="8" t="s">
        <v>25</v>
      </c>
      <c r="K24" s="1">
        <f t="shared" ref="K24:AI24" si="13">wa*flt3_*(1-EXP(-za))/za</f>
        <v>1.070723046342905E-3</v>
      </c>
      <c r="L24" s="1">
        <f t="shared" si="13"/>
        <v>6.7096929637393707E-2</v>
      </c>
      <c r="M24" s="1">
        <f t="shared" si="13"/>
        <v>1.0400032597315967</v>
      </c>
      <c r="N24" s="1">
        <f t="shared" si="13"/>
        <v>3.1603740621205541</v>
      </c>
      <c r="O24" s="1">
        <f t="shared" si="13"/>
        <v>4.7333005622753337</v>
      </c>
      <c r="P24" s="1">
        <f t="shared" si="13"/>
        <v>6.0260921610504319</v>
      </c>
      <c r="Q24" s="1">
        <f t="shared" si="13"/>
        <v>7.0607984471958209</v>
      </c>
      <c r="R24" s="1">
        <f t="shared" si="13"/>
        <v>7.7622070944802317</v>
      </c>
      <c r="S24" s="1">
        <f t="shared" si="13"/>
        <v>8.218609863181392</v>
      </c>
      <c r="T24" s="1">
        <f t="shared" si="13"/>
        <v>8.5574880811502023</v>
      </c>
      <c r="U24" s="1">
        <f t="shared" si="13"/>
        <v>8.7448109004207684</v>
      </c>
      <c r="V24" s="1">
        <f t="shared" si="13"/>
        <v>8.7985146905311407</v>
      </c>
      <c r="W24" s="1">
        <f t="shared" si="13"/>
        <v>8.7466285103153005</v>
      </c>
      <c r="X24" s="1">
        <f t="shared" si="13"/>
        <v>8.6143521867619643</v>
      </c>
      <c r="Y24" s="1">
        <f t="shared" si="13"/>
        <v>8.4226803722242813</v>
      </c>
      <c r="Z24" s="1">
        <f t="shared" si="13"/>
        <v>8.1885783803185728</v>
      </c>
      <c r="AA24" s="1">
        <f t="shared" si="13"/>
        <v>7.9254745601290066</v>
      </c>
      <c r="AB24" s="1">
        <f t="shared" si="13"/>
        <v>7.6438238932954272</v>
      </c>
      <c r="AC24" s="1">
        <f t="shared" si="13"/>
        <v>7.351650769285226</v>
      </c>
      <c r="AD24" s="1">
        <f t="shared" si="13"/>
        <v>7.0550315873776661</v>
      </c>
      <c r="AE24" s="1">
        <f t="shared" si="13"/>
        <v>6.7585043032107635</v>
      </c>
      <c r="AF24" s="1">
        <f t="shared" si="13"/>
        <v>6.4654056327909641</v>
      </c>
      <c r="AG24" s="1">
        <f t="shared" si="13"/>
        <v>6.1781429715141885</v>
      </c>
      <c r="AH24" s="1">
        <f t="shared" si="13"/>
        <v>5.8984104106836455</v>
      </c>
      <c r="AI24" s="1">
        <f t="shared" si="13"/>
        <v>5.6273584474047418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2.1041210104064893E-18</v>
      </c>
      <c r="L26">
        <f t="shared" ref="L26:AI26" si="14">qa1_/wa</f>
        <v>5.7849034678136147E-14</v>
      </c>
      <c r="M26">
        <f t="shared" si="14"/>
        <v>3.3406436789663662E-10</v>
      </c>
      <c r="N26">
        <f t="shared" si="14"/>
        <v>5.404088635192076E-7</v>
      </c>
      <c r="O26">
        <f t="shared" si="14"/>
        <v>2.0102492040487637E-4</v>
      </c>
      <c r="P26">
        <f t="shared" si="14"/>
        <v>5.6912762772690223E-3</v>
      </c>
      <c r="Q26">
        <f t="shared" si="14"/>
        <v>6.8490290516342353E-2</v>
      </c>
      <c r="R26">
        <f t="shared" si="14"/>
        <v>0.44933135288054382</v>
      </c>
      <c r="S26">
        <f t="shared" si="14"/>
        <v>0.82246527148563187</v>
      </c>
      <c r="T26">
        <f t="shared" si="14"/>
        <v>0.88397310267600659</v>
      </c>
      <c r="U26">
        <f t="shared" si="14"/>
        <v>0.89056888778828436</v>
      </c>
      <c r="V26">
        <f t="shared" si="14"/>
        <v>0.89197122184268951</v>
      </c>
      <c r="W26">
        <f t="shared" si="14"/>
        <v>0.89274661917371934</v>
      </c>
      <c r="X26">
        <f t="shared" si="14"/>
        <v>0.89333449402527043</v>
      </c>
      <c r="Y26">
        <f t="shared" si="14"/>
        <v>0.89381169460607746</v>
      </c>
      <c r="Z26">
        <f t="shared" si="14"/>
        <v>0.89421190352404112</v>
      </c>
      <c r="AA26">
        <f t="shared" si="14"/>
        <v>0.89455639672477094</v>
      </c>
      <c r="AB26">
        <f t="shared" si="14"/>
        <v>0.89485950846722551</v>
      </c>
      <c r="AC26">
        <f t="shared" si="14"/>
        <v>0.89513103060378496</v>
      </c>
      <c r="AD26">
        <f t="shared" si="14"/>
        <v>0.89537771220433626</v>
      </c>
      <c r="AE26">
        <f t="shared" si="14"/>
        <v>0.89560425487477568</v>
      </c>
      <c r="AF26">
        <f t="shared" si="14"/>
        <v>0.89581397920145145</v>
      </c>
      <c r="AG26">
        <f t="shared" si="14"/>
        <v>0.8960092717704532</v>
      </c>
      <c r="AH26">
        <f t="shared" si="14"/>
        <v>0.8961918852332228</v>
      </c>
      <c r="AI26">
        <f t="shared" si="14"/>
        <v>0.89636313986310778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5">qa2_/wa</f>
        <v>2.9775358466472383E-26</v>
      </c>
      <c r="L27">
        <f t="shared" si="15"/>
        <v>9.6746379542328688E-18</v>
      </c>
      <c r="M27">
        <f t="shared" si="15"/>
        <v>3.1298229333341796E-9</v>
      </c>
      <c r="N27">
        <f t="shared" si="15"/>
        <v>0.49777332003552804</v>
      </c>
      <c r="O27">
        <f t="shared" si="15"/>
        <v>0.66323354747108754</v>
      </c>
      <c r="P27">
        <f t="shared" si="15"/>
        <v>0.44813477110198058</v>
      </c>
      <c r="Q27">
        <f t="shared" si="15"/>
        <v>0.3014589332794555</v>
      </c>
      <c r="R27">
        <f t="shared" si="15"/>
        <v>0.20024080352593016</v>
      </c>
      <c r="S27">
        <f t="shared" si="15"/>
        <v>0.1328573921661455</v>
      </c>
      <c r="T27">
        <f t="shared" si="15"/>
        <v>8.9045315484219748E-2</v>
      </c>
      <c r="U27">
        <f t="shared" si="15"/>
        <v>5.9764784735564687E-2</v>
      </c>
      <c r="V27">
        <f t="shared" si="15"/>
        <v>4.0104941562643076E-2</v>
      </c>
      <c r="W27">
        <f t="shared" si="15"/>
        <v>2.6905986328481298E-2</v>
      </c>
      <c r="X27">
        <f t="shared" si="15"/>
        <v>1.8047863877726448E-2</v>
      </c>
      <c r="Y27">
        <f t="shared" si="15"/>
        <v>1.210459852815028E-2</v>
      </c>
      <c r="Z27">
        <f t="shared" si="15"/>
        <v>8.1177879038071814E-3</v>
      </c>
      <c r="AA27">
        <f t="shared" si="15"/>
        <v>5.4437472001293962E-3</v>
      </c>
      <c r="AB27">
        <f t="shared" si="15"/>
        <v>3.6503800820541729E-3</v>
      </c>
      <c r="AC27">
        <f t="shared" si="15"/>
        <v>2.4477263735696183E-3</v>
      </c>
      <c r="AD27">
        <f t="shared" si="15"/>
        <v>1.6412531485355177E-3</v>
      </c>
      <c r="AE27">
        <f t="shared" si="15"/>
        <v>1.1004707062484674E-3</v>
      </c>
      <c r="AF27">
        <f t="shared" si="15"/>
        <v>7.3785873762900408E-4</v>
      </c>
      <c r="AG27">
        <f t="shared" si="15"/>
        <v>4.947216852924551E-4</v>
      </c>
      <c r="AH27">
        <f t="shared" si="15"/>
        <v>3.3169773644068441E-4</v>
      </c>
      <c r="AI27">
        <f t="shared" si="15"/>
        <v>2.223916867013471E-4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6">qa3_/wa</f>
        <v>7.5755319548987798E-3</v>
      </c>
      <c r="L28">
        <f t="shared" si="16"/>
        <v>8.1601013991666138E-2</v>
      </c>
      <c r="M28">
        <f t="shared" si="16"/>
        <v>0.5089341799273801</v>
      </c>
      <c r="N28">
        <f t="shared" si="16"/>
        <v>0.87515607249219196</v>
      </c>
      <c r="O28">
        <f t="shared" si="16"/>
        <v>0.88927972770637032</v>
      </c>
      <c r="P28">
        <f t="shared" si="16"/>
        <v>0.85794593445985878</v>
      </c>
      <c r="Q28">
        <f t="shared" si="16"/>
        <v>0.8194131390612317</v>
      </c>
      <c r="R28">
        <f t="shared" si="16"/>
        <v>0.77241110929988921</v>
      </c>
      <c r="S28">
        <f t="shared" si="16"/>
        <v>0.72725415285081685</v>
      </c>
      <c r="T28">
        <f t="shared" si="16"/>
        <v>0.69169518729284596</v>
      </c>
      <c r="U28">
        <f t="shared" si="16"/>
        <v>0.65879776213332319</v>
      </c>
      <c r="V28">
        <f t="shared" si="16"/>
        <v>0.62734683749516318</v>
      </c>
      <c r="W28">
        <f t="shared" si="16"/>
        <v>0.59725777369046762</v>
      </c>
      <c r="X28">
        <f t="shared" si="16"/>
        <v>0.56851479248261594</v>
      </c>
      <c r="Y28">
        <f t="shared" si="16"/>
        <v>0.54108989202413216</v>
      </c>
      <c r="Z28">
        <f t="shared" si="16"/>
        <v>0.5149437603102025</v>
      </c>
      <c r="AA28">
        <f t="shared" si="16"/>
        <v>0.49003050648089563</v>
      </c>
      <c r="AB28">
        <f t="shared" si="16"/>
        <v>0.46630097476777899</v>
      </c>
      <c r="AC28">
        <f t="shared" si="16"/>
        <v>0.44370484723389797</v>
      </c>
      <c r="AD28">
        <f t="shared" si="16"/>
        <v>0.42219194855193387</v>
      </c>
      <c r="AE28">
        <f t="shared" si="16"/>
        <v>0.40171304006891051</v>
      </c>
      <c r="AF28">
        <f t="shared" si="16"/>
        <v>0.3822202888854172</v>
      </c>
      <c r="AG28">
        <f t="shared" si="16"/>
        <v>0.36366753087216502</v>
      </c>
      <c r="AH28">
        <f t="shared" si="16"/>
        <v>0.34601040360612179</v>
      </c>
      <c r="AI28">
        <f t="shared" si="16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-59.314666812404212</v>
      </c>
      <c r="H31">
        <f>Ro/(reck-1)*phie/phif^2*dphif</f>
        <v>-6.8947782059044318</v>
      </c>
      <c r="J31" s="8" t="s">
        <v>52</v>
      </c>
      <c r="K31">
        <v>0</v>
      </c>
      <c r="L31">
        <f t="shared" ref="L31:AH31" si="17">K31*sa-K$7*K18*K$10</f>
        <v>-1.9500654369111785E-18</v>
      </c>
      <c r="M31">
        <f t="shared" si="17"/>
        <v>-4.6094475784261112E-14</v>
      </c>
      <c r="N31">
        <f t="shared" si="17"/>
        <v>-2.274014970811165E-10</v>
      </c>
      <c r="O31">
        <f t="shared" si="17"/>
        <v>-3.0541910045634833E-7</v>
      </c>
      <c r="P31">
        <f t="shared" si="17"/>
        <v>-9.1803615803591715E-5</v>
      </c>
      <c r="Q31">
        <f t="shared" si="17"/>
        <v>-2.1703966752147975E-3</v>
      </c>
      <c r="R31">
        <f t="shared" si="17"/>
        <v>-2.2367180799586661E-2</v>
      </c>
      <c r="S31">
        <f t="shared" si="17"/>
        <v>-0.1275765412037814</v>
      </c>
      <c r="T31">
        <f t="shared" si="17"/>
        <v>-0.26084698813547863</v>
      </c>
      <c r="U31">
        <f t="shared" si="17"/>
        <v>-0.34194873710106116</v>
      </c>
      <c r="V31">
        <f t="shared" si="17"/>
        <v>-0.37883322161542476</v>
      </c>
      <c r="W31">
        <f t="shared" si="17"/>
        <v>-0.38616555579588008</v>
      </c>
      <c r="X31">
        <f t="shared" si="17"/>
        <v>-0.3747429264546957</v>
      </c>
      <c r="Y31">
        <f t="shared" si="17"/>
        <v>-0.35206303583852089</v>
      </c>
      <c r="Z31">
        <f t="shared" si="17"/>
        <v>-0.32326205113189965</v>
      </c>
      <c r="AA31">
        <f t="shared" si="17"/>
        <v>-0.29180367631945264</v>
      </c>
      <c r="AB31">
        <f t="shared" si="17"/>
        <v>-0.25996891457737931</v>
      </c>
      <c r="AC31">
        <f t="shared" si="17"/>
        <v>-0.22920614419122862</v>
      </c>
      <c r="AD31">
        <f t="shared" si="17"/>
        <v>-0.20038248054649416</v>
      </c>
      <c r="AE31">
        <f t="shared" si="17"/>
        <v>-0.17396441657105335</v>
      </c>
      <c r="AF31">
        <f t="shared" si="17"/>
        <v>-0.15014734210278069</v>
      </c>
      <c r="AG31">
        <f t="shared" si="17"/>
        <v>-0.12894794138194385</v>
      </c>
      <c r="AH31">
        <f t="shared" si="17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-23.285585377518665</v>
      </c>
      <c r="H32">
        <f>Ro/(reck-1)*phie/phif^2*dphif</f>
        <v>-2.706732671708572</v>
      </c>
      <c r="J32" s="8" t="s">
        <v>53</v>
      </c>
      <c r="K32">
        <v>0</v>
      </c>
      <c r="L32">
        <f t="shared" ref="L32:AH32" si="18">K32*sa-K$7*K19*K$10</f>
        <v>-2.7595322288945356E-26</v>
      </c>
      <c r="M32">
        <f t="shared" si="18"/>
        <v>-7.7085354677206983E-18</v>
      </c>
      <c r="N32">
        <f t="shared" si="18"/>
        <v>-2.1301563108275772E-9</v>
      </c>
      <c r="O32">
        <f t="shared" si="18"/>
        <v>-0.28115521214775141</v>
      </c>
      <c r="P32">
        <f t="shared" si="18"/>
        <v>-0.53112873187347776</v>
      </c>
      <c r="Q32">
        <f t="shared" si="18"/>
        <v>-0.60087378484421405</v>
      </c>
      <c r="R32">
        <f t="shared" si="18"/>
        <v>-0.57468241969814415</v>
      </c>
      <c r="S32">
        <f t="shared" si="18"/>
        <v>-0.50207695884694759</v>
      </c>
      <c r="T32">
        <f t="shared" si="18"/>
        <v>-0.42162472106143362</v>
      </c>
      <c r="U32">
        <f t="shared" si="18"/>
        <v>-0.34688115009233356</v>
      </c>
      <c r="V32">
        <f t="shared" si="18"/>
        <v>-0.2819981804652566</v>
      </c>
      <c r="W32">
        <f t="shared" si="18"/>
        <v>-0.22760255865280968</v>
      </c>
      <c r="X32">
        <f t="shared" si="18"/>
        <v>-0.18289554081003426</v>
      </c>
      <c r="Y32">
        <f t="shared" si="18"/>
        <v>-0.14658439360741526</v>
      </c>
      <c r="Z32">
        <f t="shared" si="18"/>
        <v>-0.1173044633970137</v>
      </c>
      <c r="AA32">
        <f t="shared" si="18"/>
        <v>-9.3797882164372862E-2</v>
      </c>
      <c r="AB32">
        <f t="shared" si="18"/>
        <v>-7.497595823199095E-2</v>
      </c>
      <c r="AC32">
        <f t="shared" si="18"/>
        <v>-5.9927867763787952E-2</v>
      </c>
      <c r="AD32">
        <f t="shared" si="18"/>
        <v>-4.7906465730367678E-2</v>
      </c>
      <c r="AE32">
        <f t="shared" si="18"/>
        <v>-3.8306112429363902E-2</v>
      </c>
      <c r="AF32">
        <f t="shared" si="18"/>
        <v>-3.0639432347497986E-2</v>
      </c>
      <c r="AG32">
        <f t="shared" si="18"/>
        <v>-2.4515959446467783E-2</v>
      </c>
      <c r="AH32">
        <f t="shared" si="18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22.108746109300114</v>
      </c>
      <c r="G33">
        <f>SUMPRODUCT(dlz3_,wa,ma)</f>
        <v>-82.56527018491343</v>
      </c>
      <c r="H33">
        <f>Ro/(reck-1)*phie/phif^2*dphif</f>
        <v>-9.5974445449721948</v>
      </c>
      <c r="J33" s="8" t="s">
        <v>54</v>
      </c>
      <c r="K33">
        <v>0</v>
      </c>
      <c r="L33">
        <f t="shared" ref="L33:AH33" si="19">K33*sa-K$7*K20*K$10</f>
        <v>-7.0208809086557081E-3</v>
      </c>
      <c r="M33">
        <f t="shared" si="19"/>
        <v>-7.0983537278007033E-2</v>
      </c>
      <c r="N33">
        <f t="shared" si="19"/>
        <v>-0.40399738511546845</v>
      </c>
      <c r="O33">
        <f t="shared" si="19"/>
        <v>-0.81806672873651354</v>
      </c>
      <c r="P33">
        <f t="shared" si="19"/>
        <v>-1.0715172789648963</v>
      </c>
      <c r="Q33">
        <f t="shared" si="19"/>
        <v>-1.1952397420202971</v>
      </c>
      <c r="R33">
        <f t="shared" si="19"/>
        <v>-1.2093001489592852</v>
      </c>
      <c r="S33">
        <f t="shared" si="19"/>
        <v>-1.1424106928609778</v>
      </c>
      <c r="T33">
        <f t="shared" si="19"/>
        <v>-1.0421726450711921</v>
      </c>
      <c r="U33">
        <f t="shared" si="19"/>
        <v>-0.92987336043702995</v>
      </c>
      <c r="V33">
        <f t="shared" si="19"/>
        <v>-0.81640153939359783</v>
      </c>
      <c r="W33">
        <f t="shared" si="19"/>
        <v>-0.70797140158372052</v>
      </c>
      <c r="X33">
        <f t="shared" si="19"/>
        <v>-0.60796937728938438</v>
      </c>
      <c r="Y33">
        <f t="shared" si="19"/>
        <v>-0.51797842486779666</v>
      </c>
      <c r="Z33">
        <f t="shared" si="19"/>
        <v>-0.43844136731297645</v>
      </c>
      <c r="AA33">
        <f t="shared" si="19"/>
        <v>-0.36910281287004193</v>
      </c>
      <c r="AB33">
        <f t="shared" si="19"/>
        <v>-0.30930411333176278</v>
      </c>
      <c r="AC33">
        <f t="shared" si="19"/>
        <v>-0.25817843085847925</v>
      </c>
      <c r="AD33">
        <f t="shared" si="19"/>
        <v>-0.2147773474629428</v>
      </c>
      <c r="AE33">
        <f t="shared" si="19"/>
        <v>-0.17815057364141959</v>
      </c>
      <c r="AF33">
        <f t="shared" si="19"/>
        <v>-0.14739374029983335</v>
      </c>
      <c r="AG33">
        <f t="shared" si="19"/>
        <v>-0.12167474157512667</v>
      </c>
      <c r="AH33">
        <f t="shared" si="19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8.8435076314939938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229.37074646477896</v>
      </c>
      <c r="H35" s="1">
        <f>SUM(dqa12_)</f>
        <v>235.24178508257899</v>
      </c>
      <c r="I35" s="11">
        <f>SUM(dqa13_)</f>
        <v>231.02148054909264</v>
      </c>
      <c r="J35" s="8" t="s">
        <v>62</v>
      </c>
      <c r="K35">
        <f>flt1_*qa1_+lz*wa*flt1_^2/za*(sa-oa/za)</f>
        <v>3.4539343584450578E-37</v>
      </c>
      <c r="L35">
        <f t="shared" ref="L35:AI35" si="20">flt1_*qa1_+lz*wa*flt1_^2/za*(sa-oa/za)</f>
        <v>1.7222512297869155E-27</v>
      </c>
      <c r="M35">
        <f t="shared" si="20"/>
        <v>1.5827184414131404E-19</v>
      </c>
      <c r="N35">
        <f t="shared" si="20"/>
        <v>8.1427513292822552E-13</v>
      </c>
      <c r="O35">
        <f t="shared" si="20"/>
        <v>1.8091649834391212E-7</v>
      </c>
      <c r="P35">
        <f t="shared" si="20"/>
        <v>2.0196764920302695E-4</v>
      </c>
      <c r="Q35">
        <f t="shared" si="20"/>
        <v>3.7376045215689699E-2</v>
      </c>
      <c r="R35">
        <f t="shared" si="20"/>
        <v>1.9593464818112465</v>
      </c>
      <c r="S35">
        <f t="shared" si="20"/>
        <v>7.6817066218441301</v>
      </c>
      <c r="T35">
        <f t="shared" si="20"/>
        <v>9.9586615012633892</v>
      </c>
      <c r="U35">
        <f t="shared" si="20"/>
        <v>11.039189108084571</v>
      </c>
      <c r="V35">
        <f t="shared" si="20"/>
        <v>11.859967745707765</v>
      </c>
      <c r="W35">
        <f t="shared" si="20"/>
        <v>12.536001131974876</v>
      </c>
      <c r="X35">
        <f t="shared" si="20"/>
        <v>13.093813375456472</v>
      </c>
      <c r="Y35">
        <f t="shared" si="20"/>
        <v>13.551462652242305</v>
      </c>
      <c r="Z35">
        <f t="shared" si="20"/>
        <v>13.925016820387292</v>
      </c>
      <c r="AA35">
        <f t="shared" si="20"/>
        <v>14.228717697931973</v>
      </c>
      <c r="AB35">
        <f t="shared" si="20"/>
        <v>14.474886257333583</v>
      </c>
      <c r="AC35">
        <f t="shared" si="20"/>
        <v>14.673978058853905</v>
      </c>
      <c r="AD35">
        <f t="shared" si="20"/>
        <v>14.834740148484046</v>
      </c>
      <c r="AE35">
        <f t="shared" si="20"/>
        <v>14.964413051300951</v>
      </c>
      <c r="AF35">
        <f t="shared" si="20"/>
        <v>15.068942532885849</v>
      </c>
      <c r="AG35">
        <f t="shared" si="20"/>
        <v>15.153181529816225</v>
      </c>
      <c r="AH35">
        <f t="shared" si="20"/>
        <v>15.221072615520546</v>
      </c>
      <c r="AI35">
        <f t="shared" si="20"/>
        <v>15.108070940097631</v>
      </c>
    </row>
    <row r="36" spans="1:35">
      <c r="A36" t="s">
        <v>34</v>
      </c>
      <c r="B36" s="1">
        <f>SUMPRODUCT(lz,ta2_)</f>
        <v>1.0509876075857976</v>
      </c>
      <c r="C36" s="10"/>
      <c r="G36" s="1">
        <f>SUM(dqa21_)</f>
        <v>235.24178508257899</v>
      </c>
      <c r="H36" s="1">
        <f>SUM(dqa22_)</f>
        <v>5.4221020836324332</v>
      </c>
      <c r="I36" s="11">
        <f>SUM(dqa23_)</f>
        <v>232.90017498146361</v>
      </c>
      <c r="J36" s="8" t="s">
        <v>63</v>
      </c>
      <c r="K36">
        <f t="shared" ref="K36:AI36" si="21">flt2_*qa2_+lz*wa*flt2_^2/za*(sa-oa/za)</f>
        <v>6.9165042955851269E-53</v>
      </c>
      <c r="L36">
        <f t="shared" si="21"/>
        <v>4.8169674809685944E-35</v>
      </c>
      <c r="M36">
        <f t="shared" si="21"/>
        <v>1.3892579449991873E-17</v>
      </c>
      <c r="N36">
        <f t="shared" si="21"/>
        <v>0.69085908927720818</v>
      </c>
      <c r="O36">
        <f t="shared" si="21"/>
        <v>1.9692975770945005</v>
      </c>
      <c r="P36">
        <f t="shared" si="21"/>
        <v>1.25221746993385</v>
      </c>
      <c r="Q36">
        <f t="shared" si="21"/>
        <v>0.72408849299592426</v>
      </c>
      <c r="R36">
        <f t="shared" si="21"/>
        <v>0.38911946261885005</v>
      </c>
      <c r="S36">
        <f t="shared" si="21"/>
        <v>0.20044444534914188</v>
      </c>
      <c r="T36">
        <f t="shared" si="21"/>
        <v>0.10105202560728563</v>
      </c>
      <c r="U36">
        <f t="shared" si="21"/>
        <v>4.971561938930967E-2</v>
      </c>
      <c r="V36">
        <f t="shared" si="21"/>
        <v>2.3976047934362196E-2</v>
      </c>
      <c r="W36">
        <f t="shared" si="21"/>
        <v>1.1386766858271523E-2</v>
      </c>
      <c r="X36">
        <f t="shared" si="21"/>
        <v>5.3442842969016642E-3</v>
      </c>
      <c r="Y36">
        <f t="shared" si="21"/>
        <v>2.4853919470743452E-3</v>
      </c>
      <c r="Z36">
        <f t="shared" si="21"/>
        <v>1.1475991957183244E-3</v>
      </c>
      <c r="AA36">
        <f t="shared" si="21"/>
        <v>5.2692185216598954E-4</v>
      </c>
      <c r="AB36">
        <f t="shared" si="21"/>
        <v>2.4086939271838952E-4</v>
      </c>
      <c r="AC36">
        <f t="shared" si="21"/>
        <v>1.0972368246355382E-4</v>
      </c>
      <c r="AD36">
        <f t="shared" si="21"/>
        <v>4.9844647441232949E-5</v>
      </c>
      <c r="AE36">
        <f t="shared" si="21"/>
        <v>2.2593544231667807E-5</v>
      </c>
      <c r="AF36">
        <f t="shared" si="21"/>
        <v>1.0223357667267685E-5</v>
      </c>
      <c r="AG36">
        <f t="shared" si="21"/>
        <v>4.6195610748650381E-6</v>
      </c>
      <c r="AH36">
        <f t="shared" si="21"/>
        <v>2.0851065817997094E-6</v>
      </c>
      <c r="AI36">
        <f t="shared" si="21"/>
        <v>9.2998969091024857E-7</v>
      </c>
    </row>
    <row r="37" spans="1:35">
      <c r="A37" t="s">
        <v>35</v>
      </c>
      <c r="B37" s="1">
        <f>SUMPRODUCT(lz,ta3_)</f>
        <v>2.9413091183279838</v>
      </c>
      <c r="C37" s="10"/>
      <c r="G37" s="1">
        <f>SUM(dqa31_)</f>
        <v>231.02148054909264</v>
      </c>
      <c r="H37" s="1">
        <f>SUM(dqa32_)</f>
        <v>232.90017498146361</v>
      </c>
      <c r="I37" s="1">
        <f>SUM(dqa33_)</f>
        <v>93.946286415932036</v>
      </c>
      <c r="J37" s="8" t="s">
        <v>64</v>
      </c>
      <c r="K37">
        <f t="shared" ref="K37:AI37" si="22">flt3_*qa3_+lz*wa*flt3_^2/za*(sa-oa/za)</f>
        <v>4.4771219347197332E-6</v>
      </c>
      <c r="L37">
        <f t="shared" si="22"/>
        <v>3.4268522633278007E-3</v>
      </c>
      <c r="M37">
        <f t="shared" si="22"/>
        <v>0.36733862007497764</v>
      </c>
      <c r="N37">
        <f t="shared" si="22"/>
        <v>2.1354886441404473</v>
      </c>
      <c r="O37">
        <f t="shared" si="22"/>
        <v>3.5404230528525664</v>
      </c>
      <c r="P37">
        <f t="shared" si="22"/>
        <v>4.5896790261027469</v>
      </c>
      <c r="Q37">
        <f t="shared" si="22"/>
        <v>5.3498447191612035</v>
      </c>
      <c r="R37">
        <f t="shared" si="22"/>
        <v>5.7899500583432602</v>
      </c>
      <c r="S37">
        <f t="shared" si="22"/>
        <v>6.0061337398056303</v>
      </c>
      <c r="T37">
        <f t="shared" si="22"/>
        <v>6.0975079812228516</v>
      </c>
      <c r="U37">
        <f t="shared" si="22"/>
        <v>6.0409656442948165</v>
      </c>
      <c r="V37">
        <f t="shared" si="22"/>
        <v>5.8667454951334657</v>
      </c>
      <c r="W37">
        <f t="shared" si="22"/>
        <v>5.6108184504099139</v>
      </c>
      <c r="X37">
        <f t="shared" si="22"/>
        <v>5.3029981808084159</v>
      </c>
      <c r="Y37">
        <f t="shared" si="22"/>
        <v>4.9662999863678499</v>
      </c>
      <c r="Z37">
        <f t="shared" si="22"/>
        <v>4.6177927228235776</v>
      </c>
      <c r="AA37">
        <f t="shared" si="22"/>
        <v>4.2696919913744784</v>
      </c>
      <c r="AB37">
        <f t="shared" si="22"/>
        <v>3.9304121364032012</v>
      </c>
      <c r="AC37">
        <f t="shared" si="22"/>
        <v>3.6054791333738514</v>
      </c>
      <c r="AD37">
        <f t="shared" si="22"/>
        <v>3.2982781493700846</v>
      </c>
      <c r="AE37">
        <f t="shared" si="22"/>
        <v>3.0106429302486628</v>
      </c>
      <c r="AF37">
        <f t="shared" si="22"/>
        <v>2.7433080555669846</v>
      </c>
      <c r="AG37">
        <f t="shared" si="22"/>
        <v>2.496248830326707</v>
      </c>
      <c r="AH37">
        <f t="shared" si="22"/>
        <v>2.2689324042101382</v>
      </c>
      <c r="AI37">
        <f t="shared" si="22"/>
        <v>2.0378751341309473</v>
      </c>
    </row>
    <row r="38" spans="1:35">
      <c r="A38" s="1" t="s">
        <v>36</v>
      </c>
      <c r="B38" s="1">
        <f>SUMPRODUCT(lz,qa1_)</f>
        <v>14.285488810557478</v>
      </c>
      <c r="G38" t="s">
        <v>69</v>
      </c>
      <c r="J38" s="8" t="s">
        <v>60</v>
      </c>
      <c r="K38">
        <f t="shared" ref="K38:AI38" si="23">flt1_*qa1_+lz*wa*flt2_*flt1_/za*(sa-oa/za)</f>
        <v>6.7392373231872417E-37</v>
      </c>
      <c r="L38">
        <f t="shared" si="23"/>
        <v>2.9659805412175568E-27</v>
      </c>
      <c r="M38">
        <f t="shared" si="23"/>
        <v>-5.8534727249868956E-19</v>
      </c>
      <c r="N38">
        <f t="shared" si="23"/>
        <v>-3.2624101217183102E-7</v>
      </c>
      <c r="O38">
        <f t="shared" si="23"/>
        <v>-1.9397734358719289E-4</v>
      </c>
      <c r="P38">
        <f t="shared" si="23"/>
        <v>-3.6573015790991223E-3</v>
      </c>
      <c r="Q38">
        <f t="shared" si="23"/>
        <v>1.298877660215432E-2</v>
      </c>
      <c r="R38">
        <f t="shared" si="23"/>
        <v>2.1240440722092746</v>
      </c>
      <c r="S38">
        <f t="shared" si="23"/>
        <v>8.4425700054717936</v>
      </c>
      <c r="T38">
        <f t="shared" si="23"/>
        <v>10.772350462748998</v>
      </c>
      <c r="U38">
        <f t="shared" si="23"/>
        <v>11.763128231184746</v>
      </c>
      <c r="V38">
        <f t="shared" si="23"/>
        <v>12.480323155695462</v>
      </c>
      <c r="W38">
        <f t="shared" si="23"/>
        <v>13.057657440692781</v>
      </c>
      <c r="X38">
        <f t="shared" si="23"/>
        <v>13.526847543517732</v>
      </c>
      <c r="Y38">
        <f t="shared" si="23"/>
        <v>13.90759551063959</v>
      </c>
      <c r="Z38">
        <f t="shared" si="23"/>
        <v>14.215915335807001</v>
      </c>
      <c r="AA38">
        <f t="shared" si="23"/>
        <v>14.465143364965495</v>
      </c>
      <c r="AB38">
        <f t="shared" si="23"/>
        <v>14.666331776657652</v>
      </c>
      <c r="AC38">
        <f t="shared" si="23"/>
        <v>14.828580943132801</v>
      </c>
      <c r="AD38">
        <f t="shared" si="23"/>
        <v>14.959343052115154</v>
      </c>
      <c r="AE38">
        <f t="shared" si="23"/>
        <v>15.064693054962278</v>
      </c>
      <c r="AF38">
        <f t="shared" si="23"/>
        <v>15.149564831268449</v>
      </c>
      <c r="AG38">
        <f t="shared" si="23"/>
        <v>15.217953359044008</v>
      </c>
      <c r="AH38">
        <f t="shared" si="23"/>
        <v>15.273085393929861</v>
      </c>
      <c r="AI38">
        <f t="shared" si="23"/>
        <v>15.317520377097495</v>
      </c>
    </row>
    <row r="39" spans="1:35">
      <c r="A39" s="1" t="s">
        <v>37</v>
      </c>
      <c r="B39" s="1">
        <f>SUMPRODUCT(lz,qa2_)</f>
        <v>6.3941905939224384</v>
      </c>
      <c r="G39" s="1">
        <f>re*phi_q1+f1_*phi_q1*$H31+f1_*re*G35</f>
        <v>106.66290824276746</v>
      </c>
      <c r="H39" s="1">
        <f>re*phi_q1+f1_*phi_q1*$H32+f1_*re*H35</f>
        <v>111.94096218429851</v>
      </c>
      <c r="I39" s="1">
        <f>re*phi_q1+f1_*phi_q1*$H33+f1_*re*I35</f>
        <v>104.6119097867026</v>
      </c>
      <c r="J39" s="8" t="s">
        <v>66</v>
      </c>
      <c r="K39">
        <f t="shared" ref="K39:AI39" si="24">flt1_*qa1_+lz*wa*flt3_*flt1_/za*(sa-oa/za)</f>
        <v>-1.1828178046807442E-21</v>
      </c>
      <c r="L39">
        <f t="shared" si="24"/>
        <v>-1.7546800807135329E-15</v>
      </c>
      <c r="M39">
        <f t="shared" si="24"/>
        <v>-1.3536690517314672E-10</v>
      </c>
      <c r="N39">
        <f t="shared" si="24"/>
        <v>-5.7357884073566781E-7</v>
      </c>
      <c r="O39">
        <f t="shared" si="24"/>
        <v>-2.6017128062760287E-4</v>
      </c>
      <c r="P39">
        <f t="shared" si="24"/>
        <v>-7.2319311773676115E-3</v>
      </c>
      <c r="Q39">
        <f t="shared" si="24"/>
        <v>-4.1230916641088217E-2</v>
      </c>
      <c r="R39">
        <f t="shared" si="24"/>
        <v>1.7457275487504988</v>
      </c>
      <c r="S39">
        <f t="shared" si="24"/>
        <v>7.786755673712487</v>
      </c>
      <c r="T39">
        <f t="shared" si="24"/>
        <v>10.155477387945931</v>
      </c>
      <c r="U39">
        <f t="shared" si="24"/>
        <v>11.241147890967406</v>
      </c>
      <c r="V39">
        <f t="shared" si="24"/>
        <v>12.052675418548958</v>
      </c>
      <c r="W39">
        <f t="shared" si="24"/>
        <v>12.714028836560161</v>
      </c>
      <c r="X39">
        <f t="shared" si="24"/>
        <v>13.254512767384485</v>
      </c>
      <c r="Y39">
        <f t="shared" si="24"/>
        <v>13.693931533723838</v>
      </c>
      <c r="Z39">
        <f t="shared" si="24"/>
        <v>14.049527905453768</v>
      </c>
      <c r="AA39">
        <f t="shared" si="24"/>
        <v>14.336285961058552</v>
      </c>
      <c r="AB39">
        <f t="shared" si="24"/>
        <v>14.566947265722842</v>
      </c>
      <c r="AC39">
        <f t="shared" si="24"/>
        <v>14.752160085623389</v>
      </c>
      <c r="AD39">
        <f t="shared" si="24"/>
        <v>14.900710736917109</v>
      </c>
      <c r="AE39">
        <f t="shared" si="24"/>
        <v>15.019781640797827</v>
      </c>
      <c r="AF39">
        <f t="shared" si="24"/>
        <v>15.115203518741023</v>
      </c>
      <c r="AG39">
        <f t="shared" si="24"/>
        <v>15.191685369121801</v>
      </c>
      <c r="AH39">
        <f t="shared" si="24"/>
        <v>15.25301562168174</v>
      </c>
      <c r="AI39">
        <f t="shared" si="24"/>
        <v>15.240628979194064</v>
      </c>
    </row>
    <row r="40" spans="1:35">
      <c r="A40" s="1" t="s">
        <v>38</v>
      </c>
      <c r="B40" s="1">
        <f>SUMPRODUCT(lz,qa3_)</f>
        <v>20.918650460965463</v>
      </c>
      <c r="G40" s="1">
        <f>re*phi_q1+f1_*phi_q1*$H32+f1_*re*G36</f>
        <v>111.94096218429851</v>
      </c>
      <c r="H40" s="1">
        <f>re*phi_q2+f2_*phi_q2*$H32+f2_*re*H36</f>
        <v>25.230582701254868</v>
      </c>
      <c r="I40" s="1">
        <f>re*phi_q3+f3_*phi_q3*$H33+f3_*re*I36</f>
        <v>98.256678960348893</v>
      </c>
      <c r="J40" s="8" t="s">
        <v>65</v>
      </c>
      <c r="K40">
        <f t="shared" ref="K40:AI40" si="25">flt1_*qa1_+lz*wa*flt1_*flt2_/za*(sa-oa/za)</f>
        <v>6.7392373231872417E-37</v>
      </c>
      <c r="L40">
        <f t="shared" si="25"/>
        <v>2.9659805412175568E-27</v>
      </c>
      <c r="M40">
        <f t="shared" si="25"/>
        <v>-5.8534727249868956E-19</v>
      </c>
      <c r="N40">
        <f t="shared" si="25"/>
        <v>-3.2624101217183102E-7</v>
      </c>
      <c r="O40">
        <f t="shared" si="25"/>
        <v>-1.9397734358719289E-4</v>
      </c>
      <c r="P40">
        <f t="shared" si="25"/>
        <v>-3.6573015790991223E-3</v>
      </c>
      <c r="Q40">
        <f t="shared" si="25"/>
        <v>1.298877660215432E-2</v>
      </c>
      <c r="R40">
        <f t="shared" si="25"/>
        <v>2.1240440722092746</v>
      </c>
      <c r="S40">
        <f t="shared" si="25"/>
        <v>8.4425700054717936</v>
      </c>
      <c r="T40">
        <f t="shared" si="25"/>
        <v>10.772350462748998</v>
      </c>
      <c r="U40">
        <f t="shared" si="25"/>
        <v>11.763128231184746</v>
      </c>
      <c r="V40">
        <f t="shared" si="25"/>
        <v>12.480323155695462</v>
      </c>
      <c r="W40">
        <f t="shared" si="25"/>
        <v>13.057657440692781</v>
      </c>
      <c r="X40">
        <f t="shared" si="25"/>
        <v>13.526847543517732</v>
      </c>
      <c r="Y40">
        <f t="shared" si="25"/>
        <v>13.90759551063959</v>
      </c>
      <c r="Z40">
        <f t="shared" si="25"/>
        <v>14.215915335807001</v>
      </c>
      <c r="AA40">
        <f t="shared" si="25"/>
        <v>14.465143364965495</v>
      </c>
      <c r="AB40">
        <f t="shared" si="25"/>
        <v>14.666331776657652</v>
      </c>
      <c r="AC40">
        <f t="shared" si="25"/>
        <v>14.828580943132801</v>
      </c>
      <c r="AD40">
        <f t="shared" si="25"/>
        <v>14.959343052115154</v>
      </c>
      <c r="AE40">
        <f t="shared" si="25"/>
        <v>15.064693054962278</v>
      </c>
      <c r="AF40">
        <f t="shared" si="25"/>
        <v>15.149564831268449</v>
      </c>
      <c r="AG40">
        <f t="shared" si="25"/>
        <v>15.217953359044008</v>
      </c>
      <c r="AH40">
        <f t="shared" si="25"/>
        <v>15.273085393929861</v>
      </c>
      <c r="AI40">
        <f t="shared" si="25"/>
        <v>15.317520377097495</v>
      </c>
    </row>
    <row r="41" spans="1:35">
      <c r="G41" s="1">
        <f>re*phi_q1+f1_*phi_q1*$H33+f1_*re*G37</f>
        <v>104.6119097867026</v>
      </c>
      <c r="H41" s="1">
        <f>re*phi_q3+f3_*phi_q3*$H33+f3_*re*H37</f>
        <v>98.256678960348893</v>
      </c>
      <c r="I41" s="1">
        <f>re*phi_q3+f1_*phi_q3*$H33+f3_*re*I37</f>
        <v>77.473259612946308</v>
      </c>
      <c r="J41" s="8" t="s">
        <v>67</v>
      </c>
      <c r="K41">
        <f t="shared" ref="K41:AI41" si="26">flt1_*qa1_+lz*wa*flt3_*flt2_/za*(sa-oa/za)</f>
        <v>-1.6738021502895488E-29</v>
      </c>
      <c r="L41">
        <f t="shared" si="26"/>
        <v>-2.9345164408181676E-19</v>
      </c>
      <c r="M41">
        <f t="shared" si="26"/>
        <v>-1.2682419486515965E-9</v>
      </c>
      <c r="N41">
        <f t="shared" si="26"/>
        <v>-0.52832742902068597</v>
      </c>
      <c r="O41">
        <f t="shared" si="26"/>
        <v>-0.85916365604788481</v>
      </c>
      <c r="P41">
        <f t="shared" si="26"/>
        <v>-0.58900729808973984</v>
      </c>
      <c r="Q41">
        <f t="shared" si="26"/>
        <v>-0.33299852599264002</v>
      </c>
      <c r="R41">
        <f t="shared" si="26"/>
        <v>2.0288465603280863</v>
      </c>
      <c r="S41">
        <f t="shared" si="26"/>
        <v>8.4595391633981158</v>
      </c>
      <c r="T41">
        <f t="shared" si="26"/>
        <v>10.792176329247537</v>
      </c>
      <c r="U41">
        <f t="shared" si="26"/>
        <v>11.776681391810449</v>
      </c>
      <c r="V41">
        <f t="shared" si="26"/>
        <v>12.488987706488931</v>
      </c>
      <c r="W41">
        <f t="shared" si="26"/>
        <v>13.063022917170413</v>
      </c>
      <c r="X41">
        <f t="shared" si="26"/>
        <v>13.530094122229455</v>
      </c>
      <c r="Y41">
        <f t="shared" si="26"/>
        <v>13.909524919958685</v>
      </c>
      <c r="Z41">
        <f t="shared" si="26"/>
        <v>14.217045665850986</v>
      </c>
      <c r="AA41">
        <f t="shared" si="26"/>
        <v>14.465797962521739</v>
      </c>
      <c r="AB41">
        <f t="shared" si="26"/>
        <v>14.666707319039643</v>
      </c>
      <c r="AC41">
        <f t="shared" si="26"/>
        <v>14.828794731061405</v>
      </c>
      <c r="AD41">
        <f t="shared" si="26"/>
        <v>14.959463978104823</v>
      </c>
      <c r="AE41">
        <f t="shared" si="26"/>
        <v>15.064761088929799</v>
      </c>
      <c r="AF41">
        <f t="shared" si="26"/>
        <v>15.149602935242509</v>
      </c>
      <c r="AG41">
        <f t="shared" si="26"/>
        <v>15.217974618516283</v>
      </c>
      <c r="AH41">
        <f t="shared" si="26"/>
        <v>15.27309721664664</v>
      </c>
      <c r="AI41">
        <f t="shared" si="26"/>
        <v>15.317553265337304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-1.1828178046807442E-21</v>
      </c>
      <c r="L42">
        <f t="shared" si="27"/>
        <v>-1.7546800807135329E-15</v>
      </c>
      <c r="M42">
        <f t="shared" si="27"/>
        <v>-1.3536690517314667E-10</v>
      </c>
      <c r="N42">
        <f t="shared" si="27"/>
        <v>-5.7357884073566781E-7</v>
      </c>
      <c r="O42">
        <f t="shared" si="27"/>
        <v>-2.6017128062760293E-4</v>
      </c>
      <c r="P42">
        <f t="shared" si="27"/>
        <v>-7.2319311773676115E-3</v>
      </c>
      <c r="Q42">
        <f t="shared" si="27"/>
        <v>-4.1230916641088217E-2</v>
      </c>
      <c r="R42">
        <f t="shared" si="27"/>
        <v>1.7457275487504988</v>
      </c>
      <c r="S42">
        <f t="shared" si="27"/>
        <v>7.786755673712487</v>
      </c>
      <c r="T42">
        <f t="shared" si="27"/>
        <v>10.155477387945931</v>
      </c>
      <c r="U42">
        <f t="shared" si="27"/>
        <v>11.241147890967406</v>
      </c>
      <c r="V42">
        <f t="shared" si="27"/>
        <v>12.052675418548958</v>
      </c>
      <c r="W42">
        <f t="shared" si="27"/>
        <v>12.714028836560161</v>
      </c>
      <c r="X42">
        <f t="shared" si="27"/>
        <v>13.254512767384485</v>
      </c>
      <c r="Y42">
        <f t="shared" si="27"/>
        <v>13.693931533723838</v>
      </c>
      <c r="Z42">
        <f t="shared" si="27"/>
        <v>14.049527905453768</v>
      </c>
      <c r="AA42">
        <f t="shared" si="27"/>
        <v>14.336285961058552</v>
      </c>
      <c r="AB42">
        <f t="shared" si="27"/>
        <v>14.566947265722842</v>
      </c>
      <c r="AC42">
        <f t="shared" si="27"/>
        <v>14.752160085623389</v>
      </c>
      <c r="AD42">
        <f t="shared" si="27"/>
        <v>14.900710736917109</v>
      </c>
      <c r="AE42">
        <f t="shared" si="27"/>
        <v>15.019781640797827</v>
      </c>
      <c r="AF42">
        <f t="shared" si="27"/>
        <v>15.115203518741023</v>
      </c>
      <c r="AG42">
        <f t="shared" si="27"/>
        <v>15.191685369121801</v>
      </c>
      <c r="AH42">
        <f t="shared" si="27"/>
        <v>15.25301562168174</v>
      </c>
      <c r="AI42">
        <f t="shared" si="27"/>
        <v>15.240628979194064</v>
      </c>
    </row>
    <row r="43" spans="1:35">
      <c r="A43" s="1" t="s">
        <v>40</v>
      </c>
      <c r="B43" s="1">
        <f>phif/phie</f>
        <v>0.40000041557191451</v>
      </c>
      <c r="J43" s="8" t="s">
        <v>61</v>
      </c>
      <c r="K43">
        <f t="shared" ref="K43:AI43" si="28">flt1_*qa1_+lz*wa*flt2_*flt3_/za*(sa-oa/za)</f>
        <v>-1.6738021502895488E-29</v>
      </c>
      <c r="L43">
        <f t="shared" si="28"/>
        <v>-2.9345164408181676E-19</v>
      </c>
      <c r="M43">
        <f t="shared" si="28"/>
        <v>-1.2682419486515965E-9</v>
      </c>
      <c r="N43">
        <f t="shared" si="28"/>
        <v>-0.52832742902068597</v>
      </c>
      <c r="O43">
        <f t="shared" si="28"/>
        <v>-0.85916365604788481</v>
      </c>
      <c r="P43">
        <f t="shared" si="28"/>
        <v>-0.58900729808973984</v>
      </c>
      <c r="Q43">
        <f t="shared" si="28"/>
        <v>-0.33299852599264013</v>
      </c>
      <c r="R43">
        <f t="shared" si="28"/>
        <v>2.0288465603280863</v>
      </c>
      <c r="S43">
        <f t="shared" si="28"/>
        <v>8.4595391633981158</v>
      </c>
      <c r="T43">
        <f t="shared" si="28"/>
        <v>10.792176329247537</v>
      </c>
      <c r="U43">
        <f t="shared" si="28"/>
        <v>11.776681391810449</v>
      </c>
      <c r="V43">
        <f t="shared" si="28"/>
        <v>12.488987706488931</v>
      </c>
      <c r="W43">
        <f t="shared" si="28"/>
        <v>13.063022917170413</v>
      </c>
      <c r="X43">
        <f t="shared" si="28"/>
        <v>13.530094122229455</v>
      </c>
      <c r="Y43">
        <f t="shared" si="28"/>
        <v>13.909524919958685</v>
      </c>
      <c r="Z43">
        <f t="shared" si="28"/>
        <v>14.217045665850986</v>
      </c>
      <c r="AA43">
        <f t="shared" si="28"/>
        <v>14.465797962521739</v>
      </c>
      <c r="AB43">
        <f t="shared" si="28"/>
        <v>14.666707319039643</v>
      </c>
      <c r="AC43">
        <f t="shared" si="28"/>
        <v>14.828794731061405</v>
      </c>
      <c r="AD43">
        <f t="shared" si="28"/>
        <v>14.959463978104823</v>
      </c>
      <c r="AE43">
        <f t="shared" si="28"/>
        <v>15.064761088929799</v>
      </c>
      <c r="AF43">
        <f t="shared" si="28"/>
        <v>15.149602935242509</v>
      </c>
      <c r="AG43">
        <f t="shared" si="28"/>
        <v>15.217974618516283</v>
      </c>
      <c r="AH43">
        <f t="shared" si="28"/>
        <v>15.27309721664664</v>
      </c>
      <c r="AI43">
        <f t="shared" si="28"/>
        <v>15.317553265337304</v>
      </c>
    </row>
    <row r="44" spans="1:35">
      <c r="A44" s="1" t="s">
        <v>41</v>
      </c>
      <c r="B44" s="11">
        <f>MAX(0,Ro*(reck-1/spr)/(reck-1))</f>
        <v>3.9063119884181621</v>
      </c>
    </row>
    <row r="45" spans="1:35">
      <c r="A45" s="1" t="s">
        <v>43</v>
      </c>
      <c r="B45" s="1">
        <f>f1_*re*phi_q1</f>
        <v>3.5587940247581007</v>
      </c>
      <c r="C45" s="20">
        <f>ye_1/SUM(ye_1,ye_2,ye_3)</f>
        <v>0.50151347499037002</v>
      </c>
      <c r="J45" s="2" t="s">
        <v>87</v>
      </c>
    </row>
    <row r="46" spans="1:35" ht="19" thickBot="1">
      <c r="A46" s="1" t="s">
        <v>44</v>
      </c>
      <c r="B46" s="1">
        <f>f2_*re*phi_q2</f>
        <v>1.6308418823404538</v>
      </c>
      <c r="C46" s="20">
        <f>ye_2/SUM(ye_1,ye_2,ye_3)</f>
        <v>0.22982200539914385</v>
      </c>
      <c r="G46" s="32" t="s">
        <v>94</v>
      </c>
      <c r="H46" s="32"/>
      <c r="I46" s="32"/>
      <c r="J46" s="8" t="s">
        <v>75</v>
      </c>
      <c r="K46">
        <f t="shared" ref="K46:AI46" si="29">lz*qa1_</f>
        <v>2.9739573029979386E-19</v>
      </c>
      <c r="L46">
        <f t="shared" si="29"/>
        <v>4.0933263273259336E-14</v>
      </c>
      <c r="M46">
        <f t="shared" si="29"/>
        <v>5.0459269056154242E-10</v>
      </c>
      <c r="N46">
        <f t="shared" si="29"/>
        <v>1.2256907647783144E-6</v>
      </c>
      <c r="O46">
        <f t="shared" si="29"/>
        <v>5.4547377503913713E-4</v>
      </c>
      <c r="P46">
        <f t="shared" si="29"/>
        <v>1.6331387464563217E-2</v>
      </c>
      <c r="Q46">
        <f t="shared" si="29"/>
        <v>0.19644063797305431</v>
      </c>
      <c r="R46">
        <f t="shared" si="29"/>
        <v>1.233530766449527</v>
      </c>
      <c r="S46">
        <f t="shared" si="29"/>
        <v>2.0449051130620219</v>
      </c>
      <c r="T46">
        <f t="shared" si="29"/>
        <v>1.896981399797429</v>
      </c>
      <c r="U46">
        <f t="shared" si="29"/>
        <v>1.6161770606437895</v>
      </c>
      <c r="V46">
        <f t="shared" si="29"/>
        <v>1.3516233858606703</v>
      </c>
      <c r="W46">
        <f t="shared" si="29"/>
        <v>1.1188431356871593</v>
      </c>
      <c r="X46">
        <f t="shared" si="29"/>
        <v>0.91914346707360617</v>
      </c>
      <c r="Y46">
        <f t="shared" si="29"/>
        <v>0.75067925273437219</v>
      </c>
      <c r="Z46">
        <f t="shared" si="29"/>
        <v>0.61032305158685851</v>
      </c>
      <c r="AA46">
        <f t="shared" si="29"/>
        <v>0.49448150440593569</v>
      </c>
      <c r="AB46">
        <f t="shared" si="29"/>
        <v>0.39955725546209203</v>
      </c>
      <c r="AC46">
        <f t="shared" si="29"/>
        <v>0.32219961239964373</v>
      </c>
      <c r="AD46">
        <f t="shared" si="29"/>
        <v>0.25942222727346631</v>
      </c>
      <c r="AE46">
        <f t="shared" si="29"/>
        <v>0.20864022765145632</v>
      </c>
      <c r="AF46">
        <f t="shared" si="29"/>
        <v>0.16766146292179515</v>
      </c>
      <c r="AG46">
        <f t="shared" si="29"/>
        <v>0.13465399073802511</v>
      </c>
      <c r="AH46">
        <f t="shared" si="29"/>
        <v>0.10810337433794016</v>
      </c>
      <c r="AI46">
        <f t="shared" si="29"/>
        <v>0.43524379706363531</v>
      </c>
    </row>
    <row r="47" spans="1:35" ht="19" thickTop="1">
      <c r="A47" s="1" t="s">
        <v>45</v>
      </c>
      <c r="B47" s="1">
        <f>f3_*re*phi_q3</f>
        <v>1.9064725769784412</v>
      </c>
      <c r="C47" s="20">
        <f>ye_3/SUM(ye_1,ye_2,ye_3)</f>
        <v>0.26866451961048615</v>
      </c>
      <c r="F47" t="s">
        <v>84</v>
      </c>
      <c r="G47" s="31">
        <f>G39/G53</f>
        <v>0.99999999999999989</v>
      </c>
      <c r="H47" s="31">
        <f>H53/H39</f>
        <v>0.46342698115711373</v>
      </c>
      <c r="I47" s="31">
        <f>I53/I39</f>
        <v>0.86896341908385777</v>
      </c>
      <c r="J47" s="8" t="s">
        <v>76</v>
      </c>
      <c r="K47">
        <f t="shared" ref="K47:AI47" si="30">lz*qa2_</f>
        <v>4.2084387885866023E-27</v>
      </c>
      <c r="L47">
        <f t="shared" si="30"/>
        <v>6.8456544635091977E-18</v>
      </c>
      <c r="M47">
        <f t="shared" si="30"/>
        <v>4.7274894501797385E-9</v>
      </c>
      <c r="N47">
        <f t="shared" si="30"/>
        <v>1.1289899231989591</v>
      </c>
      <c r="O47">
        <f t="shared" si="30"/>
        <v>1.7996599931143515</v>
      </c>
      <c r="P47">
        <f t="shared" si="30"/>
        <v>1.2859440003713325</v>
      </c>
      <c r="Q47">
        <f t="shared" si="30"/>
        <v>0.86463036920485192</v>
      </c>
      <c r="R47">
        <f t="shared" si="30"/>
        <v>0.54971279049266863</v>
      </c>
      <c r="S47">
        <f t="shared" si="30"/>
        <v>0.33032490242158918</v>
      </c>
      <c r="T47">
        <f t="shared" si="30"/>
        <v>0.19108874093714404</v>
      </c>
      <c r="U47">
        <f t="shared" si="30"/>
        <v>0.10845929545530708</v>
      </c>
      <c r="V47">
        <f t="shared" si="30"/>
        <v>6.0771889918892479E-2</v>
      </c>
      <c r="W47">
        <f t="shared" si="30"/>
        <v>3.372018159013157E-2</v>
      </c>
      <c r="X47">
        <f t="shared" si="30"/>
        <v>1.8569277564890192E-2</v>
      </c>
      <c r="Y47">
        <f t="shared" si="30"/>
        <v>1.0166202828400148E-2</v>
      </c>
      <c r="Z47">
        <f t="shared" si="30"/>
        <v>5.5406029220380253E-3</v>
      </c>
      <c r="AA47">
        <f t="shared" si="30"/>
        <v>3.0091253217585374E-3</v>
      </c>
      <c r="AB47">
        <f t="shared" si="30"/>
        <v>1.6299048433617567E-3</v>
      </c>
      <c r="AC47">
        <f t="shared" si="30"/>
        <v>8.8105144594590921E-4</v>
      </c>
      <c r="AD47">
        <f t="shared" si="30"/>
        <v>4.7552841835257287E-4</v>
      </c>
      <c r="AE47">
        <f t="shared" si="30"/>
        <v>2.5636597573728854E-4</v>
      </c>
      <c r="AF47">
        <f t="shared" si="30"/>
        <v>1.3809839794059266E-4</v>
      </c>
      <c r="AG47">
        <f t="shared" si="30"/>
        <v>7.434772309625911E-5</v>
      </c>
      <c r="AH47">
        <f t="shared" si="30"/>
        <v>4.0011123912557204E-5</v>
      </c>
      <c r="AI47">
        <f t="shared" si="30"/>
        <v>1.0798592428740779E-4</v>
      </c>
    </row>
    <row r="48" spans="1:35">
      <c r="A48" s="1" t="s">
        <v>72</v>
      </c>
      <c r="B48" s="1">
        <f>SUM(B45:B47)</f>
        <v>7.0961084840769955</v>
      </c>
      <c r="F48" t="s">
        <v>85</v>
      </c>
      <c r="G48" s="31">
        <f>G40/G54</f>
        <v>2.157837244398539</v>
      </c>
      <c r="H48" s="31">
        <f t="shared" ref="H48" si="31">H40/H54</f>
        <v>1</v>
      </c>
      <c r="I48" s="31">
        <f>I54/I40</f>
        <v>0.44996369425021454</v>
      </c>
      <c r="J48" s="8" t="s">
        <v>77</v>
      </c>
      <c r="K48">
        <f t="shared" ref="K48:AI48" si="32">lz*qa3_</f>
        <v>1.070723046342905E-3</v>
      </c>
      <c r="L48">
        <f t="shared" si="32"/>
        <v>5.7739870814961146E-2</v>
      </c>
      <c r="M48">
        <f t="shared" si="32"/>
        <v>0.76872750238285548</v>
      </c>
      <c r="N48">
        <f t="shared" si="32"/>
        <v>1.9849243567323818</v>
      </c>
      <c r="O48">
        <f t="shared" si="32"/>
        <v>2.4130280422983961</v>
      </c>
      <c r="P48">
        <f t="shared" si="32"/>
        <v>2.4619165889507921</v>
      </c>
      <c r="Q48">
        <f t="shared" si="32"/>
        <v>2.350202321923041</v>
      </c>
      <c r="R48">
        <f t="shared" si="32"/>
        <v>2.1204682503473662</v>
      </c>
      <c r="S48">
        <f t="shared" si="32"/>
        <v>1.8081805849065626</v>
      </c>
      <c r="T48">
        <f t="shared" si="32"/>
        <v>1.4843584048561826</v>
      </c>
      <c r="U48">
        <f t="shared" si="32"/>
        <v>1.1955659414597253</v>
      </c>
      <c r="V48">
        <f t="shared" si="32"/>
        <v>0.95063230274680377</v>
      </c>
      <c r="W48">
        <f t="shared" si="32"/>
        <v>0.74851894812871</v>
      </c>
      <c r="X48">
        <f t="shared" si="32"/>
        <v>0.58493952818340589</v>
      </c>
      <c r="Y48">
        <f t="shared" si="32"/>
        <v>0.45444130822858875</v>
      </c>
      <c r="Z48">
        <f t="shared" si="32"/>
        <v>0.35146260740834023</v>
      </c>
      <c r="AA48">
        <f t="shared" si="32"/>
        <v>0.27087282918846306</v>
      </c>
      <c r="AB48">
        <f t="shared" si="32"/>
        <v>0.20820468010296145</v>
      </c>
      <c r="AC48">
        <f t="shared" si="32"/>
        <v>0.15971017081395833</v>
      </c>
      <c r="AD48">
        <f t="shared" si="32"/>
        <v>0.12232376810075457</v>
      </c>
      <c r="AE48">
        <f t="shared" si="32"/>
        <v>9.3583186629964107E-2</v>
      </c>
      <c r="AF48">
        <f t="shared" si="32"/>
        <v>7.1536741199379111E-2</v>
      </c>
      <c r="AG48">
        <f t="shared" si="32"/>
        <v>5.4652653579154387E-2</v>
      </c>
      <c r="AH48">
        <f t="shared" si="32"/>
        <v>4.1737593033572468E-2</v>
      </c>
      <c r="AI48">
        <f t="shared" si="32"/>
        <v>0.15985155590279976</v>
      </c>
    </row>
    <row r="49" spans="1:19">
      <c r="A49" s="1"/>
      <c r="B49" s="1"/>
      <c r="F49" t="s">
        <v>86</v>
      </c>
      <c r="G49" s="31">
        <f>G41/G55</f>
        <v>1.150796429444974</v>
      </c>
      <c r="H49" s="31">
        <f t="shared" ref="H49:I49" si="33">H41/H55</f>
        <v>2.2224015243414792</v>
      </c>
      <c r="I49" s="31">
        <f t="shared" si="33"/>
        <v>1.0000000000000002</v>
      </c>
    </row>
    <row r="50" spans="1:19">
      <c r="A50" s="23" t="s">
        <v>88</v>
      </c>
      <c r="B50" s="35">
        <f>f1_*phi_q1</f>
        <v>0.91103681306295592</v>
      </c>
      <c r="C50">
        <f>AVERAGE(B50:B52)/B50</f>
        <v>0.6646547898632913</v>
      </c>
    </row>
    <row r="51" spans="1:19">
      <c r="A51" s="23" t="s">
        <v>89</v>
      </c>
      <c r="B51" s="35">
        <f>f2_*phi_q2</f>
        <v>0.41748889673322115</v>
      </c>
      <c r="C51">
        <f>AVERAGE(B50:B52)/B51</f>
        <v>1.4503978100548551</v>
      </c>
      <c r="G51" t="s">
        <v>70</v>
      </c>
    </row>
    <row r="52" spans="1:19">
      <c r="A52" s="23" t="s">
        <v>90</v>
      </c>
      <c r="B52" s="35">
        <f>f3_*phi_q3</f>
        <v>0.48804923483606749</v>
      </c>
      <c r="C52">
        <f>AVERAGE(B50:B52)/B52</f>
        <v>1.2407047042036103</v>
      </c>
      <c r="G52" s="1">
        <f>G39^0.5</f>
        <v>10.327773634369001</v>
      </c>
      <c r="H52" s="1">
        <f>H40^0.5</f>
        <v>5.0230053455331767</v>
      </c>
      <c r="I52" s="11">
        <f>I41^0.5</f>
        <v>8.8018895478724506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4">G$52*$J53</f>
        <v>106.66290824276747</v>
      </c>
      <c r="H53">
        <f t="shared" si="34"/>
        <v>51.87646217289209</v>
      </c>
      <c r="I53">
        <f t="shared" si="34"/>
        <v>90.903922805145172</v>
      </c>
      <c r="J53">
        <f t="array" ref="J53:J55">TRANSPOSE(G52:I52)</f>
        <v>10.327773634369001</v>
      </c>
    </row>
    <row r="54" spans="1:19">
      <c r="A54" s="29" t="s">
        <v>92</v>
      </c>
      <c r="B54" s="34">
        <f>phi_t2*f2_</f>
        <v>6.8620984990395886E-2</v>
      </c>
      <c r="C54">
        <f>AVERAGE(B53:B55)/B54</f>
        <v>1.000010962319279</v>
      </c>
      <c r="G54">
        <f t="shared" si="34"/>
        <v>51.87646217289209</v>
      </c>
      <c r="H54">
        <f t="shared" si="34"/>
        <v>25.230582701254868</v>
      </c>
      <c r="I54">
        <f t="shared" si="34"/>
        <v>44.211938249755917</v>
      </c>
      <c r="J54">
        <v>5.0230053455331767</v>
      </c>
    </row>
    <row r="55" spans="1:19">
      <c r="A55" s="29" t="s">
        <v>93</v>
      </c>
      <c r="B55" s="34">
        <f>phi_t3*f3_</f>
        <v>6.8623148863976371E-2</v>
      </c>
      <c r="C55">
        <f>AVERAGE(B53:B55)/B55</f>
        <v>0.99997942926757</v>
      </c>
      <c r="G55">
        <f t="shared" si="34"/>
        <v>90.903922805145172</v>
      </c>
      <c r="H55">
        <f t="shared" si="34"/>
        <v>44.211938249755917</v>
      </c>
      <c r="I55">
        <f t="shared" si="34"/>
        <v>77.473259612946293</v>
      </c>
      <c r="J55">
        <v>8.8018895478724506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fbar</vt:lpstr>
      <vt:lpstr>Proof of Concept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2015-07-31T16:21:47Z</dcterms:modified>
</cp:coreProperties>
</file>